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210" windowWidth="19200" windowHeight="1083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结果表-商业" sheetId="80" r:id="rId21"/>
    <sheet name="结果表-公寓" sheetId="84" r:id="rId22"/>
    <sheet name="比较法-商业" sheetId="33" r:id="rId23"/>
    <sheet name="典型户型修正" sheetId="31" r:id="rId24"/>
    <sheet name="收益法-商业" sheetId="78" r:id="rId25"/>
    <sheet name="收益法 (元)" sheetId="67" state="hidden" r:id="rId26"/>
    <sheet name="收益法（汇总）" sheetId="70" state="hidden" r:id="rId27"/>
    <sheet name="酒店收入计算" sheetId="66" state="hidden" r:id="rId28"/>
    <sheet name="比较法-住宅" sheetId="21" state="hidden" r:id="rId29"/>
    <sheet name="比较法-办公" sheetId="34"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成本法" sheetId="68"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收益法" sheetId="15"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比较法-公寓" sheetId="83" r:id="rId48"/>
    <sheet name="收益法-公寓" sheetId="82" r:id="rId49"/>
    <sheet name="面积" sheetId="77" r:id="rId50"/>
    <sheet name="Sheet3" sheetId="79" r:id="rId51"/>
    <sheet name="商业面积" sheetId="81" r:id="rId52"/>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47" hidden="1">'比较法-公寓'!$A$1:$L$50</definedName>
    <definedName name="_xlnm._FilterDatabase" localSheetId="22"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41">收益法!$A$1:$AK$69</definedName>
    <definedName name="_xlnm.Print_Area" localSheetId="25">'收益法 (元)'!$A$1:$AK$69</definedName>
    <definedName name="_xlnm.Print_Area" localSheetId="48">'收益法-公寓'!$A$1:$AK$69</definedName>
    <definedName name="_xlnm.Print_Area" localSheetId="24">'收益法-商业'!$A$1:$AK$69</definedName>
    <definedName name="_xlnm.Print_Area" localSheetId="13">'数据-汇总表'!$A$1:$P$32</definedName>
    <definedName name="八级">区片价!$O$1:$O$40</definedName>
    <definedName name="办公层高" localSheetId="47">'比较法-公寓'!$B$119:$M$119</definedName>
    <definedName name="办公层高">'比较法-办公'!$B$119:$M$119</definedName>
    <definedName name="办公朝向" localSheetId="47">'比较法-公寓'!$B$91:$M$91</definedName>
    <definedName name="办公朝向">'比较法-办公'!$B$91:$M$91</definedName>
    <definedName name="办公道路级别" localSheetId="47">'比较法-公寓'!$B$87:$M$87</definedName>
    <definedName name="办公道路级别">'比较法-办公'!$B$87:$M$87</definedName>
    <definedName name="办公公共部分装修" localSheetId="47">'比较法-公寓'!$B$108:$M$108</definedName>
    <definedName name="办公公共部分装修">'比较法-办公'!$B$108:$M$108</definedName>
    <definedName name="办公基础设施水平" localSheetId="47">'比较法-公寓'!$B$117:$M$117</definedName>
    <definedName name="办公基础设施水平">'比较法-办公'!$B$117:$M$117</definedName>
    <definedName name="办公集聚程度">定义!$M$1:$M$6</definedName>
    <definedName name="办公建筑结构" localSheetId="47">'比较法-公寓'!$B$106:$M$106</definedName>
    <definedName name="办公建筑结构">'比较法-办公'!$B$106:$M$106</definedName>
    <definedName name="办公建筑类型" localSheetId="47">'比较法-公寓'!$B$101:$M$101</definedName>
    <definedName name="办公建筑类型">'比较法-办公'!$B$101:$M$101</definedName>
    <definedName name="办公交易情况" localSheetId="47">'比较法-公寓'!$A$62:$M$62</definedName>
    <definedName name="办公交易情况">'比较法-办公'!$A$62:$M$62</definedName>
    <definedName name="办公楼层" localSheetId="47">'比较法-公寓'!$B$89:$M$89</definedName>
    <definedName name="办公楼层">'比较法-办公'!$B$89:$M$89</definedName>
    <definedName name="办公内部装修" localSheetId="47">'比较法-公寓'!$B$123:$M$123</definedName>
    <definedName name="办公内部装修">'比较法-办公'!$B$123:$M$123</definedName>
    <definedName name="办公物业管理" localSheetId="47">'比较法-公寓'!$B$115:$M$115</definedName>
    <definedName name="办公物业管理">'比较法-办公'!$B$115:$M$115</definedName>
    <definedName name="办公用途" localSheetId="47">'比较法-公寓'!$B$64:$M$64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47">'比较法-公寓'!$B$113:$M$113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47" i="33" l="1"/>
  <c r="G47" i="33"/>
  <c r="E47" i="33"/>
  <c r="K29" i="9"/>
  <c r="L28" i="9"/>
  <c r="L27" i="9"/>
  <c r="I48" i="34"/>
  <c r="I48" i="83" s="1"/>
  <c r="G48" i="34"/>
  <c r="G48" i="83" s="1"/>
  <c r="E48" i="34"/>
  <c r="E48" i="83" s="1"/>
  <c r="B16" i="74" l="1"/>
  <c r="A126" i="84"/>
  <c r="A124" i="84"/>
  <c r="A122" i="84"/>
  <c r="A120" i="84"/>
  <c r="A118" i="84"/>
  <c r="H111" i="84"/>
  <c r="D126" i="84" s="1"/>
  <c r="D127" i="84" s="1"/>
  <c r="E111" i="84"/>
  <c r="H112" i="84" s="1"/>
  <c r="E109" i="84"/>
  <c r="H109" i="84" s="1"/>
  <c r="E107" i="84"/>
  <c r="H106" i="84"/>
  <c r="H103" i="84" s="1"/>
  <c r="D120" i="84" s="1"/>
  <c r="H105" i="84"/>
  <c r="H104" i="84"/>
  <c r="D101" i="84"/>
  <c r="C101" i="84"/>
  <c r="D93" i="84"/>
  <c r="C91" i="84"/>
  <c r="E90" i="84"/>
  <c r="D89" i="84"/>
  <c r="C89" i="84"/>
  <c r="C87" i="84" s="1"/>
  <c r="D78" i="84"/>
  <c r="H77" i="84"/>
  <c r="D77" i="84"/>
  <c r="C76" i="84"/>
  <c r="D68" i="84"/>
  <c r="F59" i="84"/>
  <c r="E59" i="84"/>
  <c r="D59" i="84"/>
  <c r="N56" i="84"/>
  <c r="M56" i="84"/>
  <c r="K56" i="84"/>
  <c r="J56" i="84"/>
  <c r="F56" i="84"/>
  <c r="O55" i="84"/>
  <c r="N55" i="84"/>
  <c r="M55" i="84"/>
  <c r="K55" i="84"/>
  <c r="J55" i="84"/>
  <c r="J57" i="84" s="1"/>
  <c r="J59" i="84" s="1"/>
  <c r="J61" i="84" s="1"/>
  <c r="I55" i="84"/>
  <c r="F55" i="84"/>
  <c r="O53" i="84" s="1"/>
  <c r="O54" i="84"/>
  <c r="N54" i="84"/>
  <c r="F54" i="84"/>
  <c r="N53" i="84"/>
  <c r="F53" i="84"/>
  <c r="F52" i="84"/>
  <c r="K49" i="84"/>
  <c r="F48" i="84"/>
  <c r="O52" i="84" s="1"/>
  <c r="E48" i="84"/>
  <c r="N52" i="84" s="1"/>
  <c r="D48" i="84"/>
  <c r="M52" i="84" s="1"/>
  <c r="F33" i="84"/>
  <c r="D27" i="84"/>
  <c r="C25" i="84"/>
  <c r="C24" i="84"/>
  <c r="M18" i="84"/>
  <c r="B118" i="84" s="1"/>
  <c r="D17" i="84"/>
  <c r="C17" i="84"/>
  <c r="L4" i="84"/>
  <c r="K4" i="84"/>
  <c r="A2" i="84"/>
  <c r="H1" i="84"/>
  <c r="B131" i="83"/>
  <c r="J47" i="83" s="1"/>
  <c r="AC47" i="83" s="1"/>
  <c r="B129" i="83"/>
  <c r="B127" i="83"/>
  <c r="D126" i="83"/>
  <c r="E126" i="83" s="1"/>
  <c r="F126" i="83" s="1"/>
  <c r="G126" i="83" s="1"/>
  <c r="D124" i="83"/>
  <c r="E124" i="83" s="1"/>
  <c r="F124" i="83" s="1"/>
  <c r="G124" i="83" s="1"/>
  <c r="H124" i="83" s="1"/>
  <c r="I124" i="83" s="1"/>
  <c r="J124" i="83" s="1"/>
  <c r="K124" i="83" s="1"/>
  <c r="L124" i="83" s="1"/>
  <c r="M124" i="83" s="1"/>
  <c r="D120" i="83"/>
  <c r="E120" i="83" s="1"/>
  <c r="F120" i="83" s="1"/>
  <c r="G120" i="83" s="1"/>
  <c r="H120" i="83" s="1"/>
  <c r="I120" i="83" s="1"/>
  <c r="J120" i="83" s="1"/>
  <c r="K120" i="83" s="1"/>
  <c r="L120" i="83" s="1"/>
  <c r="M120" i="83" s="1"/>
  <c r="D118" i="83"/>
  <c r="E118" i="83" s="1"/>
  <c r="F118" i="83" s="1"/>
  <c r="G118" i="83" s="1"/>
  <c r="D116" i="83"/>
  <c r="E116" i="83" s="1"/>
  <c r="F116" i="83" s="1"/>
  <c r="G116" i="83" s="1"/>
  <c r="H116" i="83" s="1"/>
  <c r="I116" i="83" s="1"/>
  <c r="J116" i="83" s="1"/>
  <c r="K116" i="83" s="1"/>
  <c r="L116" i="83" s="1"/>
  <c r="M116" i="83" s="1"/>
  <c r="D114" i="83"/>
  <c r="E114" i="83" s="1"/>
  <c r="F114" i="83" s="1"/>
  <c r="G114" i="83" s="1"/>
  <c r="H114" i="83" s="1"/>
  <c r="I114" i="83" s="1"/>
  <c r="J114" i="83" s="1"/>
  <c r="K114" i="83" s="1"/>
  <c r="L114" i="83" s="1"/>
  <c r="M114" i="83" s="1"/>
  <c r="D112" i="83"/>
  <c r="E112" i="83" s="1"/>
  <c r="F112" i="83" s="1"/>
  <c r="G112" i="83" s="1"/>
  <c r="H112" i="83" s="1"/>
  <c r="I112" i="83" s="1"/>
  <c r="J112" i="83" s="1"/>
  <c r="K112" i="83" s="1"/>
  <c r="L112" i="83" s="1"/>
  <c r="M112" i="83" s="1"/>
  <c r="G110" i="83"/>
  <c r="F110" i="83"/>
  <c r="E110" i="83"/>
  <c r="D110" i="83"/>
  <c r="C110" i="83"/>
  <c r="D109" i="83"/>
  <c r="E109" i="83" s="1"/>
  <c r="F109" i="83" s="1"/>
  <c r="G109" i="83" s="1"/>
  <c r="H109" i="83" s="1"/>
  <c r="I109" i="83" s="1"/>
  <c r="J109" i="83" s="1"/>
  <c r="K109" i="83" s="1"/>
  <c r="L109" i="83" s="1"/>
  <c r="M109" i="83" s="1"/>
  <c r="D107" i="83"/>
  <c r="E107" i="83" s="1"/>
  <c r="F107" i="83" s="1"/>
  <c r="G107" i="83" s="1"/>
  <c r="H107" i="83" s="1"/>
  <c r="I107" i="83" s="1"/>
  <c r="J107" i="83" s="1"/>
  <c r="K107" i="83" s="1"/>
  <c r="L107" i="83" s="1"/>
  <c r="M107" i="83" s="1"/>
  <c r="M103" i="83"/>
  <c r="L103" i="83"/>
  <c r="K103" i="83"/>
  <c r="J103" i="83"/>
  <c r="I103" i="83"/>
  <c r="H103" i="83"/>
  <c r="G103" i="83"/>
  <c r="F103" i="83"/>
  <c r="E103" i="83"/>
  <c r="D103" i="83"/>
  <c r="C103" i="83"/>
  <c r="E102" i="83"/>
  <c r="F102" i="83" s="1"/>
  <c r="G102" i="83" s="1"/>
  <c r="H102" i="83" s="1"/>
  <c r="I102" i="83" s="1"/>
  <c r="J102" i="83" s="1"/>
  <c r="K102" i="83" s="1"/>
  <c r="L102" i="83" s="1"/>
  <c r="M102" i="83" s="1"/>
  <c r="D102" i="83"/>
  <c r="B99" i="83"/>
  <c r="B97" i="83"/>
  <c r="B95" i="83"/>
  <c r="B93" i="83"/>
  <c r="D92" i="83"/>
  <c r="E92" i="83" s="1"/>
  <c r="F92" i="83" s="1"/>
  <c r="G92" i="83" s="1"/>
  <c r="H92" i="83" s="1"/>
  <c r="I92" i="83" s="1"/>
  <c r="J92" i="83" s="1"/>
  <c r="K92" i="83" s="1"/>
  <c r="L92" i="83" s="1"/>
  <c r="M92" i="83" s="1"/>
  <c r="B91" i="83"/>
  <c r="D90" i="83"/>
  <c r="E90" i="83" s="1"/>
  <c r="F90" i="83" s="1"/>
  <c r="G90" i="83" s="1"/>
  <c r="H90" i="83" s="1"/>
  <c r="I90" i="83" s="1"/>
  <c r="J90" i="83" s="1"/>
  <c r="K90" i="83" s="1"/>
  <c r="L90" i="83" s="1"/>
  <c r="M90" i="83" s="1"/>
  <c r="B89" i="83"/>
  <c r="D88" i="83"/>
  <c r="E88" i="83" s="1"/>
  <c r="F88" i="83" s="1"/>
  <c r="G88" i="83" s="1"/>
  <c r="H88" i="83" s="1"/>
  <c r="I88" i="83" s="1"/>
  <c r="J88" i="83" s="1"/>
  <c r="K88" i="83" s="1"/>
  <c r="L88" i="83" s="1"/>
  <c r="M88" i="83" s="1"/>
  <c r="D86" i="83"/>
  <c r="E86" i="83" s="1"/>
  <c r="F86" i="83" s="1"/>
  <c r="G86" i="83" s="1"/>
  <c r="D84" i="83"/>
  <c r="E84" i="83" s="1"/>
  <c r="F84" i="83" s="1"/>
  <c r="G84" i="83" s="1"/>
  <c r="D82" i="83"/>
  <c r="E82" i="83" s="1"/>
  <c r="F82" i="83" s="1"/>
  <c r="G82" i="83" s="1"/>
  <c r="D80" i="83"/>
  <c r="E80" i="83" s="1"/>
  <c r="F80" i="83" s="1"/>
  <c r="G80" i="83" s="1"/>
  <c r="D78" i="83"/>
  <c r="E78" i="83" s="1"/>
  <c r="F78" i="83" s="1"/>
  <c r="G78" i="83" s="1"/>
  <c r="B75" i="83"/>
  <c r="B73" i="83"/>
  <c r="B71" i="83"/>
  <c r="D70" i="83"/>
  <c r="E70" i="83" s="1"/>
  <c r="F70" i="83" s="1"/>
  <c r="G70" i="83" s="1"/>
  <c r="H70" i="83" s="1"/>
  <c r="I70" i="83" s="1"/>
  <c r="J70" i="83" s="1"/>
  <c r="K70" i="83" s="1"/>
  <c r="L70" i="83" s="1"/>
  <c r="M70" i="83" s="1"/>
  <c r="M68" i="83"/>
  <c r="L68" i="83"/>
  <c r="K68" i="83"/>
  <c r="J68" i="83"/>
  <c r="I68" i="83"/>
  <c r="H68" i="83"/>
  <c r="G68" i="83"/>
  <c r="F68" i="83"/>
  <c r="E68" i="83"/>
  <c r="D68" i="83"/>
  <c r="C68" i="83"/>
  <c r="F67" i="83"/>
  <c r="G67" i="83" s="1"/>
  <c r="H67" i="83" s="1"/>
  <c r="I67" i="83" s="1"/>
  <c r="C64" i="83"/>
  <c r="I55" i="83"/>
  <c r="J55" i="83" s="1"/>
  <c r="P50" i="83"/>
  <c r="P49" i="83"/>
  <c r="V48" i="83"/>
  <c r="R48" i="83"/>
  <c r="P48" i="83"/>
  <c r="G55" i="83"/>
  <c r="H55" i="83" s="1"/>
  <c r="Q47" i="83"/>
  <c r="Z47" i="83" s="1"/>
  <c r="Q46" i="83"/>
  <c r="Z46" i="83" s="1"/>
  <c r="J46" i="83"/>
  <c r="AC46" i="83" s="1"/>
  <c r="H46" i="83"/>
  <c r="AB46" i="83" s="1"/>
  <c r="F46" i="83"/>
  <c r="AA46" i="83" s="1"/>
  <c r="Q45" i="83"/>
  <c r="Z45" i="83" s="1"/>
  <c r="J45" i="83"/>
  <c r="AC45" i="83" s="1"/>
  <c r="H45" i="83"/>
  <c r="AB45" i="83" s="1"/>
  <c r="F45" i="83"/>
  <c r="AA45" i="83" s="1"/>
  <c r="Q44" i="83"/>
  <c r="Z44" i="83" s="1"/>
  <c r="J44" i="83"/>
  <c r="AC44" i="83" s="1"/>
  <c r="H44" i="83"/>
  <c r="AB44" i="83" s="1"/>
  <c r="F44" i="83"/>
  <c r="AA44" i="83" s="1"/>
  <c r="Q43" i="83"/>
  <c r="Z43" i="83" s="1"/>
  <c r="J43" i="83"/>
  <c r="AC43" i="83" s="1"/>
  <c r="H43" i="83"/>
  <c r="AB43" i="83" s="1"/>
  <c r="F43" i="83"/>
  <c r="AA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J37" i="83"/>
  <c r="AC37" i="83" s="1"/>
  <c r="H37" i="83"/>
  <c r="AB37" i="83" s="1"/>
  <c r="F37" i="83"/>
  <c r="AA37" i="83" s="1"/>
  <c r="Q36" i="83"/>
  <c r="Z36" i="83" s="1"/>
  <c r="J36" i="83"/>
  <c r="AC36" i="83" s="1"/>
  <c r="H36" i="83"/>
  <c r="AB36" i="83" s="1"/>
  <c r="F36" i="83"/>
  <c r="AA36" i="83" s="1"/>
  <c r="Q35" i="83"/>
  <c r="Z35" i="83" s="1"/>
  <c r="J35" i="83"/>
  <c r="AC35" i="83" s="1"/>
  <c r="H35" i="83"/>
  <c r="AB35" i="83" s="1"/>
  <c r="F35" i="83"/>
  <c r="AA35" i="83" s="1"/>
  <c r="Q34" i="83"/>
  <c r="Z34" i="83" s="1"/>
  <c r="J34" i="83"/>
  <c r="AC34" i="83" s="1"/>
  <c r="I34" i="83"/>
  <c r="H34" i="83"/>
  <c r="AB34" i="83" s="1"/>
  <c r="G34" i="83"/>
  <c r="F34" i="83"/>
  <c r="AA34" i="83" s="1"/>
  <c r="E34" i="83"/>
  <c r="Q33" i="83"/>
  <c r="Z33" i="83" s="1"/>
  <c r="J33" i="83"/>
  <c r="AC33" i="83" s="1"/>
  <c r="H33" i="83"/>
  <c r="AB33" i="83" s="1"/>
  <c r="F33" i="83"/>
  <c r="AA33" i="83" s="1"/>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Q29" i="83"/>
  <c r="Z29" i="83" s="1"/>
  <c r="J29" i="83"/>
  <c r="AC29" i="83" s="1"/>
  <c r="H29" i="83"/>
  <c r="AB29" i="83" s="1"/>
  <c r="F29" i="83"/>
  <c r="AA29" i="83" s="1"/>
  <c r="Q28" i="83"/>
  <c r="Z28" i="83" s="1"/>
  <c r="J28" i="83"/>
  <c r="AC28" i="83" s="1"/>
  <c r="H28" i="83"/>
  <c r="AB28" i="83" s="1"/>
  <c r="F28" i="83"/>
  <c r="AA28" i="83" s="1"/>
  <c r="Q27" i="83"/>
  <c r="Z27" i="83" s="1"/>
  <c r="J27" i="83"/>
  <c r="AC27" i="83" s="1"/>
  <c r="H27" i="83"/>
  <c r="AB27" i="83" s="1"/>
  <c r="F27" i="83"/>
  <c r="AA27" i="83" s="1"/>
  <c r="Q25" i="83"/>
  <c r="Z25" i="83" s="1"/>
  <c r="J25" i="83"/>
  <c r="AC25" i="83" s="1"/>
  <c r="H25" i="83"/>
  <c r="AB25" i="83" s="1"/>
  <c r="F25" i="83"/>
  <c r="AA25" i="83" s="1"/>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W10" i="83" s="1"/>
  <c r="H10" i="83"/>
  <c r="AB10" i="83" s="1"/>
  <c r="F10" i="83"/>
  <c r="AA10" i="83" s="1"/>
  <c r="Q9" i="83"/>
  <c r="Z9" i="83" s="1"/>
  <c r="J9" i="83"/>
  <c r="AC9" i="83" s="1"/>
  <c r="H9" i="83"/>
  <c r="AB9" i="83" s="1"/>
  <c r="F9" i="83"/>
  <c r="AA9" i="83" s="1"/>
  <c r="U8" i="83"/>
  <c r="J8" i="83"/>
  <c r="AC8" i="83" s="1"/>
  <c r="H8" i="83"/>
  <c r="AB8" i="83" s="1"/>
  <c r="F8" i="83"/>
  <c r="AA8" i="83" s="1"/>
  <c r="I5" i="83"/>
  <c r="G5" i="83"/>
  <c r="E5" i="83"/>
  <c r="D3" i="83"/>
  <c r="Q72" i="82"/>
  <c r="Q59" i="82"/>
  <c r="K59" i="82"/>
  <c r="P74" i="82" s="1"/>
  <c r="F59" i="82"/>
  <c r="Q58" i="82"/>
  <c r="Q51" i="82"/>
  <c r="J50" i="82"/>
  <c r="M47" i="82"/>
  <c r="D46" i="82"/>
  <c r="F34" i="82"/>
  <c r="F62" i="82" s="1"/>
  <c r="F33" i="82"/>
  <c r="F61" i="82" s="1"/>
  <c r="F32" i="82"/>
  <c r="F60" i="82" s="1"/>
  <c r="F31" i="82"/>
  <c r="F28" i="82"/>
  <c r="F23" i="82"/>
  <c r="D23" i="82" s="1"/>
  <c r="F21" i="82"/>
  <c r="M20" i="82"/>
  <c r="F20" i="82"/>
  <c r="M19" i="82"/>
  <c r="M18" i="82"/>
  <c r="F18" i="82"/>
  <c r="M17" i="82"/>
  <c r="F17" i="82"/>
  <c r="F15" i="82"/>
  <c r="G1" i="82"/>
  <c r="F21" i="6"/>
  <c r="M15" i="3"/>
  <c r="K14" i="3"/>
  <c r="F9" i="82"/>
  <c r="D2" i="83"/>
  <c r="F8" i="82"/>
  <c r="D35" i="84"/>
  <c r="D34" i="84"/>
  <c r="C76" i="82"/>
  <c r="H47" i="83" l="1"/>
  <c r="AB47" i="83" s="1"/>
  <c r="F47" i="83"/>
  <c r="AA47" i="83" s="1"/>
  <c r="C18" i="84"/>
  <c r="D18" i="84" s="1"/>
  <c r="K120" i="84"/>
  <c r="D121" i="84"/>
  <c r="D124" i="84"/>
  <c r="D125" i="84" s="1"/>
  <c r="H110" i="84"/>
  <c r="M49" i="84"/>
  <c r="C92" i="84"/>
  <c r="C94" i="84"/>
  <c r="U9" i="83"/>
  <c r="S10" i="83"/>
  <c r="AC10" i="83"/>
  <c r="S8" i="83"/>
  <c r="W8" i="83"/>
  <c r="S9" i="83"/>
  <c r="W9" i="83"/>
  <c r="U10" i="83"/>
  <c r="S11" i="83"/>
  <c r="W11" i="83"/>
  <c r="U12" i="83"/>
  <c r="S13" i="83"/>
  <c r="W13" i="83"/>
  <c r="U14" i="83"/>
  <c r="U15" i="83"/>
  <c r="U17" i="83"/>
  <c r="U19" i="83"/>
  <c r="U21" i="83"/>
  <c r="U23" i="83"/>
  <c r="U25" i="83"/>
  <c r="U11" i="83"/>
  <c r="S12" i="83"/>
  <c r="W12" i="83"/>
  <c r="U13" i="83"/>
  <c r="S14" i="83"/>
  <c r="W14" i="83"/>
  <c r="S15" i="83"/>
  <c r="W15" i="83"/>
  <c r="S17" i="83"/>
  <c r="W17" i="83"/>
  <c r="S19" i="83"/>
  <c r="W19" i="83"/>
  <c r="S21" i="83"/>
  <c r="W21" i="83"/>
  <c r="S23" i="83"/>
  <c r="W23" i="83"/>
  <c r="S25" i="83"/>
  <c r="W25" i="83"/>
  <c r="U27" i="83"/>
  <c r="S28" i="83"/>
  <c r="W28" i="83"/>
  <c r="U29" i="83"/>
  <c r="S30" i="83"/>
  <c r="W30" i="83"/>
  <c r="U31" i="83"/>
  <c r="S32" i="83"/>
  <c r="W32" i="83"/>
  <c r="U33" i="83"/>
  <c r="U34" i="83"/>
  <c r="S35" i="83"/>
  <c r="W35" i="83"/>
  <c r="U36" i="83"/>
  <c r="S37" i="83"/>
  <c r="W37" i="83"/>
  <c r="U38" i="83"/>
  <c r="S39" i="83"/>
  <c r="W39" i="83"/>
  <c r="U40" i="83"/>
  <c r="S41" i="83"/>
  <c r="W41" i="83"/>
  <c r="U42" i="83"/>
  <c r="S43" i="83"/>
  <c r="W43" i="83"/>
  <c r="U44" i="83"/>
  <c r="S45" i="83"/>
  <c r="W45" i="83"/>
  <c r="U46" i="83"/>
  <c r="W47" i="83"/>
  <c r="T48" i="83"/>
  <c r="E55" i="83"/>
  <c r="F55" i="83" s="1"/>
  <c r="S27" i="83"/>
  <c r="W27" i="83"/>
  <c r="U28" i="83"/>
  <c r="S29" i="83"/>
  <c r="W29" i="83"/>
  <c r="U30" i="83"/>
  <c r="S31" i="83"/>
  <c r="W31" i="83"/>
  <c r="U32" i="83"/>
  <c r="S33" i="83"/>
  <c r="W33" i="83"/>
  <c r="S34" i="83"/>
  <c r="W34" i="83"/>
  <c r="U35" i="83"/>
  <c r="S36" i="83"/>
  <c r="W36" i="83"/>
  <c r="U37" i="83"/>
  <c r="S38" i="83"/>
  <c r="W38" i="83"/>
  <c r="U39" i="83"/>
  <c r="S40" i="83"/>
  <c r="W40" i="83"/>
  <c r="U41" i="83"/>
  <c r="S42" i="83"/>
  <c r="W42" i="83"/>
  <c r="U43" i="83"/>
  <c r="S44" i="83"/>
  <c r="W44" i="83"/>
  <c r="U45" i="83"/>
  <c r="S46" i="83"/>
  <c r="W46" i="83"/>
  <c r="U47" i="83"/>
  <c r="Q71" i="82"/>
  <c r="F51" i="82"/>
  <c r="D24" i="82"/>
  <c r="P61" i="82"/>
  <c r="D22" i="82"/>
  <c r="D3" i="31"/>
  <c r="E3" i="31"/>
  <c r="F3" i="31"/>
  <c r="G3" i="31"/>
  <c r="C3"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24" i="31"/>
  <c r="C33" i="33"/>
  <c r="F40" i="82"/>
  <c r="M26" i="82"/>
  <c r="J15" i="82"/>
  <c r="M27" i="82"/>
  <c r="F36" i="82"/>
  <c r="F26" i="82"/>
  <c r="L47" i="82"/>
  <c r="M28" i="82"/>
  <c r="F38" i="82"/>
  <c r="M6" i="82"/>
  <c r="M8" i="82"/>
  <c r="F13" i="82"/>
  <c r="M24" i="82"/>
  <c r="F6" i="82"/>
  <c r="M22" i="82"/>
  <c r="F16" i="82"/>
  <c r="F37" i="82"/>
  <c r="M9" i="82"/>
  <c r="M23" i="82"/>
  <c r="F42" i="82"/>
  <c r="S47" i="83" l="1"/>
  <c r="L66" i="84"/>
  <c r="M66" i="84" s="1"/>
  <c r="L65" i="84"/>
  <c r="M65" i="84" s="1"/>
  <c r="L64" i="84"/>
  <c r="M64" i="84" s="1"/>
  <c r="L68" i="84"/>
  <c r="M68" i="84" s="1"/>
  <c r="L67" i="84"/>
  <c r="M67" i="84" s="1"/>
  <c r="L63" i="84"/>
  <c r="M63" i="84" s="1"/>
  <c r="M69" i="84" s="1"/>
  <c r="N69" i="84" s="1"/>
  <c r="F65" i="82"/>
  <c r="C27" i="82"/>
  <c r="F68" i="82"/>
  <c r="F66" i="82"/>
  <c r="F64" i="82"/>
  <c r="M22" i="1"/>
  <c r="N24" i="1" l="1"/>
  <c r="N23" i="1"/>
  <c r="N25" i="1" s="1"/>
  <c r="L23" i="1"/>
  <c r="L24" i="1"/>
  <c r="L22" i="1"/>
  <c r="M24" i="1" l="1"/>
  <c r="L25" i="1"/>
  <c r="M23" i="1" s="1"/>
  <c r="I13" i="3" l="1"/>
  <c r="D4" i="77" l="1"/>
  <c r="D2" i="77"/>
  <c r="D3" i="77"/>
  <c r="D1" i="77"/>
  <c r="I33" i="33" l="1"/>
  <c r="G33" i="33"/>
  <c r="E33" i="33"/>
  <c r="I5" i="33"/>
  <c r="G5" i="33"/>
  <c r="E5" i="33"/>
  <c r="A126" i="80"/>
  <c r="A124" i="80"/>
  <c r="A122" i="80"/>
  <c r="A120" i="80"/>
  <c r="E111" i="80"/>
  <c r="H112" i="80" s="1"/>
  <c r="E109" i="80"/>
  <c r="H109" i="80" s="1"/>
  <c r="E107" i="80"/>
  <c r="H106" i="80"/>
  <c r="H105" i="80"/>
  <c r="H104" i="80"/>
  <c r="D101" i="80"/>
  <c r="C101" i="80"/>
  <c r="C91" i="80"/>
  <c r="E90" i="80"/>
  <c r="D89" i="80"/>
  <c r="C89" i="80" s="1"/>
  <c r="C87" i="80" s="1"/>
  <c r="H77" i="80"/>
  <c r="D77" i="80"/>
  <c r="C76" i="80"/>
  <c r="F59" i="80"/>
  <c r="E59" i="80"/>
  <c r="D59" i="80"/>
  <c r="F56" i="80"/>
  <c r="O55" i="80"/>
  <c r="N55" i="80"/>
  <c r="M55" i="80"/>
  <c r="K55" i="80"/>
  <c r="J55" i="80"/>
  <c r="I55" i="80"/>
  <c r="F55" i="80" s="1"/>
  <c r="O53" i="80" s="1"/>
  <c r="O54" i="80"/>
  <c r="N54" i="80"/>
  <c r="N53" i="80"/>
  <c r="K49" i="80"/>
  <c r="F48" i="80"/>
  <c r="O52" i="80" s="1"/>
  <c r="E48" i="80"/>
  <c r="N52" i="80" s="1"/>
  <c r="D48" i="80"/>
  <c r="M52" i="80" s="1"/>
  <c r="F33" i="80"/>
  <c r="D27" i="80"/>
  <c r="C25" i="80"/>
  <c r="C24" i="80"/>
  <c r="D17" i="80"/>
  <c r="C17" i="80"/>
  <c r="L4" i="80"/>
  <c r="K4" i="80"/>
  <c r="H1" i="80"/>
  <c r="I34" i="34"/>
  <c r="G34" i="34"/>
  <c r="E34" i="34"/>
  <c r="D34" i="80"/>
  <c r="D35" i="80"/>
  <c r="H103" i="80" l="1"/>
  <c r="D120" i="80" s="1"/>
  <c r="K120" i="80" s="1"/>
  <c r="H111" i="80"/>
  <c r="D126" i="80" s="1"/>
  <c r="D127" i="80" s="1"/>
  <c r="C18" i="80"/>
  <c r="D18" i="80" s="1"/>
  <c r="C92" i="80"/>
  <c r="C94" i="80"/>
  <c r="D121" i="80"/>
  <c r="D124" i="80"/>
  <c r="D125" i="80" s="1"/>
  <c r="H110" i="80"/>
  <c r="M49" i="80"/>
  <c r="I5" i="34"/>
  <c r="E5" i="34"/>
  <c r="G5" i="34"/>
  <c r="C7" i="77"/>
  <c r="C8" i="77" s="1"/>
  <c r="L66" i="80" l="1"/>
  <c r="M66" i="80" s="1"/>
  <c r="L65" i="80"/>
  <c r="M65" i="80" s="1"/>
  <c r="L64" i="80"/>
  <c r="M64" i="80" s="1"/>
  <c r="L68" i="80"/>
  <c r="M68" i="80" s="1"/>
  <c r="L67" i="80"/>
  <c r="M67" i="80" s="1"/>
  <c r="L63" i="80"/>
  <c r="M63" i="80" s="1"/>
  <c r="M69" i="80" s="1"/>
  <c r="N69" i="80" s="1"/>
  <c r="Q72" i="78"/>
  <c r="Q59" i="78"/>
  <c r="K59" i="78"/>
  <c r="P61" i="78" s="1"/>
  <c r="F59" i="78"/>
  <c r="Q58" i="78"/>
  <c r="Q51" i="78"/>
  <c r="J50" i="78"/>
  <c r="M47" i="78"/>
  <c r="D46" i="78"/>
  <c r="F33" i="78"/>
  <c r="F61" i="78" s="1"/>
  <c r="F31" i="78"/>
  <c r="F23" i="78"/>
  <c r="D24" i="78" s="1"/>
  <c r="D22" i="78"/>
  <c r="F21" i="78"/>
  <c r="F20" i="78"/>
  <c r="M19" i="78"/>
  <c r="F18" i="78"/>
  <c r="M17" i="78"/>
  <c r="F17" i="78"/>
  <c r="F15" i="78"/>
  <c r="F19" i="6"/>
  <c r="B15" i="74" s="1"/>
  <c r="F20" i="6"/>
  <c r="D29" i="43" s="1"/>
  <c r="D23" i="78" l="1"/>
  <c r="P74" i="78"/>
  <c r="L3" i="71"/>
  <c r="K3" i="71"/>
  <c r="AG3" i="71" s="1"/>
  <c r="J3" i="71"/>
  <c r="I3" i="71"/>
  <c r="AH5" i="71"/>
  <c r="AG5" i="71"/>
  <c r="AE5" i="71"/>
  <c r="AF5" i="71" s="1"/>
  <c r="AD5" i="71"/>
  <c r="Q5" i="71"/>
  <c r="Q6" i="71"/>
  <c r="P5" i="71"/>
  <c r="P6" i="71"/>
  <c r="O5" i="71"/>
  <c r="O6" i="71"/>
  <c r="N5" i="71"/>
  <c r="N6" i="71"/>
  <c r="N7" i="71"/>
  <c r="AH6" i="71"/>
  <c r="AG6" i="71"/>
  <c r="AE6" i="71"/>
  <c r="AF6" i="71" s="1"/>
  <c r="AD6" i="71"/>
  <c r="Q7" i="71"/>
  <c r="P7" i="71"/>
  <c r="O7" i="71"/>
  <c r="E7" i="71"/>
  <c r="D9" i="71"/>
  <c r="AH7" i="71"/>
  <c r="AG7" i="71"/>
  <c r="AE7" i="71"/>
  <c r="AF7" i="71"/>
  <c r="AD7" i="71"/>
  <c r="AD8" i="71"/>
  <c r="AG8" i="71"/>
  <c r="AH8" i="71"/>
  <c r="AE8" i="71"/>
  <c r="AF8" i="71"/>
  <c r="N8" i="71"/>
  <c r="Q8" i="71"/>
  <c r="F8" i="71" s="1"/>
  <c r="F7" i="71" s="1"/>
  <c r="F6" i="71" s="1"/>
  <c r="F5" i="71" s="1"/>
  <c r="P8" i="71"/>
  <c r="O8" i="71"/>
  <c r="C8" i="71" s="1"/>
  <c r="C7" i="71" s="1"/>
  <c r="Q9" i="71"/>
  <c r="P9" i="71"/>
  <c r="AA9" i="71" s="1"/>
  <c r="E8" i="71"/>
  <c r="O9" i="71"/>
  <c r="Y9" i="71" s="1"/>
  <c r="Z9" i="71" s="1"/>
  <c r="N9" i="71"/>
  <c r="B8" i="71"/>
  <c r="B7" i="71" s="1"/>
  <c r="B6" i="71" s="1"/>
  <c r="B5" i="71" s="1"/>
  <c r="V8" i="71"/>
  <c r="A2" i="53"/>
  <c r="B19" i="72" s="1"/>
  <c r="K59" i="67"/>
  <c r="P61" i="67"/>
  <c r="K59" i="15"/>
  <c r="P74" i="15" s="1"/>
  <c r="P74" i="67"/>
  <c r="D116" i="39"/>
  <c r="E116" i="39"/>
  <c r="F116" i="39"/>
  <c r="G116" i="39"/>
  <c r="H116" i="39"/>
  <c r="I116" i="39"/>
  <c r="J116" i="39"/>
  <c r="K116" i="39"/>
  <c r="L116" i="39"/>
  <c r="M116" i="39"/>
  <c r="C116" i="39"/>
  <c r="A21" i="62"/>
  <c r="B67" i="72" s="1"/>
  <c r="A20" i="62"/>
  <c r="A22" i="51"/>
  <c r="A21" i="51"/>
  <c r="A20" i="51"/>
  <c r="A15" i="62"/>
  <c r="A14" i="62"/>
  <c r="B60" i="72" s="1"/>
  <c r="A13" i="62"/>
  <c r="A19" i="62"/>
  <c r="B65" i="72" s="1"/>
  <c r="A12" i="62"/>
  <c r="A120" i="9"/>
  <c r="H2" i="52"/>
  <c r="A1" i="52"/>
  <c r="A3" i="53"/>
  <c r="Q10" i="71"/>
  <c r="AB10" i="71" s="1"/>
  <c r="P10" i="71"/>
  <c r="O10" i="71"/>
  <c r="N10" i="71"/>
  <c r="A15" i="51"/>
  <c r="B12" i="72" s="1"/>
  <c r="C76" i="9"/>
  <c r="I107" i="40"/>
  <c r="K6" i="4"/>
  <c r="B22" i="31"/>
  <c r="N56" i="9"/>
  <c r="M56" i="9"/>
  <c r="K56" i="9"/>
  <c r="E17" i="74"/>
  <c r="F17" i="74"/>
  <c r="E18" i="74"/>
  <c r="F18" i="74"/>
  <c r="E19" i="74"/>
  <c r="F19" i="74"/>
  <c r="E20" i="74"/>
  <c r="F20" i="74"/>
  <c r="E21" i="74"/>
  <c r="F21" i="74"/>
  <c r="E22" i="74"/>
  <c r="F22" i="74"/>
  <c r="E23" i="74"/>
  <c r="F23" i="74"/>
  <c r="B3" i="74"/>
  <c r="C91" i="9"/>
  <c r="B8" i="72"/>
  <c r="O11" i="71"/>
  <c r="P11" i="71"/>
  <c r="Q11" i="71"/>
  <c r="N11" i="71"/>
  <c r="AE3" i="71"/>
  <c r="AF3" i="71"/>
  <c r="AH3"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D20" i="71"/>
  <c r="AE20" i="71"/>
  <c r="AF20" i="71"/>
  <c r="AG20" i="71"/>
  <c r="AH20" i="71"/>
  <c r="AD21" i="71"/>
  <c r="AE21" i="71"/>
  <c r="AF21" i="71" s="1"/>
  <c r="AG21" i="71"/>
  <c r="AH21" i="71"/>
  <c r="AD22" i="71"/>
  <c r="AE22" i="71"/>
  <c r="AF22" i="71" s="1"/>
  <c r="AG22" i="71"/>
  <c r="AH22" i="71"/>
  <c r="AH23" i="71"/>
  <c r="AG23" i="71"/>
  <c r="AE23" i="71"/>
  <c r="AF23" i="71" s="1"/>
  <c r="AD23" i="71"/>
  <c r="AD24" i="71"/>
  <c r="AE24" i="71"/>
  <c r="AF24" i="71" s="1"/>
  <c r="AG24" i="71"/>
  <c r="AH24" i="71"/>
  <c r="S2" i="31"/>
  <c r="M2" i="31"/>
  <c r="N2" i="31"/>
  <c r="O2" i="31"/>
  <c r="P2" i="31"/>
  <c r="Q2" i="31"/>
  <c r="R2" i="31"/>
  <c r="C1" i="73"/>
  <c r="L1" i="73" s="1"/>
  <c r="B74" i="72"/>
  <c r="Y12" i="43"/>
  <c r="Y10" i="43"/>
  <c r="AJ9" i="43"/>
  <c r="AI9" i="43"/>
  <c r="AI12" i="43" s="1"/>
  <c r="AH9" i="43"/>
  <c r="AG9" i="43"/>
  <c r="AF9" i="43"/>
  <c r="AF12" i="43" s="1"/>
  <c r="AE9" i="43"/>
  <c r="AE12" i="43" s="1"/>
  <c r="AD9" i="43"/>
  <c r="AC9" i="43"/>
  <c r="AB9" i="43"/>
  <c r="AB12" i="43" s="1"/>
  <c r="AA9" i="43"/>
  <c r="AA12" i="43" s="1"/>
  <c r="Z9" i="43"/>
  <c r="AA10" i="43"/>
  <c r="AE10" i="43"/>
  <c r="AI10" i="43"/>
  <c r="AB10" i="43"/>
  <c r="K49" i="9"/>
  <c r="E107" i="9"/>
  <c r="A122" i="9" s="1"/>
  <c r="A8" i="52" s="1"/>
  <c r="E111" i="9"/>
  <c r="A126" i="9"/>
  <c r="E109" i="9"/>
  <c r="A124" i="9"/>
  <c r="B44" i="72"/>
  <c r="B42" i="72"/>
  <c r="B69" i="72"/>
  <c r="B68" i="72"/>
  <c r="B63" i="72"/>
  <c r="B62" i="72"/>
  <c r="B16" i="72"/>
  <c r="B59" i="72"/>
  <c r="B58" i="72"/>
  <c r="B66" i="72"/>
  <c r="B10" i="72"/>
  <c r="C53" i="10"/>
  <c r="B51" i="10"/>
  <c r="A18" i="51"/>
  <c r="B13" i="72" s="1"/>
  <c r="B49" i="48"/>
  <c r="B5" i="72" s="1"/>
  <c r="I19" i="43"/>
  <c r="D73" i="71"/>
  <c r="F72" i="71"/>
  <c r="F71" i="71" s="1"/>
  <c r="F70" i="71" s="1"/>
  <c r="E72" i="71"/>
  <c r="E71" i="71"/>
  <c r="E70" i="71" s="1"/>
  <c r="C72" i="71"/>
  <c r="D72" i="71" s="1"/>
  <c r="B72" i="71"/>
  <c r="B71" i="71" s="1"/>
  <c r="B70" i="71" s="1"/>
  <c r="D69" i="71"/>
  <c r="F68" i="71"/>
  <c r="F67" i="71" s="1"/>
  <c r="F66" i="71" s="1"/>
  <c r="E68" i="71"/>
  <c r="E67" i="71"/>
  <c r="E66" i="71" s="1"/>
  <c r="C68" i="71"/>
  <c r="D68" i="71" s="1"/>
  <c r="B68" i="71"/>
  <c r="B67" i="71" s="1"/>
  <c r="B66" i="71"/>
  <c r="D65" i="71"/>
  <c r="Q64" i="71"/>
  <c r="P64" i="71"/>
  <c r="O64" i="71"/>
  <c r="N64" i="71"/>
  <c r="F64" i="71"/>
  <c r="V64" i="71" s="1"/>
  <c r="E64" i="71"/>
  <c r="U64" i="71" s="1"/>
  <c r="C64" i="71"/>
  <c r="B64" i="71"/>
  <c r="S64" i="71" s="1"/>
  <c r="Q63" i="71"/>
  <c r="P63" i="71"/>
  <c r="O63" i="71"/>
  <c r="N63" i="71"/>
  <c r="F63" i="71"/>
  <c r="F62" i="71" s="1"/>
  <c r="B63" i="71"/>
  <c r="B62" i="71" s="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s="1"/>
  <c r="E56" i="71"/>
  <c r="U56" i="71" s="1"/>
  <c r="C56" i="71"/>
  <c r="B56" i="71"/>
  <c r="S56" i="71" s="1"/>
  <c r="Q55" i="71"/>
  <c r="P55" i="71"/>
  <c r="O55" i="71"/>
  <c r="N55" i="71"/>
  <c r="F55" i="71"/>
  <c r="F54" i="71" s="1"/>
  <c r="B55" i="71"/>
  <c r="B54" i="71" s="1"/>
  <c r="Q54" i="71"/>
  <c r="P54" i="71"/>
  <c r="O54" i="71"/>
  <c r="N54" i="71"/>
  <c r="Q53" i="71"/>
  <c r="P53" i="71"/>
  <c r="O53" i="71"/>
  <c r="N53" i="71"/>
  <c r="D53" i="71"/>
  <c r="F52" i="71"/>
  <c r="V52" i="71"/>
  <c r="E52" i="71"/>
  <c r="P52" i="71"/>
  <c r="C52" i="71"/>
  <c r="B52" i="71"/>
  <c r="N52" i="71" s="1"/>
  <c r="F51" i="71"/>
  <c r="F50" i="71" s="1"/>
  <c r="Q50" i="71" s="1"/>
  <c r="D49" i="71"/>
  <c r="Q48" i="71"/>
  <c r="P48" i="71"/>
  <c r="O48" i="71"/>
  <c r="N48" i="71"/>
  <c r="Q47" i="71"/>
  <c r="P47" i="71"/>
  <c r="O47" i="71"/>
  <c r="N47" i="71"/>
  <c r="Q46" i="71"/>
  <c r="P46" i="71"/>
  <c r="E47" i="71" s="1"/>
  <c r="E48" i="71" s="1"/>
  <c r="U48" i="71" s="1"/>
  <c r="O46" i="71"/>
  <c r="N46" i="71"/>
  <c r="Q45" i="71"/>
  <c r="F46" i="71"/>
  <c r="F47" i="71" s="1"/>
  <c r="F48" i="71" s="1"/>
  <c r="V48" i="71" s="1"/>
  <c r="P45" i="71"/>
  <c r="E46" i="71" s="1"/>
  <c r="O45" i="71"/>
  <c r="C46" i="71" s="1"/>
  <c r="C47" i="71" s="1"/>
  <c r="N45" i="71"/>
  <c r="B46" i="71" s="1"/>
  <c r="D45" i="71"/>
  <c r="Q44" i="71"/>
  <c r="P44" i="71"/>
  <c r="O44" i="71"/>
  <c r="N44" i="71"/>
  <c r="Q43" i="71"/>
  <c r="P43" i="71"/>
  <c r="O43" i="71"/>
  <c r="N43" i="71"/>
  <c r="Q42" i="71"/>
  <c r="P42" i="71"/>
  <c r="O42" i="71"/>
  <c r="N42" i="71"/>
  <c r="Q41" i="71"/>
  <c r="F42" i="71"/>
  <c r="F43" i="71" s="1"/>
  <c r="F44" i="71" s="1"/>
  <c r="V44" i="71" s="1"/>
  <c r="P41" i="71"/>
  <c r="E42" i="71" s="1"/>
  <c r="O41" i="71"/>
  <c r="C42" i="71" s="1"/>
  <c r="N41" i="71"/>
  <c r="B42" i="71" s="1"/>
  <c r="D41" i="71"/>
  <c r="Q40" i="71"/>
  <c r="P40" i="71"/>
  <c r="O40" i="71"/>
  <c r="N40" i="71"/>
  <c r="Q39" i="71"/>
  <c r="P39" i="71"/>
  <c r="O39" i="71"/>
  <c r="N39" i="71"/>
  <c r="Q38" i="71"/>
  <c r="P38" i="71"/>
  <c r="O38" i="71"/>
  <c r="N38" i="71"/>
  <c r="Q37" i="71"/>
  <c r="F38" i="71"/>
  <c r="F39" i="71" s="1"/>
  <c r="F40" i="71" s="1"/>
  <c r="V40" i="71" s="1"/>
  <c r="P37" i="71"/>
  <c r="E38" i="71" s="1"/>
  <c r="O37" i="71"/>
  <c r="C38" i="71" s="1"/>
  <c r="N37" i="71"/>
  <c r="B38" i="7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E35" i="71" s="1"/>
  <c r="E36" i="71" s="1"/>
  <c r="U36" i="71" s="1"/>
  <c r="O33" i="71"/>
  <c r="C34" i="71" s="1"/>
  <c r="N33" i="71"/>
  <c r="B34" i="71" s="1"/>
  <c r="B35" i="71" s="1"/>
  <c r="B36" i="71" s="1"/>
  <c r="S36" i="71" s="1"/>
  <c r="D33" i="71"/>
  <c r="T32" i="71"/>
  <c r="Q32" i="71"/>
  <c r="P32" i="71"/>
  <c r="O32" i="71"/>
  <c r="N32" i="71"/>
  <c r="D32" i="71"/>
  <c r="Q31" i="71"/>
  <c r="P31" i="71"/>
  <c r="O31" i="71"/>
  <c r="N31" i="71"/>
  <c r="Q30" i="71"/>
  <c r="P30" i="71"/>
  <c r="O30" i="71"/>
  <c r="N30" i="71"/>
  <c r="Q29" i="71"/>
  <c r="F30" i="71" s="1"/>
  <c r="F31" i="71" s="1"/>
  <c r="F32" i="71" s="1"/>
  <c r="V32" i="71" s="1"/>
  <c r="P29" i="71"/>
  <c r="E30" i="71" s="1"/>
  <c r="E31" i="71" s="1"/>
  <c r="E32" i="71" s="1"/>
  <c r="U32" i="71" s="1"/>
  <c r="O29" i="71"/>
  <c r="C30" i="71" s="1"/>
  <c r="N29" i="71"/>
  <c r="B30" i="71" s="1"/>
  <c r="D29" i="71"/>
  <c r="Q28" i="71"/>
  <c r="P28" i="71"/>
  <c r="O28" i="71"/>
  <c r="N28" i="71"/>
  <c r="Q27" i="71"/>
  <c r="P27" i="71"/>
  <c r="O27" i="71"/>
  <c r="N27" i="71"/>
  <c r="Q26" i="71"/>
  <c r="P26" i="71"/>
  <c r="O26" i="71"/>
  <c r="N26" i="71"/>
  <c r="Q25" i="71"/>
  <c r="F26" i="71" s="1"/>
  <c r="F27" i="71" s="1"/>
  <c r="F28" i="71" s="1"/>
  <c r="V28" i="71" s="1"/>
  <c r="P25" i="71"/>
  <c r="E26" i="71" s="1"/>
  <c r="E27" i="71" s="1"/>
  <c r="E28" i="71" s="1"/>
  <c r="U28" i="71" s="1"/>
  <c r="O25" i="71"/>
  <c r="C26" i="71" s="1"/>
  <c r="N25" i="71"/>
  <c r="B26" i="71" s="1"/>
  <c r="D25" i="71"/>
  <c r="Q24" i="71"/>
  <c r="P24" i="71"/>
  <c r="O24" i="71"/>
  <c r="N24" i="71"/>
  <c r="Q23" i="71"/>
  <c r="AB23" i="71" s="1"/>
  <c r="P23" i="71"/>
  <c r="AA23" i="71" s="1"/>
  <c r="O23" i="71"/>
  <c r="Y23" i="71" s="1"/>
  <c r="Z23" i="71" s="1"/>
  <c r="N23" i="71"/>
  <c r="X23" i="71"/>
  <c r="Q22" i="71"/>
  <c r="AB22" i="71"/>
  <c r="P22" i="71"/>
  <c r="O22" i="71"/>
  <c r="Y22" i="71" s="1"/>
  <c r="Z22" i="71" s="1"/>
  <c r="N22" i="71"/>
  <c r="Q21" i="71"/>
  <c r="F22" i="71" s="1"/>
  <c r="F23" i="71" s="1"/>
  <c r="F24" i="71" s="1"/>
  <c r="V24" i="71" s="1"/>
  <c r="P21" i="71"/>
  <c r="O21" i="71"/>
  <c r="Y21" i="71" s="1"/>
  <c r="Z21" i="71" s="1"/>
  <c r="N21" i="71"/>
  <c r="D21" i="71"/>
  <c r="Q20" i="71"/>
  <c r="AB20" i="71"/>
  <c r="P20" i="71"/>
  <c r="O20" i="71"/>
  <c r="Y20" i="71" s="1"/>
  <c r="Z20" i="71" s="1"/>
  <c r="N20" i="71"/>
  <c r="Q19" i="71"/>
  <c r="AB19" i="71" s="1"/>
  <c r="P19" i="71"/>
  <c r="O19" i="71"/>
  <c r="Y19" i="71" s="1"/>
  <c r="Z19" i="71" s="1"/>
  <c r="N19" i="71"/>
  <c r="Q18" i="71"/>
  <c r="AB18" i="71"/>
  <c r="P18" i="71"/>
  <c r="O18" i="71"/>
  <c r="Y18" i="71" s="1"/>
  <c r="Z18" i="71" s="1"/>
  <c r="N18" i="71"/>
  <c r="Q17" i="71"/>
  <c r="P17" i="71"/>
  <c r="O17" i="71"/>
  <c r="C18" i="71" s="1"/>
  <c r="C19" i="71" s="1"/>
  <c r="N17" i="71"/>
  <c r="D17" i="71"/>
  <c r="Q16" i="71"/>
  <c r="AB16" i="71"/>
  <c r="P16" i="71"/>
  <c r="O16" i="71"/>
  <c r="Y16" i="71" s="1"/>
  <c r="Z16" i="71" s="1"/>
  <c r="N16" i="71"/>
  <c r="Q15" i="71"/>
  <c r="P15" i="71"/>
  <c r="O15" i="71"/>
  <c r="N15" i="71"/>
  <c r="Q14" i="71"/>
  <c r="P14" i="71"/>
  <c r="O14" i="71"/>
  <c r="N14" i="71"/>
  <c r="Q13" i="71"/>
  <c r="F14" i="71" s="1"/>
  <c r="F15" i="71" s="1"/>
  <c r="P13" i="71"/>
  <c r="O13" i="71"/>
  <c r="N13" i="71"/>
  <c r="D13" i="71"/>
  <c r="O12" i="71"/>
  <c r="N12" i="71"/>
  <c r="B14" i="71"/>
  <c r="B15" i="71"/>
  <c r="B16" i="71" s="1"/>
  <c r="S16" i="71" s="1"/>
  <c r="E14" i="71"/>
  <c r="E15" i="71" s="1"/>
  <c r="E16" i="71" s="1"/>
  <c r="U16" i="71" s="1"/>
  <c r="AA13" i="71"/>
  <c r="B18" i="71"/>
  <c r="B19" i="71"/>
  <c r="B22" i="71"/>
  <c r="B23" i="71" s="1"/>
  <c r="B24" i="71" s="1"/>
  <c r="S24" i="71" s="1"/>
  <c r="X21" i="71"/>
  <c r="E22" i="71"/>
  <c r="E23" i="71" s="1"/>
  <c r="E24" i="71" s="1"/>
  <c r="U24" i="71" s="1"/>
  <c r="AA21" i="71"/>
  <c r="E18" i="71"/>
  <c r="E19" i="71" s="1"/>
  <c r="E20" i="71" s="1"/>
  <c r="U20" i="71" s="1"/>
  <c r="AA17" i="71"/>
  <c r="AA14" i="71"/>
  <c r="AA15" i="71"/>
  <c r="AA16" i="71"/>
  <c r="AA18" i="71"/>
  <c r="AA19" i="71"/>
  <c r="X20" i="71"/>
  <c r="AA20" i="71"/>
  <c r="C22" i="71"/>
  <c r="C23" i="71" s="1"/>
  <c r="D23" i="71" s="1"/>
  <c r="AB21" i="71"/>
  <c r="X22" i="71"/>
  <c r="AA22" i="71"/>
  <c r="C12" i="71"/>
  <c r="Y11" i="71"/>
  <c r="Z11" i="71" s="1"/>
  <c r="B12" i="71"/>
  <c r="X3" i="71"/>
  <c r="D22" i="71"/>
  <c r="P12" i="71"/>
  <c r="Q49" i="71"/>
  <c r="U52" i="71"/>
  <c r="E51" i="71"/>
  <c r="Q12" i="71"/>
  <c r="D46" i="71"/>
  <c r="Q51" i="71"/>
  <c r="T52" i="71"/>
  <c r="O52" i="71"/>
  <c r="D52" i="71"/>
  <c r="C51" i="71"/>
  <c r="Q52" i="71"/>
  <c r="E55" i="71"/>
  <c r="E54" i="71" s="1"/>
  <c r="C59" i="71"/>
  <c r="E59" i="71"/>
  <c r="E58" i="71" s="1"/>
  <c r="D60" i="71"/>
  <c r="E63" i="71"/>
  <c r="E62" i="71" s="1"/>
  <c r="C67" i="71"/>
  <c r="D67" i="71" s="1"/>
  <c r="C71" i="71"/>
  <c r="T12" i="71"/>
  <c r="C11" i="71"/>
  <c r="S12" i="71"/>
  <c r="E12" i="71"/>
  <c r="AA12" i="71"/>
  <c r="D12" i="71"/>
  <c r="U12" i="71" s="1"/>
  <c r="C50" i="71"/>
  <c r="O51" i="71"/>
  <c r="D51" i="71"/>
  <c r="D71" i="71"/>
  <c r="C70" i="71"/>
  <c r="D70" i="71"/>
  <c r="P51" i="71"/>
  <c r="E50" i="71"/>
  <c r="P49" i="71" s="1"/>
  <c r="C24" i="71"/>
  <c r="D24" i="71" s="1"/>
  <c r="M19" i="43" s="1"/>
  <c r="D11" i="71"/>
  <c r="V12" i="71"/>
  <c r="P50" i="71"/>
  <c r="T24"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s="1"/>
  <c r="A11" i="70"/>
  <c r="E11" i="70" s="1"/>
  <c r="A12" i="70"/>
  <c r="E12" i="70" s="1"/>
  <c r="A13" i="70"/>
  <c r="E13" i="70" s="1"/>
  <c r="A6" i="70"/>
  <c r="Q25" i="40"/>
  <c r="Z25" i="40"/>
  <c r="D94" i="40"/>
  <c r="E94" i="40"/>
  <c r="F94" i="40" s="1"/>
  <c r="G94" i="40" s="1"/>
  <c r="F25" i="40"/>
  <c r="AA25" i="40" s="1"/>
  <c r="Z29" i="39"/>
  <c r="Q29" i="39"/>
  <c r="D103" i="39"/>
  <c r="E103" i="39" s="1"/>
  <c r="F103" i="39" s="1"/>
  <c r="G103" i="39" s="1"/>
  <c r="F29" i="39"/>
  <c r="AA29" i="39" s="1"/>
  <c r="Q18" i="36"/>
  <c r="Z18" i="36" s="1"/>
  <c r="D66" i="36"/>
  <c r="E66" i="36" s="1"/>
  <c r="F66" i="36" s="1"/>
  <c r="G66" i="36" s="1"/>
  <c r="H18" i="36"/>
  <c r="AB18" i="36" s="1"/>
  <c r="F18" i="36"/>
  <c r="C18" i="36"/>
  <c r="Q18" i="35"/>
  <c r="Z18" i="35" s="1"/>
  <c r="D68" i="35"/>
  <c r="E68" i="35" s="1"/>
  <c r="F68" i="35" s="1"/>
  <c r="G68" i="35" s="1"/>
  <c r="F18" i="35"/>
  <c r="AA18" i="35" s="1"/>
  <c r="C18" i="35"/>
  <c r="Q21" i="37"/>
  <c r="Z21" i="37" s="1"/>
  <c r="D77" i="37"/>
  <c r="E77" i="37" s="1"/>
  <c r="C21" i="37"/>
  <c r="Q21" i="34"/>
  <c r="Z21" i="34" s="1"/>
  <c r="D84" i="34"/>
  <c r="E84" i="34" s="1"/>
  <c r="F84" i="34" s="1"/>
  <c r="G84" i="34" s="1"/>
  <c r="F21" i="34"/>
  <c r="AA21" i="34" s="1"/>
  <c r="C21" i="34"/>
  <c r="Q21" i="33"/>
  <c r="Z21" i="33" s="1"/>
  <c r="D83" i="33"/>
  <c r="E83" i="33"/>
  <c r="F83" i="33" s="1"/>
  <c r="G83" i="33" s="1"/>
  <c r="C21" i="33"/>
  <c r="C21" i="21"/>
  <c r="Q21" i="21"/>
  <c r="Z21" i="21"/>
  <c r="H19" i="21"/>
  <c r="D83" i="21"/>
  <c r="F21" i="21"/>
  <c r="AA21" i="21" s="1"/>
  <c r="D81" i="21"/>
  <c r="G20" i="20"/>
  <c r="B86" i="43"/>
  <c r="C22" i="20"/>
  <c r="B75" i="43"/>
  <c r="B55" i="43"/>
  <c r="B66" i="43"/>
  <c r="C25" i="40"/>
  <c r="C29" i="39"/>
  <c r="S25" i="40"/>
  <c r="S29" i="39"/>
  <c r="U18" i="36"/>
  <c r="H25" i="40"/>
  <c r="J25" i="40"/>
  <c r="W25" i="40" s="1"/>
  <c r="H29" i="39"/>
  <c r="J29" i="39"/>
  <c r="AC29" i="39" s="1"/>
  <c r="J18" i="36"/>
  <c r="AC18" i="36" s="1"/>
  <c r="H18" i="35"/>
  <c r="AB18" i="35" s="1"/>
  <c r="S18" i="35"/>
  <c r="J18" i="35"/>
  <c r="AC18" i="35" s="1"/>
  <c r="F77" i="37"/>
  <c r="G77" i="37" s="1"/>
  <c r="H21" i="37"/>
  <c r="U21" i="37" s="1"/>
  <c r="F21" i="37"/>
  <c r="AA21" i="37" s="1"/>
  <c r="H21" i="34"/>
  <c r="H21" i="33"/>
  <c r="U21" i="33" s="1"/>
  <c r="F21" i="33"/>
  <c r="AA21" i="33" s="1"/>
  <c r="E83" i="21"/>
  <c r="F83" i="21" s="1"/>
  <c r="S21" i="21"/>
  <c r="H1" i="69"/>
  <c r="AC25" i="40"/>
  <c r="AB25" i="40"/>
  <c r="U25" i="40"/>
  <c r="AB29" i="39"/>
  <c r="U29" i="39"/>
  <c r="W29" i="39"/>
  <c r="W18" i="36"/>
  <c r="AB21" i="37"/>
  <c r="S21" i="37"/>
  <c r="U18" i="35"/>
  <c r="W18" i="35"/>
  <c r="J21" i="37"/>
  <c r="W21" i="37" s="1"/>
  <c r="J21" i="34"/>
  <c r="J21" i="33"/>
  <c r="W21" i="33" s="1"/>
  <c r="H21" i="21"/>
  <c r="U21" i="21" s="1"/>
  <c r="F38" i="69"/>
  <c r="E37" i="69"/>
  <c r="F36" i="69"/>
  <c r="F35" i="69"/>
  <c r="F21" i="69"/>
  <c r="C21" i="69" s="1"/>
  <c r="F20" i="69"/>
  <c r="E10" i="69"/>
  <c r="E9" i="69"/>
  <c r="F7" i="69"/>
  <c r="C7" i="69" s="1"/>
  <c r="AC21" i="37"/>
  <c r="AB21" i="21"/>
  <c r="G83" i="21"/>
  <c r="J21" i="21"/>
  <c r="W21" i="21" s="1"/>
  <c r="C40" i="69"/>
  <c r="F38" i="68"/>
  <c r="E37" i="68"/>
  <c r="F36" i="68"/>
  <c r="F35" i="68"/>
  <c r="F21" i="68"/>
  <c r="F20" i="68"/>
  <c r="E10" i="68"/>
  <c r="E9" i="68"/>
  <c r="F7" i="68"/>
  <c r="Q72" i="67"/>
  <c r="Q59" i="67"/>
  <c r="Q58" i="67"/>
  <c r="Q51" i="67"/>
  <c r="J50" i="67"/>
  <c r="M47" i="67"/>
  <c r="J53" i="67" s="1"/>
  <c r="D46" i="67"/>
  <c r="F33" i="67"/>
  <c r="F61" i="67" s="1"/>
  <c r="F23" i="67"/>
  <c r="D22" i="67" s="1"/>
  <c r="F21" i="67"/>
  <c r="F20" i="67"/>
  <c r="M19" i="67"/>
  <c r="F18" i="67"/>
  <c r="F17" i="67"/>
  <c r="F15" i="67"/>
  <c r="S2" i="4"/>
  <c r="A13" i="51"/>
  <c r="B11" i="72" s="1"/>
  <c r="S1" i="4"/>
  <c r="B1" i="4"/>
  <c r="C31" i="66"/>
  <c r="C27" i="66"/>
  <c r="C32" i="66" s="1"/>
  <c r="I23" i="66"/>
  <c r="D20" i="66"/>
  <c r="I19" i="66"/>
  <c r="I18" i="66"/>
  <c r="I17" i="66"/>
  <c r="I20" i="66" s="1"/>
  <c r="E15" i="66"/>
  <c r="I14" i="66"/>
  <c r="I13" i="66"/>
  <c r="I12" i="66"/>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G41" i="43" s="1"/>
  <c r="F9" i="1"/>
  <c r="F10" i="1"/>
  <c r="F11" i="1"/>
  <c r="F12" i="1"/>
  <c r="F13" i="1"/>
  <c r="D6" i="1"/>
  <c r="D9" i="1"/>
  <c r="D10" i="1"/>
  <c r="D11" i="1"/>
  <c r="D12" i="1"/>
  <c r="D13" i="1"/>
  <c r="D7" i="1"/>
  <c r="D8" i="1"/>
  <c r="A7" i="1"/>
  <c r="B7" i="1" s="1"/>
  <c r="E7" i="1" s="1"/>
  <c r="A8" i="1"/>
  <c r="B8" i="1" s="1"/>
  <c r="E8" i="1" s="1"/>
  <c r="A9" i="1"/>
  <c r="A10" i="1"/>
  <c r="K10" i="1" s="1"/>
  <c r="M10" i="1" s="1"/>
  <c r="A11" i="1"/>
  <c r="A12" i="1"/>
  <c r="A13" i="1"/>
  <c r="K13" i="1" s="1"/>
  <c r="A6" i="1"/>
  <c r="B11" i="1"/>
  <c r="E11"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c r="C59" i="40" s="1"/>
  <c r="H58" i="40"/>
  <c r="I58" i="40" s="1"/>
  <c r="C58" i="40" s="1"/>
  <c r="H57" i="40"/>
  <c r="I57" i="40"/>
  <c r="C57" i="40" s="1"/>
  <c r="H56" i="40"/>
  <c r="I56" i="40" s="1"/>
  <c r="C56" i="40" s="1"/>
  <c r="H55" i="40"/>
  <c r="I55" i="40" s="1"/>
  <c r="C55" i="40" s="1"/>
  <c r="H54" i="40"/>
  <c r="I54" i="40" s="1"/>
  <c r="C54" i="40" s="1"/>
  <c r="H53" i="40"/>
  <c r="I53" i="40"/>
  <c r="C53" i="40" s="1"/>
  <c r="H52" i="40"/>
  <c r="I52" i="40" s="1"/>
  <c r="C52" i="40" s="1"/>
  <c r="H65" i="39"/>
  <c r="I65" i="39" s="1"/>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103" i="31"/>
  <c r="S103" i="31" s="1"/>
  <c r="R104" i="31"/>
  <c r="S104" i="31" s="1"/>
  <c r="R105" i="31"/>
  <c r="S105" i="31" s="1"/>
  <c r="R106" i="31"/>
  <c r="S106" i="31" s="1"/>
  <c r="R107" i="31"/>
  <c r="S107" i="31" s="1"/>
  <c r="R108" i="31"/>
  <c r="S108" i="31" s="1"/>
  <c r="R109" i="31"/>
  <c r="S109" i="31" s="1"/>
  <c r="R110" i="31"/>
  <c r="S110" i="31" s="1"/>
  <c r="R111" i="3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66" i="31"/>
  <c r="S304" i="31"/>
  <c r="S247" i="31"/>
  <c r="S231" i="31"/>
  <c r="S426" i="31"/>
  <c r="S208" i="31"/>
  <c r="S192" i="31"/>
  <c r="S176" i="31"/>
  <c r="S160" i="31"/>
  <c r="S144" i="31"/>
  <c r="S128" i="31"/>
  <c r="S441" i="31"/>
  <c r="S455" i="31"/>
  <c r="S111"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G493" i="3" s="1"/>
  <c r="BB493" i="3"/>
  <c r="BC493" i="3"/>
  <c r="BA493" i="3" s="1"/>
  <c r="BD493" i="3"/>
  <c r="BE493" i="3"/>
  <c r="BF493" i="3"/>
  <c r="BG493" i="3"/>
  <c r="BH493" i="3"/>
  <c r="BI493" i="3"/>
  <c r="BJ493" i="3"/>
  <c r="BK493" i="3"/>
  <c r="BM493" i="3"/>
  <c r="BN493" i="3"/>
  <c r="BO493" i="3"/>
  <c r="BP493" i="3"/>
  <c r="BR493" i="3"/>
  <c r="BS493" i="3"/>
  <c r="BT493" i="3"/>
  <c r="H494" i="3"/>
  <c r="AC494" i="3"/>
  <c r="BB494" i="3"/>
  <c r="BA494" i="3" s="1"/>
  <c r="BC494" i="3"/>
  <c r="BD494" i="3"/>
  <c r="BE494" i="3"/>
  <c r="BF494" i="3"/>
  <c r="BG494" i="3"/>
  <c r="BH494" i="3"/>
  <c r="BI494" i="3"/>
  <c r="BJ494" i="3"/>
  <c r="BK494" i="3"/>
  <c r="BM494" i="3"/>
  <c r="BL494" i="3" s="1"/>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A497" i="3" s="1"/>
  <c r="AZ497" i="3" s="1"/>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A500" i="3" s="1"/>
  <c r="BD500" i="3"/>
  <c r="BE500" i="3"/>
  <c r="BF500" i="3"/>
  <c r="BG500" i="3"/>
  <c r="BH500" i="3"/>
  <c r="BI500" i="3"/>
  <c r="BJ500" i="3"/>
  <c r="BK500" i="3"/>
  <c r="BM500" i="3"/>
  <c r="BN500" i="3"/>
  <c r="BL500" i="3" s="1"/>
  <c r="BO500" i="3"/>
  <c r="BP500" i="3"/>
  <c r="BQ500" i="3"/>
  <c r="BR500" i="3"/>
  <c r="BS500" i="3"/>
  <c r="BT500" i="3"/>
  <c r="H501" i="3"/>
  <c r="AC501" i="3"/>
  <c r="G501" i="3" s="1"/>
  <c r="BB501" i="3"/>
  <c r="BC501" i="3"/>
  <c r="BA501" i="3" s="1"/>
  <c r="AZ501" i="3" s="1"/>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L502" i="3" s="1"/>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A505" i="3" s="1"/>
  <c r="BD505" i="3"/>
  <c r="BE505" i="3"/>
  <c r="BF505" i="3"/>
  <c r="BG505" i="3"/>
  <c r="BH505" i="3"/>
  <c r="BI505" i="3"/>
  <c r="BJ505" i="3"/>
  <c r="BK505" i="3"/>
  <c r="BM505" i="3"/>
  <c r="BN505" i="3"/>
  <c r="BL505" i="3" s="1"/>
  <c r="AZ505" i="3" s="1"/>
  <c r="BO505" i="3"/>
  <c r="BP505" i="3"/>
  <c r="BR505" i="3"/>
  <c r="BS505" i="3"/>
  <c r="BT505" i="3"/>
  <c r="H506" i="3"/>
  <c r="AC506" i="3"/>
  <c r="BB506" i="3"/>
  <c r="BA506" i="3" s="1"/>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L509" i="3" s="1"/>
  <c r="BN509" i="3"/>
  <c r="BO509" i="3"/>
  <c r="BP509" i="3"/>
  <c r="BR509" i="3"/>
  <c r="BS509" i="3"/>
  <c r="BT509" i="3"/>
  <c r="H510" i="3"/>
  <c r="AC510" i="3"/>
  <c r="G510" i="3" s="1"/>
  <c r="BB510" i="3"/>
  <c r="BC510" i="3"/>
  <c r="BD510" i="3"/>
  <c r="BE510" i="3"/>
  <c r="BF510" i="3"/>
  <c r="BG510" i="3"/>
  <c r="BH510" i="3"/>
  <c r="BI510" i="3"/>
  <c r="BJ510" i="3"/>
  <c r="BK510" i="3"/>
  <c r="BM510" i="3"/>
  <c r="BN510" i="3"/>
  <c r="BL510" i="3" s="1"/>
  <c r="BO510" i="3"/>
  <c r="BP510" i="3"/>
  <c r="BQ510" i="3"/>
  <c r="BR510" i="3"/>
  <c r="BS510" i="3"/>
  <c r="BT510" i="3"/>
  <c r="H511" i="3"/>
  <c r="AC511" i="3"/>
  <c r="BB511" i="3"/>
  <c r="BC511" i="3"/>
  <c r="BA511" i="3" s="1"/>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s="1"/>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A514" i="3" s="1"/>
  <c r="AZ514" i="3" s="1"/>
  <c r="BD514" i="3"/>
  <c r="BE514" i="3"/>
  <c r="BF514" i="3"/>
  <c r="BG514" i="3"/>
  <c r="BH514" i="3"/>
  <c r="BI514" i="3"/>
  <c r="BJ514" i="3"/>
  <c r="BK514" i="3"/>
  <c r="BM514" i="3"/>
  <c r="BN514" i="3"/>
  <c r="BO514" i="3"/>
  <c r="BP514" i="3"/>
  <c r="BQ514" i="3"/>
  <c r="BR514" i="3"/>
  <c r="BS514" i="3"/>
  <c r="BT514" i="3"/>
  <c r="H515" i="3"/>
  <c r="AC515" i="3"/>
  <c r="BB515" i="3"/>
  <c r="BC515" i="3"/>
  <c r="BA515" i="3" s="1"/>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L517" i="3" s="1"/>
  <c r="BN517" i="3"/>
  <c r="BO517" i="3"/>
  <c r="BP517" i="3"/>
  <c r="BR517" i="3"/>
  <c r="BS517" i="3"/>
  <c r="BT517" i="3"/>
  <c r="H518" i="3"/>
  <c r="AC518" i="3"/>
  <c r="G518" i="3" s="1"/>
  <c r="BB518" i="3"/>
  <c r="BC518" i="3"/>
  <c r="BA518" i="3" s="1"/>
  <c r="BD518" i="3"/>
  <c r="BE518" i="3"/>
  <c r="BF518" i="3"/>
  <c r="BG518" i="3"/>
  <c r="BH518" i="3"/>
  <c r="BI518" i="3"/>
  <c r="BJ518" i="3"/>
  <c r="BK518" i="3"/>
  <c r="BM518" i="3"/>
  <c r="BN518" i="3"/>
  <c r="BL518" i="3" s="1"/>
  <c r="BO518" i="3"/>
  <c r="BP518" i="3"/>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A521" i="3" s="1"/>
  <c r="BD521" i="3"/>
  <c r="BE521" i="3"/>
  <c r="BF521" i="3"/>
  <c r="BG521" i="3"/>
  <c r="BH521" i="3"/>
  <c r="BI521" i="3"/>
  <c r="BJ521" i="3"/>
  <c r="BK521" i="3"/>
  <c r="BM521" i="3"/>
  <c r="BN521" i="3"/>
  <c r="BL521" i="3" s="1"/>
  <c r="AZ521" i="3" s="1"/>
  <c r="BO521" i="3"/>
  <c r="BP521" i="3"/>
  <c r="BR521" i="3"/>
  <c r="BS521" i="3"/>
  <c r="BT521" i="3"/>
  <c r="H522" i="3"/>
  <c r="AC522" i="3"/>
  <c r="BB522" i="3"/>
  <c r="BA522" i="3" s="1"/>
  <c r="BC522" i="3"/>
  <c r="BD522" i="3"/>
  <c r="BE522" i="3"/>
  <c r="BF522" i="3"/>
  <c r="BG522" i="3"/>
  <c r="BH522" i="3"/>
  <c r="BI522" i="3"/>
  <c r="BJ522" i="3"/>
  <c r="BK522" i="3"/>
  <c r="BM522" i="3"/>
  <c r="BL522" i="3" s="1"/>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A525" i="3" s="1"/>
  <c r="BD525" i="3"/>
  <c r="BE525" i="3"/>
  <c r="BF525" i="3"/>
  <c r="BG525" i="3"/>
  <c r="BH525" i="3"/>
  <c r="BI525" i="3"/>
  <c r="BJ525" i="3"/>
  <c r="BK525" i="3"/>
  <c r="BM525" i="3"/>
  <c r="BN525" i="3"/>
  <c r="BL525" i="3" s="1"/>
  <c r="AZ525" i="3" s="1"/>
  <c r="BO525" i="3"/>
  <c r="BP525" i="3"/>
  <c r="BR525" i="3"/>
  <c r="BS525" i="3"/>
  <c r="BT525" i="3"/>
  <c r="H526" i="3"/>
  <c r="AC526" i="3"/>
  <c r="G526" i="3"/>
  <c r="BB526" i="3"/>
  <c r="BC526" i="3"/>
  <c r="BA526" i="3" s="1"/>
  <c r="AZ526" i="3" s="1"/>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L530" i="3" s="1"/>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A532" i="3" s="1"/>
  <c r="AZ532" i="3" s="1"/>
  <c r="BC532" i="3"/>
  <c r="BD532" i="3"/>
  <c r="BE532" i="3"/>
  <c r="BF532" i="3"/>
  <c r="BG532" i="3"/>
  <c r="BH532" i="3"/>
  <c r="BI532" i="3"/>
  <c r="BJ532" i="3"/>
  <c r="BK532" i="3"/>
  <c r="BM532" i="3"/>
  <c r="BN532" i="3"/>
  <c r="BO532" i="3"/>
  <c r="BP532" i="3"/>
  <c r="BQ532" i="3"/>
  <c r="BR532" i="3"/>
  <c r="BS532" i="3"/>
  <c r="BT532" i="3"/>
  <c r="H533" i="3"/>
  <c r="G533" i="3" s="1"/>
  <c r="AC533" i="3"/>
  <c r="BB533" i="3"/>
  <c r="BA533" i="3" s="1"/>
  <c r="BC533" i="3"/>
  <c r="BD533" i="3"/>
  <c r="BE533" i="3"/>
  <c r="BF533" i="3"/>
  <c r="BG533" i="3"/>
  <c r="BH533" i="3"/>
  <c r="BI533" i="3"/>
  <c r="BJ533" i="3"/>
  <c r="BK533" i="3"/>
  <c r="BM533" i="3"/>
  <c r="BL533" i="3" s="1"/>
  <c r="AZ533" i="3" s="1"/>
  <c r="BN533" i="3"/>
  <c r="BO533" i="3"/>
  <c r="BP533" i="3"/>
  <c r="BR533" i="3"/>
  <c r="BS533" i="3"/>
  <c r="BT533" i="3"/>
  <c r="H534" i="3"/>
  <c r="AC534" i="3"/>
  <c r="BB534" i="3"/>
  <c r="BC534" i="3"/>
  <c r="BA534" i="3" s="1"/>
  <c r="AZ534" i="3" s="1"/>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A536" i="3" s="1"/>
  <c r="AZ536" i="3" s="1"/>
  <c r="BC536" i="3"/>
  <c r="BD536" i="3"/>
  <c r="BE536" i="3"/>
  <c r="BF536" i="3"/>
  <c r="BG536" i="3"/>
  <c r="BH536" i="3"/>
  <c r="BI536" i="3"/>
  <c r="BJ536" i="3"/>
  <c r="BK536" i="3"/>
  <c r="BM536" i="3"/>
  <c r="BN536" i="3"/>
  <c r="BO536" i="3"/>
  <c r="BP536" i="3"/>
  <c r="BQ536" i="3"/>
  <c r="BR536" i="3"/>
  <c r="BS536" i="3"/>
  <c r="BT536" i="3"/>
  <c r="H537" i="3"/>
  <c r="G537" i="3" s="1"/>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A538" i="3" s="1"/>
  <c r="BD538" i="3"/>
  <c r="BE538" i="3"/>
  <c r="BF538" i="3"/>
  <c r="BG538" i="3"/>
  <c r="BH538" i="3"/>
  <c r="BI538" i="3"/>
  <c r="BJ538" i="3"/>
  <c r="BK538" i="3"/>
  <c r="BM538" i="3"/>
  <c r="BN538" i="3"/>
  <c r="BL538" i="3" s="1"/>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A540" i="3" s="1"/>
  <c r="BC540" i="3"/>
  <c r="BD540" i="3"/>
  <c r="BE540" i="3"/>
  <c r="BF540" i="3"/>
  <c r="BG540" i="3"/>
  <c r="BH540" i="3"/>
  <c r="BI540" i="3"/>
  <c r="BJ540" i="3"/>
  <c r="BK540" i="3"/>
  <c r="BM540" i="3"/>
  <c r="BL540" i="3" s="1"/>
  <c r="BN540" i="3"/>
  <c r="BO540" i="3"/>
  <c r="BP540" i="3"/>
  <c r="BQ540" i="3"/>
  <c r="BR540" i="3"/>
  <c r="BS540" i="3"/>
  <c r="BT540" i="3"/>
  <c r="H541" i="3"/>
  <c r="G541" i="3" s="1"/>
  <c r="AC541" i="3"/>
  <c r="BB541" i="3"/>
  <c r="BA541" i="3" s="1"/>
  <c r="BC541" i="3"/>
  <c r="BD541" i="3"/>
  <c r="BE541" i="3"/>
  <c r="BF541" i="3"/>
  <c r="BG541" i="3"/>
  <c r="BH541" i="3"/>
  <c r="BI541" i="3"/>
  <c r="BJ541" i="3"/>
  <c r="BK541" i="3"/>
  <c r="BM541" i="3"/>
  <c r="BL541" i="3" s="1"/>
  <c r="AZ541" i="3" s="1"/>
  <c r="BN541" i="3"/>
  <c r="BO541" i="3"/>
  <c r="BP541" i="3"/>
  <c r="BR541" i="3"/>
  <c r="BS541" i="3"/>
  <c r="BT541" i="3"/>
  <c r="H542" i="3"/>
  <c r="AC542" i="3"/>
  <c r="G542" i="3" s="1"/>
  <c r="BB542" i="3"/>
  <c r="BC542" i="3"/>
  <c r="BA542" i="3" s="1"/>
  <c r="AZ542" i="3" s="1"/>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A544" i="3" s="1"/>
  <c r="AZ544" i="3" s="1"/>
  <c r="BC544" i="3"/>
  <c r="BD544" i="3"/>
  <c r="BE544" i="3"/>
  <c r="BF544" i="3"/>
  <c r="BG544" i="3"/>
  <c r="BH544" i="3"/>
  <c r="BI544" i="3"/>
  <c r="BJ544" i="3"/>
  <c r="BK544" i="3"/>
  <c r="BM544" i="3"/>
  <c r="BN544" i="3"/>
  <c r="BO544" i="3"/>
  <c r="BP544" i="3"/>
  <c r="BQ544" i="3"/>
  <c r="BR544" i="3"/>
  <c r="BS544" i="3"/>
  <c r="BT544" i="3"/>
  <c r="H545" i="3"/>
  <c r="G545" i="3" s="1"/>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L546" i="3" s="1"/>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A548" i="3" s="1"/>
  <c r="BC548" i="3"/>
  <c r="BD548" i="3"/>
  <c r="BE548" i="3"/>
  <c r="BF548" i="3"/>
  <c r="BG548" i="3"/>
  <c r="BH548" i="3"/>
  <c r="BI548" i="3"/>
  <c r="BJ548" i="3"/>
  <c r="BK548" i="3"/>
  <c r="BM548" i="3"/>
  <c r="BN548" i="3"/>
  <c r="BO548" i="3"/>
  <c r="BP548" i="3"/>
  <c r="BQ548" i="3"/>
  <c r="BR548" i="3"/>
  <c r="BS548" i="3"/>
  <c r="BT548" i="3"/>
  <c r="H549" i="3"/>
  <c r="G549" i="3" s="1"/>
  <c r="AC549" i="3"/>
  <c r="BB549" i="3"/>
  <c r="BA549" i="3" s="1"/>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A552" i="3" s="1"/>
  <c r="BC552" i="3"/>
  <c r="BD552" i="3"/>
  <c r="BE552" i="3"/>
  <c r="BF552" i="3"/>
  <c r="BG552" i="3"/>
  <c r="BH552" i="3"/>
  <c r="BI552" i="3"/>
  <c r="BJ552" i="3"/>
  <c r="BK552" i="3"/>
  <c r="BM552" i="3"/>
  <c r="BL552" i="3" s="1"/>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A554" i="3" s="1"/>
  <c r="AZ554" i="3" s="1"/>
  <c r="BD554" i="3"/>
  <c r="BE554" i="3"/>
  <c r="BF554" i="3"/>
  <c r="BG554" i="3"/>
  <c r="BH554" i="3"/>
  <c r="BI554" i="3"/>
  <c r="BJ554" i="3"/>
  <c r="BK554" i="3"/>
  <c r="BM554" i="3"/>
  <c r="BN554" i="3"/>
  <c r="BO554" i="3"/>
  <c r="BP554" i="3"/>
  <c r="BQ554" i="3"/>
  <c r="BR554" i="3"/>
  <c r="BS554" i="3"/>
  <c r="BT554" i="3"/>
  <c r="H555" i="3"/>
  <c r="AC555" i="3"/>
  <c r="G555" i="3" s="1"/>
  <c r="BB555" i="3"/>
  <c r="BC555" i="3"/>
  <c r="BA555" i="3" s="1"/>
  <c r="BD555" i="3"/>
  <c r="BE555" i="3"/>
  <c r="BF555" i="3"/>
  <c r="BG555" i="3"/>
  <c r="BH555" i="3"/>
  <c r="BI555" i="3"/>
  <c r="BJ555" i="3"/>
  <c r="BK555" i="3"/>
  <c r="BM555" i="3"/>
  <c r="BN555" i="3"/>
  <c r="BL555" i="3" s="1"/>
  <c r="AZ555" i="3" s="1"/>
  <c r="BO555" i="3"/>
  <c r="BP555" i="3"/>
  <c r="BR555" i="3"/>
  <c r="BS555" i="3"/>
  <c r="BT555" i="3"/>
  <c r="H556" i="3"/>
  <c r="AC556" i="3"/>
  <c r="G556" i="3"/>
  <c r="BB556" i="3"/>
  <c r="BC556" i="3"/>
  <c r="BA556" i="3" s="1"/>
  <c r="AZ556" i="3" s="1"/>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A558" i="3" s="1"/>
  <c r="BD558" i="3"/>
  <c r="BE558" i="3"/>
  <c r="BF558" i="3"/>
  <c r="BG558" i="3"/>
  <c r="BH558" i="3"/>
  <c r="BI558" i="3"/>
  <c r="BJ558" i="3"/>
  <c r="BK558" i="3"/>
  <c r="BM558" i="3"/>
  <c r="BN558" i="3"/>
  <c r="BL558" i="3" s="1"/>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L560" i="3" s="1"/>
  <c r="AZ560" i="3" s="1"/>
  <c r="BN560" i="3"/>
  <c r="BO560" i="3"/>
  <c r="BP560" i="3"/>
  <c r="BQ560" i="3"/>
  <c r="BR560" i="3"/>
  <c r="BS560" i="3"/>
  <c r="BT560" i="3"/>
  <c r="H561" i="3"/>
  <c r="AC561" i="3"/>
  <c r="BB561" i="3"/>
  <c r="BA561" i="3" s="1"/>
  <c r="BC561" i="3"/>
  <c r="BD561" i="3"/>
  <c r="BE561" i="3"/>
  <c r="BF561" i="3"/>
  <c r="BG561" i="3"/>
  <c r="BH561" i="3"/>
  <c r="BI561" i="3"/>
  <c r="BJ561" i="3"/>
  <c r="BK561" i="3"/>
  <c r="BM561" i="3"/>
  <c r="BN561" i="3"/>
  <c r="BO561" i="3"/>
  <c r="BP561" i="3"/>
  <c r="BR561" i="3"/>
  <c r="BS561" i="3"/>
  <c r="BT561" i="3"/>
  <c r="H562" i="3"/>
  <c r="AC562" i="3"/>
  <c r="G562" i="3" s="1"/>
  <c r="BB562" i="3"/>
  <c r="BA562" i="3" s="1"/>
  <c r="BC562" i="3"/>
  <c r="BD562" i="3"/>
  <c r="BE562" i="3"/>
  <c r="BF562" i="3"/>
  <c r="BG562" i="3"/>
  <c r="BH562" i="3"/>
  <c r="BI562" i="3"/>
  <c r="BJ562" i="3"/>
  <c r="BK562" i="3"/>
  <c r="BM562" i="3"/>
  <c r="BL562" i="3" s="1"/>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AC566" i="3"/>
  <c r="BB566" i="3"/>
  <c r="BA566" i="3" s="1"/>
  <c r="AZ566" i="3" s="1"/>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L567" i="3" s="1"/>
  <c r="BN567" i="3"/>
  <c r="BO567" i="3"/>
  <c r="BP567" i="3"/>
  <c r="BR567" i="3"/>
  <c r="BS567" i="3"/>
  <c r="BT567" i="3"/>
  <c r="H568" i="3"/>
  <c r="AC568" i="3"/>
  <c r="BB568" i="3"/>
  <c r="BC568" i="3"/>
  <c r="BD568" i="3"/>
  <c r="BE568" i="3"/>
  <c r="BF568" i="3"/>
  <c r="BG568" i="3"/>
  <c r="BH568" i="3"/>
  <c r="BI568" i="3"/>
  <c r="BJ568" i="3"/>
  <c r="BK568" i="3"/>
  <c r="BM568" i="3"/>
  <c r="BN568" i="3"/>
  <c r="BL568" i="3" s="1"/>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AC570" i="3"/>
  <c r="G570" i="3"/>
  <c r="BB570" i="3"/>
  <c r="BC570" i="3"/>
  <c r="BA570" i="3" s="1"/>
  <c r="BD570" i="3"/>
  <c r="BE570" i="3"/>
  <c r="BF570" i="3"/>
  <c r="BG570" i="3"/>
  <c r="BH570" i="3"/>
  <c r="BI570" i="3"/>
  <c r="BJ570" i="3"/>
  <c r="BK570" i="3"/>
  <c r="BM570" i="3"/>
  <c r="BN570" i="3"/>
  <c r="BL570" i="3" s="1"/>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AC574" i="3"/>
  <c r="G574" i="3" s="1"/>
  <c r="BB574" i="3"/>
  <c r="BC574" i="3"/>
  <c r="BA574" i="3" s="1"/>
  <c r="AZ574" i="3" s="1"/>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L576" i="3" s="1"/>
  <c r="BN576" i="3"/>
  <c r="BO576" i="3"/>
  <c r="BP576" i="3"/>
  <c r="BQ576" i="3"/>
  <c r="BR576" i="3"/>
  <c r="BS576" i="3"/>
  <c r="BT576" i="3"/>
  <c r="H577" i="3"/>
  <c r="AC577" i="3"/>
  <c r="BB577" i="3"/>
  <c r="BA577" i="3" s="1"/>
  <c r="BC577" i="3"/>
  <c r="BD577" i="3"/>
  <c r="BE577" i="3"/>
  <c r="BF577" i="3"/>
  <c r="BG577" i="3"/>
  <c r="BH577" i="3"/>
  <c r="BI577" i="3"/>
  <c r="BJ577" i="3"/>
  <c r="BK577" i="3"/>
  <c r="BM577" i="3"/>
  <c r="BN577" i="3"/>
  <c r="BO577" i="3"/>
  <c r="BP577" i="3"/>
  <c r="BR577" i="3"/>
  <c r="BS577" i="3"/>
  <c r="BT577" i="3"/>
  <c r="H578" i="3"/>
  <c r="AC578" i="3"/>
  <c r="G578" i="3" s="1"/>
  <c r="BB578" i="3"/>
  <c r="BA578" i="3" s="1"/>
  <c r="BC578" i="3"/>
  <c r="BD578" i="3"/>
  <c r="BE578" i="3"/>
  <c r="BF578" i="3"/>
  <c r="BG578" i="3"/>
  <c r="BH578" i="3"/>
  <c r="BI578" i="3"/>
  <c r="BJ578" i="3"/>
  <c r="BK578" i="3"/>
  <c r="BM578" i="3"/>
  <c r="BL578" i="3" s="1"/>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A581" i="3" s="1"/>
  <c r="BD581" i="3"/>
  <c r="BE581" i="3"/>
  <c r="BF581" i="3"/>
  <c r="BG581" i="3"/>
  <c r="BH581" i="3"/>
  <c r="BI581" i="3"/>
  <c r="BJ581" i="3"/>
  <c r="BK581" i="3"/>
  <c r="BM581" i="3"/>
  <c r="BN581" i="3"/>
  <c r="BO581" i="3"/>
  <c r="BP581" i="3"/>
  <c r="BR581" i="3"/>
  <c r="BS581" i="3"/>
  <c r="BT581" i="3"/>
  <c r="H582" i="3"/>
  <c r="AC582" i="3"/>
  <c r="BB582" i="3"/>
  <c r="BA582" i="3" s="1"/>
  <c r="AZ582" i="3" s="1"/>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L584" i="3" s="1"/>
  <c r="AZ584" i="3" s="1"/>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U34" i="37" s="1"/>
  <c r="D101" i="37"/>
  <c r="F34" i="37"/>
  <c r="S34" i="37" s="1"/>
  <c r="D99" i="37"/>
  <c r="E99" i="37"/>
  <c r="F99" i="37" s="1"/>
  <c r="G99" i="37" s="1"/>
  <c r="H99" i="37" s="1"/>
  <c r="I99" i="37" s="1"/>
  <c r="J99" i="37" s="1"/>
  <c r="K99" i="37" s="1"/>
  <c r="L99" i="37" s="1"/>
  <c r="M99" i="37" s="1"/>
  <c r="H42" i="34"/>
  <c r="U42" i="34" s="1"/>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F40" i="33"/>
  <c r="J41" i="33"/>
  <c r="AC41" i="33" s="1"/>
  <c r="D113" i="33"/>
  <c r="F37" i="33"/>
  <c r="AA37" i="33" s="1"/>
  <c r="D111" i="33"/>
  <c r="E111" i="33" s="1"/>
  <c r="F111" i="33" s="1"/>
  <c r="G111" i="33" s="1"/>
  <c r="H111" i="33" s="1"/>
  <c r="I111" i="33" s="1"/>
  <c r="J111" i="33" s="1"/>
  <c r="K111" i="33" s="1"/>
  <c r="L111" i="33" s="1"/>
  <c r="M111" i="33" s="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J14" i="40" s="1"/>
  <c r="B79" i="40"/>
  <c r="B77" i="40"/>
  <c r="J12" i="40" s="1"/>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AC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U45" i="39" s="1"/>
  <c r="B129" i="39"/>
  <c r="H44" i="39"/>
  <c r="AB44" i="39" s="1"/>
  <c r="B127" i="39"/>
  <c r="J43" i="39"/>
  <c r="AC43" i="39"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c r="AC23" i="39"/>
  <c r="D95" i="39"/>
  <c r="E95" i="39"/>
  <c r="F95" i="39" s="1"/>
  <c r="D93" i="39"/>
  <c r="E93" i="39" s="1"/>
  <c r="F93" i="39" s="1"/>
  <c r="G93" i="39" s="1"/>
  <c r="D91" i="39"/>
  <c r="E91" i="39" s="1"/>
  <c r="F91" i="39" s="1"/>
  <c r="G91" i="39" s="1"/>
  <c r="D89" i="39"/>
  <c r="E89" i="39" s="1"/>
  <c r="F89" i="39" s="1"/>
  <c r="G89" i="39" s="1"/>
  <c r="B86" i="39"/>
  <c r="H14" i="39" s="1"/>
  <c r="AB14" i="39" s="1"/>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H40" i="37" s="1"/>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D75" i="37"/>
  <c r="E75" i="37" s="1"/>
  <c r="D73" i="37"/>
  <c r="E73" i="37" s="1"/>
  <c r="F73" i="37" s="1"/>
  <c r="D71" i="37"/>
  <c r="H15" i="37"/>
  <c r="AB15" i="37" s="1"/>
  <c r="B68" i="37"/>
  <c r="H14" i="37" s="1"/>
  <c r="B66" i="37"/>
  <c r="H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s="1"/>
  <c r="H54" i="36" s="1"/>
  <c r="I54" i="36" s="1"/>
  <c r="C51" i="36"/>
  <c r="J9" i="36" s="1"/>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H34" i="35" s="1"/>
  <c r="AB34" i="35" s="1"/>
  <c r="B77" i="35"/>
  <c r="B75" i="35"/>
  <c r="J24" i="35" s="1"/>
  <c r="B73" i="35"/>
  <c r="H23" i="35" s="1"/>
  <c r="U23" i="35" s="1"/>
  <c r="B57" i="35"/>
  <c r="B61" i="35"/>
  <c r="F13" i="35" s="1"/>
  <c r="B59" i="35"/>
  <c r="B131" i="34"/>
  <c r="F47" i="34" s="1"/>
  <c r="S47" i="34" s="1"/>
  <c r="B129" i="34"/>
  <c r="B127" i="34"/>
  <c r="H45" i="34" s="1"/>
  <c r="U45" i="34" s="1"/>
  <c r="B99" i="34"/>
  <c r="B97" i="34"/>
  <c r="H31" i="34" s="1"/>
  <c r="AB31" i="34" s="1"/>
  <c r="B95" i="34"/>
  <c r="B93" i="34"/>
  <c r="J29" i="34" s="1"/>
  <c r="AC29" i="34" s="1"/>
  <c r="B75" i="34"/>
  <c r="B73" i="34"/>
  <c r="H13" i="34" s="1"/>
  <c r="U13" i="34" s="1"/>
  <c r="B71" i="34"/>
  <c r="B130" i="33"/>
  <c r="J46" i="33" s="1"/>
  <c r="AC46" i="33" s="1"/>
  <c r="B128" i="33"/>
  <c r="B126" i="33"/>
  <c r="J44" i="33" s="1"/>
  <c r="AC44" i="33" s="1"/>
  <c r="B98" i="33"/>
  <c r="B96" i="33"/>
  <c r="H30" i="33" s="1"/>
  <c r="AB30" i="33" s="1"/>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F34" i="35"/>
  <c r="AA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U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F9" i="34"/>
  <c r="AA9" i="34" s="1"/>
  <c r="J8" i="34"/>
  <c r="AC8" i="34"/>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H46" i="21" s="1"/>
  <c r="U46" i="21" s="1"/>
  <c r="B128" i="21"/>
  <c r="J45" i="21"/>
  <c r="W45" i="21" s="1"/>
  <c r="B126" i="21"/>
  <c r="B98" i="21"/>
  <c r="H31" i="21" s="1"/>
  <c r="U31" i="21" s="1"/>
  <c r="B96" i="21"/>
  <c r="H30" i="21" s="1"/>
  <c r="B94" i="21"/>
  <c r="J29" i="21" s="1"/>
  <c r="AC29" i="21" s="1"/>
  <c r="B92" i="21"/>
  <c r="F28" i="21" s="1"/>
  <c r="B90" i="21"/>
  <c r="J27" i="21" s="1"/>
  <c r="W27" i="21" s="1"/>
  <c r="B74" i="21"/>
  <c r="J14" i="21" s="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A585" i="3" s="1"/>
  <c r="AZ585" i="3" s="1"/>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F45" i="39"/>
  <c r="S45" i="39" s="1"/>
  <c r="J45" i="39"/>
  <c r="W45" i="39" s="1"/>
  <c r="J44" i="39"/>
  <c r="AC44" i="39" s="1"/>
  <c r="F36" i="39"/>
  <c r="S36" i="39" s="1"/>
  <c r="H36" i="39"/>
  <c r="AB36" i="39" s="1"/>
  <c r="F35" i="39"/>
  <c r="AA35" i="39" s="1"/>
  <c r="J36" i="39"/>
  <c r="AC36" i="39" s="1"/>
  <c r="U9" i="39"/>
  <c r="U30" i="37"/>
  <c r="W31" i="37"/>
  <c r="E103" i="37"/>
  <c r="F103" i="37"/>
  <c r="G103" i="37" s="1"/>
  <c r="H103" i="37" s="1"/>
  <c r="I103" i="37" s="1"/>
  <c r="J103" i="37" s="1"/>
  <c r="K103" i="37" s="1"/>
  <c r="L103" i="37" s="1"/>
  <c r="M103" i="37" s="1"/>
  <c r="F29" i="36"/>
  <c r="AA29" i="36" s="1"/>
  <c r="W8" i="36"/>
  <c r="F16" i="36"/>
  <c r="AA16" i="36" s="1"/>
  <c r="W28" i="36"/>
  <c r="S30" i="36"/>
  <c r="AC31" i="36"/>
  <c r="W31" i="36"/>
  <c r="J33" i="36"/>
  <c r="W33" i="36" s="1"/>
  <c r="H22" i="35"/>
  <c r="AB22" i="35" s="1"/>
  <c r="AC27" i="35"/>
  <c r="S34" i="35"/>
  <c r="W36" i="35"/>
  <c r="W22" i="35"/>
  <c r="F36" i="34"/>
  <c r="J35" i="34"/>
  <c r="U34" i="34"/>
  <c r="H39" i="33"/>
  <c r="AB39" i="33" s="1"/>
  <c r="U33" i="33"/>
  <c r="S40" i="33"/>
  <c r="W39" i="33"/>
  <c r="S27" i="35"/>
  <c r="F11" i="40"/>
  <c r="AA11" i="40" s="1"/>
  <c r="H11" i="40"/>
  <c r="AB11" i="40" s="1"/>
  <c r="W8" i="40"/>
  <c r="AA9" i="40"/>
  <c r="U9" i="40"/>
  <c r="S40" i="40"/>
  <c r="U40" i="40"/>
  <c r="F42" i="39"/>
  <c r="AA42" i="39"/>
  <c r="F41" i="39"/>
  <c r="S41" i="39"/>
  <c r="H40" i="39"/>
  <c r="AB40" i="39"/>
  <c r="H39" i="39"/>
  <c r="U39" i="39"/>
  <c r="S34" i="39"/>
  <c r="H34" i="39"/>
  <c r="U34" i="39"/>
  <c r="H31" i="39"/>
  <c r="AB31" i="39" s="1"/>
  <c r="F31" i="39"/>
  <c r="AA31" i="39" s="1"/>
  <c r="E101" i="39"/>
  <c r="H19" i="39"/>
  <c r="AB19" i="39"/>
  <c r="F19" i="39"/>
  <c r="AA19" i="39"/>
  <c r="H17" i="39"/>
  <c r="AB17" i="39"/>
  <c r="F17" i="39"/>
  <c r="AA17" i="39"/>
  <c r="J23" i="40"/>
  <c r="AC23" i="40"/>
  <c r="F21" i="40"/>
  <c r="AA21" i="40"/>
  <c r="J21" i="40"/>
  <c r="W21" i="40"/>
  <c r="H42" i="39"/>
  <c r="AB42" i="39"/>
  <c r="J34" i="39"/>
  <c r="AC34" i="39"/>
  <c r="J31" i="39"/>
  <c r="F101" i="39"/>
  <c r="G101" i="39" s="1"/>
  <c r="H27" i="39"/>
  <c r="U27" i="39"/>
  <c r="J19" i="39"/>
  <c r="AC19" i="39"/>
  <c r="J17" i="39"/>
  <c r="J27" i="39"/>
  <c r="AC27" i="39" s="1"/>
  <c r="F27" i="39"/>
  <c r="F11" i="21"/>
  <c r="S11" i="21" s="1"/>
  <c r="S40" i="21"/>
  <c r="U34"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AC12" i="34"/>
  <c r="AA12" i="34"/>
  <c r="AB12" i="35"/>
  <c r="W32" i="40"/>
  <c r="S44" i="39"/>
  <c r="J34" i="36"/>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C8" i="35"/>
  <c r="J20" i="35"/>
  <c r="W20" i="35"/>
  <c r="F35" i="37"/>
  <c r="S35" i="37"/>
  <c r="E101" i="37"/>
  <c r="F101" i="37"/>
  <c r="G101" i="37" s="1"/>
  <c r="H101" i="37" s="1"/>
  <c r="I101" i="37" s="1"/>
  <c r="J101" i="37" s="1"/>
  <c r="K101" i="37" s="1"/>
  <c r="L101" i="37" s="1"/>
  <c r="M101" i="37" s="1"/>
  <c r="J34" i="37"/>
  <c r="W34" i="37" s="1"/>
  <c r="S10" i="37"/>
  <c r="AB34" i="37"/>
  <c r="J33" i="37"/>
  <c r="AC33" i="37"/>
  <c r="H40" i="34"/>
  <c r="U40" i="34" s="1"/>
  <c r="H36" i="34"/>
  <c r="U36" i="34" s="1"/>
  <c r="S35" i="34"/>
  <c r="F28" i="34"/>
  <c r="F25" i="34"/>
  <c r="S25" i="34" s="1"/>
  <c r="J23" i="34"/>
  <c r="F19" i="34"/>
  <c r="S19" i="34" s="1"/>
  <c r="H17" i="34"/>
  <c r="U17" i="34" s="1"/>
  <c r="F15" i="34"/>
  <c r="AA15" i="34" s="1"/>
  <c r="J15" i="34"/>
  <c r="W15" i="34" s="1"/>
  <c r="H15" i="34"/>
  <c r="AB15" i="34" s="1"/>
  <c r="S9" i="34"/>
  <c r="W8" i="34"/>
  <c r="J28" i="34"/>
  <c r="W28" i="34" s="1"/>
  <c r="F41" i="33"/>
  <c r="S38" i="33"/>
  <c r="E113" i="33"/>
  <c r="F32" i="33"/>
  <c r="AA32" i="33" s="1"/>
  <c r="J19" i="33"/>
  <c r="AC19" i="33" s="1"/>
  <c r="J15" i="33"/>
  <c r="AC15" i="33" s="1"/>
  <c r="F11" i="33"/>
  <c r="AA11" i="33" s="1"/>
  <c r="U40" i="33"/>
  <c r="U8" i="33"/>
  <c r="S8" i="33"/>
  <c r="F37" i="40"/>
  <c r="AA37" i="40" s="1"/>
  <c r="F36" i="40"/>
  <c r="AA36" i="40" s="1"/>
  <c r="H28" i="40"/>
  <c r="U28" i="40" s="1"/>
  <c r="F23" i="40"/>
  <c r="AA23" i="40" s="1"/>
  <c r="F17" i="40"/>
  <c r="AA17" i="40" s="1"/>
  <c r="J17" i="40"/>
  <c r="W17" i="40" s="1"/>
  <c r="F15" i="40"/>
  <c r="S15" i="40" s="1"/>
  <c r="H15" i="40"/>
  <c r="AB15" i="40" s="1"/>
  <c r="AB30" i="36"/>
  <c r="U30" i="35"/>
  <c r="F29" i="35"/>
  <c r="S29" i="35" s="1"/>
  <c r="H29" i="35"/>
  <c r="AB29" i="35" s="1"/>
  <c r="H33" i="37"/>
  <c r="AB33" i="37" s="1"/>
  <c r="F33" i="37"/>
  <c r="AA33" i="37" s="1"/>
  <c r="W33" i="37"/>
  <c r="AA34" i="37"/>
  <c r="J43" i="34"/>
  <c r="AB42" i="34"/>
  <c r="J40" i="34"/>
  <c r="H38" i="34"/>
  <c r="AB38" i="34" s="1"/>
  <c r="J36" i="34"/>
  <c r="W36" i="34" s="1"/>
  <c r="H25" i="34"/>
  <c r="AB25" i="34" s="1"/>
  <c r="J25" i="34"/>
  <c r="AC25" i="34" s="1"/>
  <c r="F23" i="34"/>
  <c r="AA23" i="34" s="1"/>
  <c r="J19" i="34"/>
  <c r="AC19" i="34" s="1"/>
  <c r="F17" i="34"/>
  <c r="AA17" i="34" s="1"/>
  <c r="S15" i="34"/>
  <c r="F113" i="33"/>
  <c r="G113" i="33" s="1"/>
  <c r="H113" i="33"/>
  <c r="I113" i="33" s="1"/>
  <c r="J113" i="33" s="1"/>
  <c r="K113" i="33" s="1"/>
  <c r="L113" i="33" s="1"/>
  <c r="M113" i="33" s="1"/>
  <c r="H37" i="33"/>
  <c r="AB37" i="33" s="1"/>
  <c r="H15" i="33"/>
  <c r="AB15" i="33" s="1"/>
  <c r="H11" i="33"/>
  <c r="AB11" i="33" s="1"/>
  <c r="F28" i="40"/>
  <c r="AA28" i="40" s="1"/>
  <c r="AA29" i="35"/>
  <c r="AA42" i="34"/>
  <c r="AC38" i="34"/>
  <c r="AA38" i="34"/>
  <c r="J11" i="33"/>
  <c r="W11" i="33" s="1"/>
  <c r="U23" i="40"/>
  <c r="H123" i="21"/>
  <c r="I123" i="21" s="1"/>
  <c r="J123" i="21" s="1"/>
  <c r="K123" i="21" s="1"/>
  <c r="L123" i="21" s="1"/>
  <c r="M123" i="21" s="1"/>
  <c r="J42" i="21"/>
  <c r="AC42" i="21" s="1"/>
  <c r="H42" i="21"/>
  <c r="U42" i="21" s="1"/>
  <c r="J44" i="34"/>
  <c r="AC44" i="34" s="1"/>
  <c r="J10" i="35"/>
  <c r="W10" i="35" s="1"/>
  <c r="BL587" i="3"/>
  <c r="F14" i="21"/>
  <c r="S14" i="21" s="1"/>
  <c r="H28" i="21"/>
  <c r="AB28" i="21" s="1"/>
  <c r="J28" i="21"/>
  <c r="W28" i="21" s="1"/>
  <c r="F30" i="21"/>
  <c r="S30" i="21" s="1"/>
  <c r="J44" i="21"/>
  <c r="AC44" i="21" s="1"/>
  <c r="H44" i="21"/>
  <c r="U44" i="21" s="1"/>
  <c r="F44" i="21"/>
  <c r="AA44" i="21" s="1"/>
  <c r="J46" i="21"/>
  <c r="W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45" i="21"/>
  <c r="AA45" i="21"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J29" i="37"/>
  <c r="W29" i="37" s="1"/>
  <c r="F29" i="37"/>
  <c r="S29" i="37" s="1"/>
  <c r="F105" i="37"/>
  <c r="H36" i="37"/>
  <c r="AB36" i="37" s="1"/>
  <c r="F107" i="37"/>
  <c r="G107" i="37" s="1"/>
  <c r="J37" i="37"/>
  <c r="AC37" i="37"/>
  <c r="H37" i="37"/>
  <c r="U37" i="37"/>
  <c r="H14" i="33"/>
  <c r="U14" i="33" s="1"/>
  <c r="F14" i="33"/>
  <c r="S14" i="33" s="1"/>
  <c r="J14" i="33"/>
  <c r="F30" i="33"/>
  <c r="H44" i="33"/>
  <c r="F29" i="34"/>
  <c r="S29" i="34" s="1"/>
  <c r="J31" i="34"/>
  <c r="F31" i="34"/>
  <c r="S31" i="34" s="1"/>
  <c r="J45" i="34"/>
  <c r="W45" i="34" s="1"/>
  <c r="H47" i="34"/>
  <c r="U47" i="34" s="1"/>
  <c r="J47" i="34"/>
  <c r="AC47" i="34" s="1"/>
  <c r="J13" i="35"/>
  <c r="AC13" i="35" s="1"/>
  <c r="J25" i="35"/>
  <c r="W25" i="35" s="1"/>
  <c r="F25" i="35"/>
  <c r="S25" i="35" s="1"/>
  <c r="H25" i="35"/>
  <c r="AB25" i="35" s="1"/>
  <c r="J35" i="35"/>
  <c r="AC35" i="35" s="1"/>
  <c r="F35" i="35"/>
  <c r="AA35" i="35" s="1"/>
  <c r="H35" i="35"/>
  <c r="AB35" i="35" s="1"/>
  <c r="J25" i="36"/>
  <c r="W25" i="36" s="1"/>
  <c r="F25" i="36"/>
  <c r="S25" i="36" s="1"/>
  <c r="H25" i="36"/>
  <c r="AB25" i="36" s="1"/>
  <c r="F13" i="37"/>
  <c r="S13" i="37" s="1"/>
  <c r="F28" i="37"/>
  <c r="AA28" i="37" s="1"/>
  <c r="J28" i="37"/>
  <c r="AC28" i="37" s="1"/>
  <c r="H28" i="37"/>
  <c r="U28" i="37" s="1"/>
  <c r="H38" i="37"/>
  <c r="AB38" i="37" s="1"/>
  <c r="J38" i="37"/>
  <c r="AC38" i="37" s="1"/>
  <c r="F38" i="37"/>
  <c r="S38" i="37" s="1"/>
  <c r="F43" i="39"/>
  <c r="AA43" i="39" s="1"/>
  <c r="H43" i="39"/>
  <c r="J14" i="39"/>
  <c r="AC14" i="39" s="1"/>
  <c r="F14" i="39"/>
  <c r="F12" i="40"/>
  <c r="S12" i="40" s="1"/>
  <c r="H30" i="40"/>
  <c r="AB30" i="40" s="1"/>
  <c r="F33" i="40"/>
  <c r="AA33" i="40" s="1"/>
  <c r="H33" i="40"/>
  <c r="U33" i="40" s="1"/>
  <c r="J35" i="40"/>
  <c r="AC35" i="40" s="1"/>
  <c r="J37" i="40"/>
  <c r="AC37" i="40" s="1"/>
  <c r="H13" i="40"/>
  <c r="U13" i="40" s="1"/>
  <c r="J13" i="40"/>
  <c r="W13" i="40" s="1"/>
  <c r="F13" i="40"/>
  <c r="AA13" i="40" s="1"/>
  <c r="F14" i="37"/>
  <c r="S14" i="37" s="1"/>
  <c r="F13" i="39"/>
  <c r="J13" i="39"/>
  <c r="W13" i="39"/>
  <c r="H13" i="39"/>
  <c r="H14" i="40"/>
  <c r="AB14" i="40" s="1"/>
  <c r="F14" i="40"/>
  <c r="AA14" i="40" s="1"/>
  <c r="J14" i="37"/>
  <c r="AC14" i="37" s="1"/>
  <c r="J27" i="37"/>
  <c r="AC27" i="37" s="1"/>
  <c r="J36" i="37"/>
  <c r="AC36" i="37" s="1"/>
  <c r="G105" i="37"/>
  <c r="AB11" i="36"/>
  <c r="AB11" i="35"/>
  <c r="J10" i="36"/>
  <c r="AC10" i="36" s="1"/>
  <c r="AB26" i="33"/>
  <c r="AC13" i="36"/>
  <c r="W13" i="36"/>
  <c r="S11" i="36"/>
  <c r="W11" i="36"/>
  <c r="W11" i="35"/>
  <c r="AB46" i="34"/>
  <c r="AC30" i="34"/>
  <c r="AA14" i="34"/>
  <c r="S45" i="33"/>
  <c r="AB45" i="33"/>
  <c r="AB31" i="33"/>
  <c r="U31" i="33"/>
  <c r="W29" i="33"/>
  <c r="U13" i="33"/>
  <c r="AC28" i="21"/>
  <c r="BA586" i="3"/>
  <c r="F17" i="21"/>
  <c r="AA17" i="21" s="1"/>
  <c r="H17" i="21"/>
  <c r="AB17" i="21" s="1"/>
  <c r="F15" i="21"/>
  <c r="S15" i="21" s="1"/>
  <c r="J41" i="39"/>
  <c r="W41" i="39" s="1"/>
  <c r="AC45" i="39"/>
  <c r="W36" i="39"/>
  <c r="U36" i="39"/>
  <c r="G544" i="3"/>
  <c r="G536" i="3"/>
  <c r="G532" i="3"/>
  <c r="G528" i="3"/>
  <c r="G523" i="3"/>
  <c r="G514" i="3"/>
  <c r="G508" i="3"/>
  <c r="G500" i="3"/>
  <c r="G584" i="3"/>
  <c r="G576" i="3"/>
  <c r="G568" i="3"/>
  <c r="G560" i="3"/>
  <c r="G550" i="3"/>
  <c r="BL580" i="3"/>
  <c r="BL572" i="3"/>
  <c r="BL564" i="3"/>
  <c r="BL554" i="3"/>
  <c r="BL542" i="3"/>
  <c r="BL534" i="3"/>
  <c r="BL526" i="3"/>
  <c r="BL516" i="3"/>
  <c r="BL506" i="3"/>
  <c r="BL498" i="3"/>
  <c r="BL582" i="3"/>
  <c r="BL574" i="3"/>
  <c r="BL566" i="3"/>
  <c r="BL556" i="3"/>
  <c r="BL544" i="3"/>
  <c r="BL536" i="3"/>
  <c r="BL532" i="3"/>
  <c r="BL528" i="3"/>
  <c r="BL524" i="3"/>
  <c r="BL514" i="3"/>
  <c r="BL504" i="3"/>
  <c r="BL496" i="3"/>
  <c r="BA584" i="3"/>
  <c r="BA580" i="3"/>
  <c r="AZ580" i="3" s="1"/>
  <c r="BA576" i="3"/>
  <c r="BA572" i="3"/>
  <c r="AZ572" i="3" s="1"/>
  <c r="BA568" i="3"/>
  <c r="BA564" i="3"/>
  <c r="AZ564" i="3" s="1"/>
  <c r="BA560" i="3"/>
  <c r="BA546" i="3"/>
  <c r="BA528" i="3"/>
  <c r="AZ528" i="3" s="1"/>
  <c r="BA524" i="3"/>
  <c r="AZ524" i="3" s="1"/>
  <c r="BA520" i="3"/>
  <c r="AZ520" i="3" s="1"/>
  <c r="BA516" i="3"/>
  <c r="AZ516" i="3" s="1"/>
  <c r="BA512" i="3"/>
  <c r="AZ512" i="3" s="1"/>
  <c r="BA510" i="3"/>
  <c r="AZ510" i="3" s="1"/>
  <c r="BA508" i="3"/>
  <c r="AZ508" i="3" s="1"/>
  <c r="BA504" i="3"/>
  <c r="AZ504" i="3" s="1"/>
  <c r="BA502" i="3"/>
  <c r="BA498" i="3"/>
  <c r="AZ498" i="3" s="1"/>
  <c r="BA496" i="3"/>
  <c r="AZ496" i="3" s="1"/>
  <c r="BA587" i="3"/>
  <c r="AZ587" i="3" s="1"/>
  <c r="BA583" i="3"/>
  <c r="BA579" i="3"/>
  <c r="BA575" i="3"/>
  <c r="BA571" i="3"/>
  <c r="BA567" i="3"/>
  <c r="BA563" i="3"/>
  <c r="BA559" i="3"/>
  <c r="BA553" i="3"/>
  <c r="BA547" i="3"/>
  <c r="BA543" i="3"/>
  <c r="BA539" i="3"/>
  <c r="BA535" i="3"/>
  <c r="BA531" i="3"/>
  <c r="BA527" i="3"/>
  <c r="BA523" i="3"/>
  <c r="BA517" i="3"/>
  <c r="BA513" i="3"/>
  <c r="BA507" i="3"/>
  <c r="BA503" i="3"/>
  <c r="BA499" i="3"/>
  <c r="BA495" i="3"/>
  <c r="G581" i="3"/>
  <c r="G577" i="3"/>
  <c r="G573" i="3"/>
  <c r="G569" i="3"/>
  <c r="G565" i="3"/>
  <c r="G561" i="3"/>
  <c r="BA557" i="3"/>
  <c r="AC557" i="3"/>
  <c r="G557" i="3" s="1"/>
  <c r="BQ557" i="3"/>
  <c r="BL557" i="3" s="1"/>
  <c r="BQ583" i="3"/>
  <c r="BQ581" i="3"/>
  <c r="BL581" i="3"/>
  <c r="BQ579" i="3"/>
  <c r="BL579" i="3"/>
  <c r="BQ577" i="3"/>
  <c r="BQ575" i="3"/>
  <c r="BL575" i="3"/>
  <c r="BQ573" i="3"/>
  <c r="BQ571" i="3"/>
  <c r="BL571" i="3"/>
  <c r="BQ569" i="3"/>
  <c r="BQ567" i="3"/>
  <c r="BQ565" i="3"/>
  <c r="BL565" i="3" s="1"/>
  <c r="BQ563" i="3"/>
  <c r="BL563" i="3"/>
  <c r="BQ561" i="3"/>
  <c r="BL561" i="3"/>
  <c r="BQ559" i="3"/>
  <c r="G559" i="3"/>
  <c r="G553" i="3"/>
  <c r="G547" i="3"/>
  <c r="G543" i="3"/>
  <c r="G539" i="3"/>
  <c r="BQ555" i="3"/>
  <c r="BQ553" i="3"/>
  <c r="BL553" i="3" s="1"/>
  <c r="AZ553" i="3" s="1"/>
  <c r="BQ551" i="3"/>
  <c r="BL551" i="3"/>
  <c r="BQ549" i="3"/>
  <c r="BQ547" i="3"/>
  <c r="BL547" i="3" s="1"/>
  <c r="AZ547" i="3" s="1"/>
  <c r="BQ545" i="3"/>
  <c r="BL545" i="3"/>
  <c r="BQ543" i="3"/>
  <c r="BQ541" i="3"/>
  <c r="BQ539" i="3"/>
  <c r="BL539" i="3" s="1"/>
  <c r="AZ539" i="3" s="1"/>
  <c r="BQ537" i="3"/>
  <c r="BL537" i="3"/>
  <c r="BQ535" i="3"/>
  <c r="BQ533" i="3"/>
  <c r="BQ531" i="3"/>
  <c r="BL531" i="3" s="1"/>
  <c r="AZ531" i="3" s="1"/>
  <c r="BQ529" i="3"/>
  <c r="BL529" i="3"/>
  <c r="BQ527" i="3"/>
  <c r="BQ525" i="3"/>
  <c r="BQ523" i="3"/>
  <c r="BL523" i="3" s="1"/>
  <c r="AZ523" i="3" s="1"/>
  <c r="AC521" i="3"/>
  <c r="AC5" i="3" s="1"/>
  <c r="BQ521" i="3"/>
  <c r="BL520" i="3"/>
  <c r="G519" i="3"/>
  <c r="G515" i="3"/>
  <c r="G511" i="3"/>
  <c r="BQ519" i="3"/>
  <c r="BQ517" i="3"/>
  <c r="BQ515" i="3"/>
  <c r="BL515" i="3" s="1"/>
  <c r="BQ513" i="3"/>
  <c r="BL513" i="3"/>
  <c r="BQ511" i="3"/>
  <c r="BA509" i="3"/>
  <c r="AZ509" i="3" s="1"/>
  <c r="AC509" i="3"/>
  <c r="BQ509" i="3"/>
  <c r="BL508" i="3"/>
  <c r="G507" i="3"/>
  <c r="G503" i="3"/>
  <c r="G499" i="3"/>
  <c r="G495" i="3"/>
  <c r="BQ507" i="3"/>
  <c r="BQ505" i="3"/>
  <c r="BQ503" i="3"/>
  <c r="BL503" i="3" s="1"/>
  <c r="BQ501" i="3"/>
  <c r="BL501" i="3"/>
  <c r="BQ499" i="3"/>
  <c r="BL499" i="3"/>
  <c r="BQ497" i="3"/>
  <c r="BL497" i="3"/>
  <c r="BQ495" i="3"/>
  <c r="BL495" i="3"/>
  <c r="BQ493" i="3"/>
  <c r="O27" i="31"/>
  <c r="O28" i="31"/>
  <c r="O26" i="31"/>
  <c r="M27" i="31"/>
  <c r="M28" i="31"/>
  <c r="M26" i="31"/>
  <c r="I26" i="31"/>
  <c r="I25" i="31"/>
  <c r="Q26" i="31"/>
  <c r="K26" i="31"/>
  <c r="I27" i="31"/>
  <c r="Q27" i="31"/>
  <c r="K27" i="31"/>
  <c r="I28" i="31"/>
  <c r="Q28" i="31"/>
  <c r="K28" i="31"/>
  <c r="AC28" i="34"/>
  <c r="S21" i="40"/>
  <c r="AA12" i="21"/>
  <c r="H25" i="21"/>
  <c r="U25" i="21" s="1"/>
  <c r="F25" i="21"/>
  <c r="J25" i="21"/>
  <c r="AC25" i="21" s="1"/>
  <c r="E125" i="33"/>
  <c r="F125" i="33" s="1"/>
  <c r="G125" i="33" s="1"/>
  <c r="H43" i="33"/>
  <c r="AB43" i="33" s="1"/>
  <c r="H17" i="37"/>
  <c r="U17" i="37" s="1"/>
  <c r="AA36" i="39"/>
  <c r="F39" i="33"/>
  <c r="AA39" i="33" s="1"/>
  <c r="E123" i="33"/>
  <c r="F123" i="33" s="1"/>
  <c r="G123" i="33" s="1"/>
  <c r="H123" i="33" s="1"/>
  <c r="I123" i="33" s="1"/>
  <c r="J123" i="33" s="1"/>
  <c r="K123" i="33" s="1"/>
  <c r="L123" i="33" s="1"/>
  <c r="M123" i="33" s="1"/>
  <c r="H28" i="34"/>
  <c r="AB28" i="34" s="1"/>
  <c r="F14" i="36"/>
  <c r="AA14" i="36" s="1"/>
  <c r="F22" i="36"/>
  <c r="S22" i="36" s="1"/>
  <c r="F26" i="36"/>
  <c r="S26" i="36" s="1"/>
  <c r="H35" i="34"/>
  <c r="F41" i="34"/>
  <c r="S41" i="34" s="1"/>
  <c r="H41" i="34"/>
  <c r="U41" i="34" s="1"/>
  <c r="J41" i="34"/>
  <c r="AC41" i="34" s="1"/>
  <c r="F10" i="35"/>
  <c r="H24" i="35"/>
  <c r="H23" i="37"/>
  <c r="AB23" i="37" s="1"/>
  <c r="J32" i="37"/>
  <c r="F36" i="37"/>
  <c r="AA36" i="37" s="1"/>
  <c r="F37" i="37"/>
  <c r="AA37" i="37" s="1"/>
  <c r="H31" i="40"/>
  <c r="U31" i="40" s="1"/>
  <c r="F32" i="40"/>
  <c r="S32" i="40" s="1"/>
  <c r="H32" i="40"/>
  <c r="J36" i="40"/>
  <c r="W36" i="40" s="1"/>
  <c r="H19" i="37"/>
  <c r="H42" i="33"/>
  <c r="J43" i="33"/>
  <c r="AC43" i="33" s="1"/>
  <c r="U14" i="40"/>
  <c r="AC32" i="36"/>
  <c r="AC33" i="36"/>
  <c r="U35" i="35"/>
  <c r="AA12" i="35"/>
  <c r="W14" i="37"/>
  <c r="AB28" i="37"/>
  <c r="U33" i="37"/>
  <c r="W26" i="37"/>
  <c r="AC8" i="37"/>
  <c r="U26" i="37"/>
  <c r="AB13" i="34"/>
  <c r="AA13" i="33"/>
  <c r="AC31" i="33"/>
  <c r="AC45" i="33"/>
  <c r="W44" i="33"/>
  <c r="U11" i="33"/>
  <c r="U19" i="21"/>
  <c r="U26" i="21"/>
  <c r="AB38" i="21"/>
  <c r="F43" i="33"/>
  <c r="AA43" i="33" s="1"/>
  <c r="AC15" i="34"/>
  <c r="H107" i="37"/>
  <c r="I107" i="37" s="1"/>
  <c r="J107" i="37" s="1"/>
  <c r="K107" i="37" s="1"/>
  <c r="L107" i="37" s="1"/>
  <c r="M107" i="37" s="1"/>
  <c r="H37" i="21"/>
  <c r="U37" i="21" s="1"/>
  <c r="S42" i="21"/>
  <c r="H19" i="34"/>
  <c r="AB19" i="34" s="1"/>
  <c r="F36" i="35"/>
  <c r="J9" i="37"/>
  <c r="H9" i="37"/>
  <c r="F9" i="37"/>
  <c r="S9" i="37" s="1"/>
  <c r="J12" i="37"/>
  <c r="H12" i="37"/>
  <c r="AB12" i="37" s="1"/>
  <c r="F12" i="37"/>
  <c r="E71" i="37"/>
  <c r="F15" i="37"/>
  <c r="AA15" i="37" s="1"/>
  <c r="E94" i="37"/>
  <c r="F31" i="37"/>
  <c r="S31" i="37"/>
  <c r="J42" i="39"/>
  <c r="AC42" i="39"/>
  <c r="H21" i="40"/>
  <c r="AB21" i="40"/>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AC13" i="40"/>
  <c r="W23" i="39"/>
  <c r="W43" i="39"/>
  <c r="AB45" i="39"/>
  <c r="U44" i="39"/>
  <c r="H37" i="39"/>
  <c r="AB37" i="39" s="1"/>
  <c r="W37" i="39"/>
  <c r="H25" i="39"/>
  <c r="AB25" i="39" s="1"/>
  <c r="J25" i="39"/>
  <c r="AC25" i="39" s="1"/>
  <c r="F25" i="39"/>
  <c r="AA25" i="39"/>
  <c r="F15" i="39"/>
  <c r="AA15" i="39"/>
  <c r="H15" i="39"/>
  <c r="U15" i="39"/>
  <c r="J15" i="39"/>
  <c r="W15" i="39"/>
  <c r="H41" i="39"/>
  <c r="W27" i="39"/>
  <c r="AB34" i="39"/>
  <c r="U40" i="39"/>
  <c r="S42" i="39"/>
  <c r="W14" i="39"/>
  <c r="AA41" i="39"/>
  <c r="W9" i="39"/>
  <c r="W8" i="39"/>
  <c r="J19" i="40"/>
  <c r="J50" i="40"/>
  <c r="B54" i="72"/>
  <c r="H103" i="9"/>
  <c r="D8" i="53" s="1"/>
  <c r="B16" i="53"/>
  <c r="B33" i="72" s="1"/>
  <c r="C7" i="37"/>
  <c r="C7" i="34"/>
  <c r="C7" i="36"/>
  <c r="W35" i="40"/>
  <c r="A118" i="9"/>
  <c r="A4" i="52"/>
  <c r="B41" i="72" s="1"/>
  <c r="J11" i="39"/>
  <c r="W11" i="39"/>
  <c r="F11" i="39"/>
  <c r="AA11" i="39"/>
  <c r="A12" i="52"/>
  <c r="B56" i="72"/>
  <c r="S11" i="39"/>
  <c r="G4" i="4"/>
  <c r="I4" i="4"/>
  <c r="K5" i="4"/>
  <c r="B47" i="48" s="1"/>
  <c r="A2" i="9"/>
  <c r="N2" i="43"/>
  <c r="AZ24" i="3"/>
  <c r="AZ28" i="3"/>
  <c r="BL549" i="3"/>
  <c r="AZ549" i="3" s="1"/>
  <c r="AZ502" i="3"/>
  <c r="AZ522"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BA341" i="3"/>
  <c r="BL341" i="3"/>
  <c r="AZ341" i="3" s="1"/>
  <c r="BA343" i="3"/>
  <c r="BA345" i="3"/>
  <c r="BL355" i="3"/>
  <c r="G356" i="3"/>
  <c r="BL357" i="3"/>
  <c r="BA359" i="3"/>
  <c r="BA360" i="3"/>
  <c r="BL360" i="3"/>
  <c r="G361" i="3"/>
  <c r="BA362" i="3"/>
  <c r="G370" i="3"/>
  <c r="BL371" i="3"/>
  <c r="G372" i="3"/>
  <c r="BL373" i="3"/>
  <c r="BA375" i="3"/>
  <c r="AZ375" i="3"/>
  <c r="BA376" i="3"/>
  <c r="BL376" i="3"/>
  <c r="AZ376" i="3" s="1"/>
  <c r="G377" i="3"/>
  <c r="BA378" i="3"/>
  <c r="AZ378" i="3" s="1"/>
  <c r="BL378" i="3"/>
  <c r="G379" i="3"/>
  <c r="BA380" i="3"/>
  <c r="G388" i="3"/>
  <c r="BL389" i="3"/>
  <c r="G390" i="3"/>
  <c r="BL391" i="3"/>
  <c r="BA393" i="3"/>
  <c r="AZ393" i="3" s="1"/>
  <c r="BA394" i="3"/>
  <c r="AZ394" i="3" s="1"/>
  <c r="BL394" i="3"/>
  <c r="G113" i="3"/>
  <c r="BA115" i="3"/>
  <c r="AZ115" i="3" s="1"/>
  <c r="BL116" i="3"/>
  <c r="G117" i="3"/>
  <c r="BA119" i="3"/>
  <c r="AZ119" i="3" s="1"/>
  <c r="BL120" i="3"/>
  <c r="G121" i="3"/>
  <c r="BA123" i="3"/>
  <c r="BL124" i="3"/>
  <c r="AZ124" i="3" s="1"/>
  <c r="G125" i="3"/>
  <c r="BA127" i="3"/>
  <c r="AZ127" i="3" s="1"/>
  <c r="BL128" i="3"/>
  <c r="G129" i="3"/>
  <c r="BA131" i="3"/>
  <c r="AZ131" i="3" s="1"/>
  <c r="BL132" i="3"/>
  <c r="G133" i="3"/>
  <c r="BA135" i="3"/>
  <c r="AZ135" i="3"/>
  <c r="BL136" i="3"/>
  <c r="G137" i="3"/>
  <c r="BA139" i="3"/>
  <c r="AZ139" i="3"/>
  <c r="BL140" i="3"/>
  <c r="AZ140" i="3"/>
  <c r="G141" i="3"/>
  <c r="BA143" i="3"/>
  <c r="AZ143" i="3" s="1"/>
  <c r="BL144" i="3"/>
  <c r="G145" i="3"/>
  <c r="BA147" i="3"/>
  <c r="AZ147" i="3" s="1"/>
  <c r="BL148" i="3"/>
  <c r="AZ148" i="3" s="1"/>
  <c r="G149" i="3"/>
  <c r="BA151" i="3"/>
  <c r="AZ151" i="3" s="1"/>
  <c r="BL152" i="3"/>
  <c r="AZ152" i="3" s="1"/>
  <c r="G153" i="3"/>
  <c r="BA155" i="3"/>
  <c r="AZ155" i="3" s="1"/>
  <c r="BL156" i="3"/>
  <c r="AZ156" i="3" s="1"/>
  <c r="G157" i="3"/>
  <c r="BA159" i="3"/>
  <c r="AZ159" i="3" s="1"/>
  <c r="BL160" i="3"/>
  <c r="AZ160" i="3" s="1"/>
  <c r="G161" i="3"/>
  <c r="BA163" i="3"/>
  <c r="AZ163" i="3" s="1"/>
  <c r="BL164" i="3"/>
  <c r="G165" i="3"/>
  <c r="BA167" i="3"/>
  <c r="AZ167" i="3"/>
  <c r="BL168" i="3"/>
  <c r="G169" i="3"/>
  <c r="BA171" i="3"/>
  <c r="AZ171" i="3"/>
  <c r="BL172" i="3"/>
  <c r="AZ172" i="3"/>
  <c r="G173" i="3"/>
  <c r="BA175" i="3"/>
  <c r="AZ175" i="3" s="1"/>
  <c r="BL176" i="3"/>
  <c r="G177" i="3"/>
  <c r="BA179" i="3"/>
  <c r="AZ179" i="3" s="1"/>
  <c r="BL180" i="3"/>
  <c r="G181" i="3"/>
  <c r="BA183" i="3"/>
  <c r="AZ183" i="3" s="1"/>
  <c r="BL184" i="3"/>
  <c r="AZ184" i="3" s="1"/>
  <c r="G185" i="3"/>
  <c r="BA187" i="3"/>
  <c r="AZ187" i="3" s="1"/>
  <c r="BL188" i="3"/>
  <c r="AZ188" i="3" s="1"/>
  <c r="G189" i="3"/>
  <c r="BA191" i="3"/>
  <c r="AZ191" i="3" s="1"/>
  <c r="BL192" i="3"/>
  <c r="G193" i="3"/>
  <c r="BA195" i="3"/>
  <c r="AZ195" i="3" s="1"/>
  <c r="BL196" i="3"/>
  <c r="G197" i="3"/>
  <c r="BA199" i="3"/>
  <c r="AZ199" i="3"/>
  <c r="BL200" i="3"/>
  <c r="G201" i="3"/>
  <c r="BA203" i="3"/>
  <c r="AZ203" i="3"/>
  <c r="BL204" i="3"/>
  <c r="AZ204" i="3"/>
  <c r="AZ39" i="3"/>
  <c r="AZ43" i="3"/>
  <c r="AZ47" i="3"/>
  <c r="AZ59" i="3"/>
  <c r="AZ63" i="3"/>
  <c r="AZ75" i="3"/>
  <c r="AZ79" i="3"/>
  <c r="AZ168" i="3"/>
  <c r="AZ176" i="3"/>
  <c r="AZ192" i="3"/>
  <c r="AZ200" i="3"/>
  <c r="AZ89" i="3"/>
  <c r="AZ101" i="3"/>
  <c r="AZ109"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s="1"/>
  <c r="BA321" i="3"/>
  <c r="AZ321" i="3" s="1"/>
  <c r="BL321" i="3"/>
  <c r="G322" i="3"/>
  <c r="G325" i="3"/>
  <c r="BL326" i="3"/>
  <c r="BA328" i="3"/>
  <c r="AZ328" i="3" s="1"/>
  <c r="BA329" i="3"/>
  <c r="BL329" i="3"/>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AZ356" i="3" s="1"/>
  <c r="G357" i="3"/>
  <c r="G360" i="3"/>
  <c r="BL361" i="3"/>
  <c r="BA363" i="3"/>
  <c r="AZ363" i="3" s="1"/>
  <c r="BA364" i="3"/>
  <c r="BL364" i="3"/>
  <c r="AZ364" i="3" s="1"/>
  <c r="G365" i="3"/>
  <c r="G368" i="3"/>
  <c r="BL369" i="3"/>
  <c r="BA371" i="3"/>
  <c r="AZ371" i="3" s="1"/>
  <c r="BA372" i="3"/>
  <c r="BL372" i="3"/>
  <c r="G373" i="3"/>
  <c r="G376" i="3"/>
  <c r="BL377" i="3"/>
  <c r="BL379" i="3"/>
  <c r="BA381" i="3"/>
  <c r="AZ381" i="3" s="1"/>
  <c r="BA382" i="3"/>
  <c r="BL382" i="3"/>
  <c r="G383" i="3"/>
  <c r="G386" i="3"/>
  <c r="BL387" i="3"/>
  <c r="BA389" i="3"/>
  <c r="AZ389" i="3"/>
  <c r="BA390" i="3"/>
  <c r="BL390" i="3"/>
  <c r="AZ390" i="3" s="1"/>
  <c r="G391" i="3"/>
  <c r="G394" i="3"/>
  <c r="AZ138" i="3"/>
  <c r="AZ146" i="3"/>
  <c r="AZ150" i="3"/>
  <c r="AZ154" i="3"/>
  <c r="AZ158" i="3"/>
  <c r="AZ166" i="3"/>
  <c r="AZ170" i="3"/>
  <c r="AZ174" i="3"/>
  <c r="AZ182" i="3"/>
  <c r="AZ186" i="3"/>
  <c r="AZ190" i="3"/>
  <c r="AZ198" i="3"/>
  <c r="AZ202" i="3"/>
  <c r="AZ206" i="3"/>
  <c r="BA16" i="3"/>
  <c r="AZ16" i="3" s="1"/>
  <c r="BL303" i="3"/>
  <c r="AZ303" i="3" s="1"/>
  <c r="G304" i="3"/>
  <c r="BA306" i="3"/>
  <c r="BL307" i="3"/>
  <c r="AZ307" i="3" s="1"/>
  <c r="G308" i="3"/>
  <c r="BA310" i="3"/>
  <c r="AZ310" i="3" s="1"/>
  <c r="BL311" i="3"/>
  <c r="G312" i="3"/>
  <c r="BA314" i="3"/>
  <c r="AZ314" i="3" s="1"/>
  <c r="BL315" i="3"/>
  <c r="AZ315" i="3" s="1"/>
  <c r="G316" i="3"/>
  <c r="BA318" i="3"/>
  <c r="AZ318" i="3" s="1"/>
  <c r="BL319" i="3"/>
  <c r="AZ319" i="3" s="1"/>
  <c r="G320" i="3"/>
  <c r="BA322" i="3"/>
  <c r="AZ322" i="3" s="1"/>
  <c r="BL323" i="3"/>
  <c r="AZ323" i="3" s="1"/>
  <c r="G324" i="3"/>
  <c r="BA326" i="3"/>
  <c r="AZ326" i="3" s="1"/>
  <c r="BL327" i="3"/>
  <c r="G328" i="3"/>
  <c r="BA330" i="3"/>
  <c r="AZ330" i="3" s="1"/>
  <c r="BL331" i="3"/>
  <c r="AZ331" i="3" s="1"/>
  <c r="G332" i="3"/>
  <c r="BA334" i="3"/>
  <c r="BL335" i="3"/>
  <c r="AZ335" i="3" s="1"/>
  <c r="G336" i="3"/>
  <c r="BA338" i="3"/>
  <c r="AZ338" i="3" s="1"/>
  <c r="BL339" i="3"/>
  <c r="AZ339" i="3" s="1"/>
  <c r="G340" i="3"/>
  <c r="BL343" i="3"/>
  <c r="G344" i="3"/>
  <c r="G348" i="3"/>
  <c r="G355" i="3"/>
  <c r="AZ209" i="3"/>
  <c r="AZ218" i="3"/>
  <c r="G342" i="3"/>
  <c r="BL345" i="3"/>
  <c r="AZ345" i="3"/>
  <c r="G346" i="3"/>
  <c r="AZ348" i="3"/>
  <c r="BL349" i="3"/>
  <c r="AZ349" i="3"/>
  <c r="BL352" i="3"/>
  <c r="G353" i="3"/>
  <c r="BA357" i="3"/>
  <c r="AZ357" i="3"/>
  <c r="BL358" i="3"/>
  <c r="AZ358" i="3"/>
  <c r="G359" i="3"/>
  <c r="BA361" i="3"/>
  <c r="AZ361" i="3" s="1"/>
  <c r="BL362" i="3"/>
  <c r="G363" i="3"/>
  <c r="BA365" i="3"/>
  <c r="BL366" i="3"/>
  <c r="AZ366" i="3" s="1"/>
  <c r="G367" i="3"/>
  <c r="BA369" i="3"/>
  <c r="AZ369" i="3" s="1"/>
  <c r="BL370" i="3"/>
  <c r="G371" i="3"/>
  <c r="BA373" i="3"/>
  <c r="AZ373" i="3" s="1"/>
  <c r="BL374" i="3"/>
  <c r="AZ374" i="3" s="1"/>
  <c r="G375" i="3"/>
  <c r="BA377" i="3"/>
  <c r="AZ377" i="3" s="1"/>
  <c r="AZ233" i="3"/>
  <c r="AZ237" i="3"/>
  <c r="AZ249" i="3"/>
  <c r="AZ253" i="3"/>
  <c r="AZ269" i="3"/>
  <c r="AZ273" i="3"/>
  <c r="AZ370" i="3"/>
  <c r="BA379" i="3"/>
  <c r="AZ379" i="3"/>
  <c r="BL380" i="3"/>
  <c r="G381" i="3"/>
  <c r="BA383" i="3"/>
  <c r="BL384" i="3"/>
  <c r="G385" i="3"/>
  <c r="BA387" i="3"/>
  <c r="AZ387" i="3"/>
  <c r="BL388" i="3"/>
  <c r="G389" i="3"/>
  <c r="BA391" i="3"/>
  <c r="AZ391" i="3"/>
  <c r="BL392" i="3"/>
  <c r="G393" i="3"/>
  <c r="AZ275" i="3"/>
  <c r="AZ287" i="3"/>
  <c r="AZ295" i="3"/>
  <c r="AZ299" i="3"/>
  <c r="BO5" i="3"/>
  <c r="BM5" i="3"/>
  <c r="F29" i="6" s="1"/>
  <c r="BJ5" i="3"/>
  <c r="BH5" i="3"/>
  <c r="BF5" i="3"/>
  <c r="BD5" i="3"/>
  <c r="BQ5" i="3"/>
  <c r="AZ506" i="3"/>
  <c r="G548" i="3"/>
  <c r="G538" i="3"/>
  <c r="G520" i="3"/>
  <c r="G502" i="3"/>
  <c r="BS5" i="3"/>
  <c r="BP5" i="3"/>
  <c r="BN5" i="3"/>
  <c r="G29" i="6" s="1"/>
  <c r="AZ343" i="3"/>
  <c r="BK5" i="3"/>
  <c r="BI5" i="3"/>
  <c r="BG5" i="3"/>
  <c r="BE5" i="3"/>
  <c r="BC5" i="3"/>
  <c r="G17" i="3"/>
  <c r="BA17" i="3"/>
  <c r="BT5" i="3"/>
  <c r="AZ352" i="3"/>
  <c r="BA15" i="3"/>
  <c r="AZ15" i="3" s="1"/>
  <c r="BB5" i="3"/>
  <c r="BR5" i="3"/>
  <c r="G28" i="6"/>
  <c r="G30" i="6" s="1"/>
  <c r="G31" i="6" s="1"/>
  <c r="AZ384" i="3"/>
  <c r="AZ396" i="3"/>
  <c r="AZ499" i="3"/>
  <c r="G509" i="3"/>
  <c r="BL493" i="3"/>
  <c r="AZ491" i="3"/>
  <c r="AZ382" i="3"/>
  <c r="U36" i="40"/>
  <c r="N4" i="43"/>
  <c r="F36" i="43"/>
  <c r="F81" i="43"/>
  <c r="H113" i="43"/>
  <c r="F48" i="43"/>
  <c r="N7" i="43"/>
  <c r="F70" i="43"/>
  <c r="M6" i="43"/>
  <c r="M11" i="43"/>
  <c r="E17" i="43"/>
  <c r="F39" i="43"/>
  <c r="I17" i="43"/>
  <c r="F35" i="43"/>
  <c r="J17" i="43"/>
  <c r="F6" i="1"/>
  <c r="G6" i="1" s="1"/>
  <c r="U17" i="39"/>
  <c r="S14" i="35"/>
  <c r="U43" i="21"/>
  <c r="U35" i="21"/>
  <c r="AC35" i="21"/>
  <c r="U10" i="21"/>
  <c r="G9" i="1"/>
  <c r="G10" i="1"/>
  <c r="F48" i="9"/>
  <c r="O52" i="9" s="1"/>
  <c r="AC11" i="39"/>
  <c r="AZ563" i="3"/>
  <c r="W37" i="37"/>
  <c r="S15" i="37"/>
  <c r="J37" i="33"/>
  <c r="F106" i="33"/>
  <c r="G106" i="33"/>
  <c r="H106" i="33" s="1"/>
  <c r="I106" i="33" s="1"/>
  <c r="J106" i="33" s="1"/>
  <c r="K106" i="33" s="1"/>
  <c r="L106" i="33" s="1"/>
  <c r="M106" i="33" s="1"/>
  <c r="J34" i="33"/>
  <c r="W34" i="33" s="1"/>
  <c r="F33" i="34"/>
  <c r="W12" i="36"/>
  <c r="AC12" i="36"/>
  <c r="H20" i="36"/>
  <c r="U20" i="36"/>
  <c r="J20" i="36"/>
  <c r="W20" i="36"/>
  <c r="W24" i="36"/>
  <c r="J27" i="36"/>
  <c r="AC33" i="40"/>
  <c r="F111" i="40"/>
  <c r="G111" i="40" s="1"/>
  <c r="H111" i="40" s="1"/>
  <c r="I111" i="40" s="1"/>
  <c r="J111" i="40" s="1"/>
  <c r="K111" i="40" s="1"/>
  <c r="L111" i="40" s="1"/>
  <c r="M111" i="40" s="1"/>
  <c r="H35" i="40"/>
  <c r="AC29" i="35"/>
  <c r="W29" i="35"/>
  <c r="H35" i="37"/>
  <c r="U35" i="37" s="1"/>
  <c r="AC14" i="35"/>
  <c r="H20" i="35"/>
  <c r="U20" i="35"/>
  <c r="F20" i="35"/>
  <c r="AA20" i="35"/>
  <c r="AB23" i="35"/>
  <c r="AB29" i="36"/>
  <c r="U29" i="36"/>
  <c r="H32" i="37"/>
  <c r="F96" i="37"/>
  <c r="H27" i="40"/>
  <c r="U27" i="40" s="1"/>
  <c r="J27" i="40"/>
  <c r="AC27" i="40" s="1"/>
  <c r="F27" i="40"/>
  <c r="S27" i="40" s="1"/>
  <c r="J30" i="40"/>
  <c r="F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F43" i="34"/>
  <c r="AA43" i="34" s="1"/>
  <c r="H44" i="34"/>
  <c r="AB44" i="34" s="1"/>
  <c r="AC38" i="39"/>
  <c r="F39" i="39"/>
  <c r="S39" i="39" s="1"/>
  <c r="J39" i="39"/>
  <c r="E97" i="39"/>
  <c r="F97" i="39" s="1"/>
  <c r="G97" i="39" s="1"/>
  <c r="AZ354" i="3"/>
  <c r="AZ386" i="3"/>
  <c r="C40" i="11"/>
  <c r="AZ223" i="3"/>
  <c r="AZ232" i="3"/>
  <c r="AZ235" i="3"/>
  <c r="AZ248" i="3"/>
  <c r="AZ251" i="3"/>
  <c r="AZ271" i="3"/>
  <c r="AZ280" i="3"/>
  <c r="AZ288" i="3"/>
  <c r="AZ117" i="3"/>
  <c r="AZ133" i="3"/>
  <c r="AZ21" i="3"/>
  <c r="AZ42" i="3"/>
  <c r="AZ45" i="3"/>
  <c r="AZ58" i="3"/>
  <c r="AZ61" i="3"/>
  <c r="AZ77" i="3"/>
  <c r="H74" i="43"/>
  <c r="H49" i="43"/>
  <c r="F23" i="39"/>
  <c r="AA23" i="39"/>
  <c r="H27" i="36"/>
  <c r="U27" i="36"/>
  <c r="F27" i="36"/>
  <c r="AA27" i="36"/>
  <c r="H33" i="34"/>
  <c r="U33" i="34" s="1"/>
  <c r="F32" i="37"/>
  <c r="AA32" i="37" s="1"/>
  <c r="G96" i="37"/>
  <c r="H96" i="37" s="1"/>
  <c r="I96" i="37" s="1"/>
  <c r="J96" i="37" s="1"/>
  <c r="K96" i="37" s="1"/>
  <c r="L96" i="37" s="1"/>
  <c r="M96" i="37" s="1"/>
  <c r="F20" i="36"/>
  <c r="AA20" i="36" s="1"/>
  <c r="J33" i="34"/>
  <c r="AC33" i="34" s="1"/>
  <c r="H23" i="39"/>
  <c r="D48" i="9"/>
  <c r="M52" i="9" s="1"/>
  <c r="H86" i="43"/>
  <c r="H87" i="43"/>
  <c r="K9" i="1"/>
  <c r="M9" i="1" s="1"/>
  <c r="O9" i="1" s="1"/>
  <c r="P9" i="1" s="1"/>
  <c r="AE9" i="1"/>
  <c r="D93" i="9"/>
  <c r="K6" i="1"/>
  <c r="AC26" i="33"/>
  <c r="W26" i="33"/>
  <c r="W27" i="34"/>
  <c r="AC27" i="34"/>
  <c r="AB34" i="36"/>
  <c r="U34" i="36"/>
  <c r="AB33" i="36"/>
  <c r="U33" i="36"/>
  <c r="AC12" i="39"/>
  <c r="W12" i="39"/>
  <c r="AC39" i="40"/>
  <c r="W39" i="40"/>
  <c r="AZ401" i="3"/>
  <c r="AZ412" i="3"/>
  <c r="AZ417" i="3"/>
  <c r="AZ428" i="3"/>
  <c r="AZ433" i="3"/>
  <c r="W12" i="33"/>
  <c r="AC12" i="33"/>
  <c r="AA32" i="36"/>
  <c r="S32" i="36"/>
  <c r="BL14" i="3"/>
  <c r="U30" i="33"/>
  <c r="AA47" i="34"/>
  <c r="W28" i="37"/>
  <c r="S19" i="39"/>
  <c r="F12" i="33"/>
  <c r="H12" i="39"/>
  <c r="AB12" i="39" s="1"/>
  <c r="F39" i="40"/>
  <c r="BA14" i="3"/>
  <c r="AZ14" i="3" s="1"/>
  <c r="AZ367" i="3"/>
  <c r="AZ234" i="3"/>
  <c r="AZ250" i="3"/>
  <c r="AZ286" i="3"/>
  <c r="AZ297" i="3"/>
  <c r="AZ165" i="3"/>
  <c r="AZ181" i="3"/>
  <c r="AZ197" i="3"/>
  <c r="AZ19" i="3"/>
  <c r="AZ26" i="3"/>
  <c r="AZ41" i="3"/>
  <c r="S12" i="1"/>
  <c r="R12" i="1"/>
  <c r="B12" i="1"/>
  <c r="E12" i="1" s="1"/>
  <c r="S10" i="1"/>
  <c r="R10" i="1"/>
  <c r="B10" i="1"/>
  <c r="E10" i="1" s="1"/>
  <c r="AZ107" i="3"/>
  <c r="AZ111" i="3"/>
  <c r="K12" i="1"/>
  <c r="M12" i="1" s="1"/>
  <c r="S13" i="1"/>
  <c r="AR13" i="1" s="1"/>
  <c r="R13" i="1"/>
  <c r="S11" i="1"/>
  <c r="R11" i="1"/>
  <c r="S9" i="1"/>
  <c r="AR9" i="1" s="1"/>
  <c r="R9" i="1"/>
  <c r="J51" i="67"/>
  <c r="C42" i="1"/>
  <c r="C31" i="12" s="1"/>
  <c r="H100" i="43"/>
  <c r="C30" i="66"/>
  <c r="E26" i="66" s="1"/>
  <c r="AC34" i="33"/>
  <c r="AA34" i="33"/>
  <c r="B41" i="1"/>
  <c r="J100" i="43"/>
  <c r="AB37" i="40"/>
  <c r="S35" i="40"/>
  <c r="AC36" i="40"/>
  <c r="AA32" i="40"/>
  <c r="S17" i="40"/>
  <c r="S23" i="40"/>
  <c r="AC17" i="40"/>
  <c r="AC15" i="40"/>
  <c r="AB27" i="40"/>
  <c r="AA19" i="40"/>
  <c r="S28" i="40"/>
  <c r="AA27" i="40"/>
  <c r="U21" i="40"/>
  <c r="AB19" i="40"/>
  <c r="W42" i="39"/>
  <c r="U37" i="39"/>
  <c r="S43" i="39"/>
  <c r="U35" i="39"/>
  <c r="F32" i="39"/>
  <c r="F107" i="39"/>
  <c r="G107" i="39" s="1"/>
  <c r="U25" i="39"/>
  <c r="AB27" i="39"/>
  <c r="U31" i="39"/>
  <c r="S25" i="39"/>
  <c r="J21" i="39"/>
  <c r="AC21" i="39" s="1"/>
  <c r="F21" i="39"/>
  <c r="G95" i="39"/>
  <c r="H21" i="39"/>
  <c r="W19" i="39"/>
  <c r="U19" i="39"/>
  <c r="S17" i="39"/>
  <c r="AC15" i="39"/>
  <c r="S15" i="39"/>
  <c r="AB15" i="39"/>
  <c r="S9" i="39"/>
  <c r="U14" i="39"/>
  <c r="AC13" i="39"/>
  <c r="U12" i="39"/>
  <c r="S23" i="36"/>
  <c r="U13" i="36"/>
  <c r="AB27" i="36"/>
  <c r="U26" i="36"/>
  <c r="S33" i="36"/>
  <c r="S27" i="36"/>
  <c r="AA26" i="36"/>
  <c r="AA34" i="36"/>
  <c r="S29" i="36"/>
  <c r="AC26" i="36"/>
  <c r="AA22" i="36"/>
  <c r="W14" i="36"/>
  <c r="AB14" i="36"/>
  <c r="U22" i="36"/>
  <c r="S16" i="36"/>
  <c r="AA25" i="36"/>
  <c r="S24" i="36"/>
  <c r="U23" i="36"/>
  <c r="AB20" i="36"/>
  <c r="U16" i="36"/>
  <c r="S14" i="36"/>
  <c r="U10" i="36"/>
  <c r="W10" i="36"/>
  <c r="AA25" i="35"/>
  <c r="S23" i="35"/>
  <c r="U29" i="35"/>
  <c r="U28" i="35"/>
  <c r="AB27" i="35"/>
  <c r="U36" i="35"/>
  <c r="U32" i="35"/>
  <c r="AA33" i="35"/>
  <c r="AC30" i="35"/>
  <c r="S32" i="35"/>
  <c r="W32" i="35"/>
  <c r="S28" i="35"/>
  <c r="AB16" i="35"/>
  <c r="U22" i="35"/>
  <c r="S20" i="35"/>
  <c r="AC20" i="35"/>
  <c r="S22" i="35"/>
  <c r="U14" i="35"/>
  <c r="AC10" i="35"/>
  <c r="AB10" i="35"/>
  <c r="AA11" i="35"/>
  <c r="S8" i="35"/>
  <c r="AC9" i="35"/>
  <c r="W9" i="35"/>
  <c r="AC12" i="35"/>
  <c r="W13" i="35"/>
  <c r="F9" i="35"/>
  <c r="H9" i="35"/>
  <c r="AB9" i="35" s="1"/>
  <c r="F26" i="35"/>
  <c r="AA26" i="35"/>
  <c r="J26" i="35"/>
  <c r="H26" i="35"/>
  <c r="U26" i="35" s="1"/>
  <c r="S26" i="37"/>
  <c r="AC29" i="37"/>
  <c r="U29" i="37"/>
  <c r="S32" i="37"/>
  <c r="AB31" i="37"/>
  <c r="W30" i="37"/>
  <c r="S36" i="37"/>
  <c r="AA38" i="37"/>
  <c r="W38" i="37"/>
  <c r="AC35" i="37"/>
  <c r="W39" i="37"/>
  <c r="S30" i="37"/>
  <c r="S37" i="37"/>
  <c r="AC15" i="37"/>
  <c r="J17" i="37"/>
  <c r="W17" i="37" s="1"/>
  <c r="G73" i="37"/>
  <c r="F17" i="37"/>
  <c r="AB17" i="37"/>
  <c r="F75" i="37"/>
  <c r="F19" i="37"/>
  <c r="AA19" i="37" s="1"/>
  <c r="F79" i="37"/>
  <c r="F23" i="37"/>
  <c r="S23" i="37" s="1"/>
  <c r="U23" i="37"/>
  <c r="U15" i="37"/>
  <c r="AA13" i="37"/>
  <c r="AA9" i="37"/>
  <c r="H10" i="37"/>
  <c r="H60" i="37"/>
  <c r="F11" i="37"/>
  <c r="W25" i="34"/>
  <c r="AB8" i="34"/>
  <c r="U44" i="34"/>
  <c r="U43" i="34"/>
  <c r="AC39" i="34"/>
  <c r="W41" i="34"/>
  <c r="AC42" i="34"/>
  <c r="U39" i="34"/>
  <c r="S43" i="34"/>
  <c r="AB41" i="34"/>
  <c r="W34" i="34"/>
  <c r="AA25" i="34"/>
  <c r="U28" i="34"/>
  <c r="S17" i="34"/>
  <c r="AA29" i="34"/>
  <c r="S23" i="34"/>
  <c r="U15" i="34"/>
  <c r="S10" i="34"/>
  <c r="H67" i="34"/>
  <c r="I67" i="34" s="1"/>
  <c r="H10" i="34"/>
  <c r="F11" i="34"/>
  <c r="S11" i="34" s="1"/>
  <c r="F70" i="34"/>
  <c r="AA35" i="33"/>
  <c r="AA29" i="33"/>
  <c r="AB29" i="33"/>
  <c r="W38" i="33"/>
  <c r="H41" i="33"/>
  <c r="F121" i="33"/>
  <c r="G121" i="33" s="1"/>
  <c r="H121" i="33" s="1"/>
  <c r="I121" i="33" s="1"/>
  <c r="J121" i="33" s="1"/>
  <c r="K121" i="33" s="1"/>
  <c r="L121" i="33" s="1"/>
  <c r="M121" i="33" s="1"/>
  <c r="F36" i="33"/>
  <c r="AA36" i="33" s="1"/>
  <c r="J35" i="33"/>
  <c r="W35" i="33" s="1"/>
  <c r="S37" i="33"/>
  <c r="S39" i="33"/>
  <c r="W43" i="33"/>
  <c r="F91" i="33"/>
  <c r="H27" i="33"/>
  <c r="AB27" i="33" s="1"/>
  <c r="H25" i="33"/>
  <c r="AB25" i="33" s="1"/>
  <c r="F25" i="33"/>
  <c r="AA25" i="33" s="1"/>
  <c r="J23" i="33"/>
  <c r="W23" i="33" s="1"/>
  <c r="H23" i="33"/>
  <c r="F19" i="33"/>
  <c r="S19" i="33" s="1"/>
  <c r="W19" i="33"/>
  <c r="J17" i="33"/>
  <c r="AC17" i="33" s="1"/>
  <c r="S15" i="33"/>
  <c r="U9" i="33"/>
  <c r="I66" i="33"/>
  <c r="J10" i="33"/>
  <c r="W10" i="33" s="1"/>
  <c r="H10" i="33"/>
  <c r="U10" i="33" s="1"/>
  <c r="AA10" i="33"/>
  <c r="AC11" i="33"/>
  <c r="AB14" i="33"/>
  <c r="W43" i="21"/>
  <c r="W36" i="21"/>
  <c r="W41" i="21"/>
  <c r="AB39" i="21"/>
  <c r="AA43" i="21"/>
  <c r="S39" i="21"/>
  <c r="AA38" i="21"/>
  <c r="AA36" i="21"/>
  <c r="AC40" i="21"/>
  <c r="J15" i="21"/>
  <c r="W15" i="21" s="1"/>
  <c r="F77" i="21"/>
  <c r="G77" i="21" s="1"/>
  <c r="F23" i="21"/>
  <c r="E85" i="21"/>
  <c r="AC11" i="21"/>
  <c r="AA14" i="21"/>
  <c r="AB8" i="21"/>
  <c r="S8" i="21"/>
  <c r="M3" i="43"/>
  <c r="N10" i="43"/>
  <c r="M1" i="43"/>
  <c r="M8" i="43"/>
  <c r="N8" i="43"/>
  <c r="F59" i="43" s="1"/>
  <c r="N9" i="43"/>
  <c r="D120" i="9"/>
  <c r="C18" i="9"/>
  <c r="D18" i="9" s="1"/>
  <c r="F34" i="67"/>
  <c r="F62" i="67" s="1"/>
  <c r="M20" i="67"/>
  <c r="F34" i="15"/>
  <c r="F62" i="15" s="1"/>
  <c r="G13" i="3"/>
  <c r="BA13" i="3"/>
  <c r="BL17" i="3"/>
  <c r="BL13" i="3"/>
  <c r="J56" i="9"/>
  <c r="J57" i="9" s="1"/>
  <c r="A24" i="51"/>
  <c r="B18" i="72" s="1"/>
  <c r="E5" i="6"/>
  <c r="E32" i="6"/>
  <c r="L19" i="6"/>
  <c r="G1" i="68"/>
  <c r="K1" i="12"/>
  <c r="AR12" i="1"/>
  <c r="AQ12" i="1"/>
  <c r="T12" i="1"/>
  <c r="E19" i="69"/>
  <c r="E19" i="68"/>
  <c r="E19" i="11"/>
  <c r="E1" i="73"/>
  <c r="G41" i="69"/>
  <c r="G22" i="69"/>
  <c r="G41" i="68"/>
  <c r="G22" i="68"/>
  <c r="G27" i="12"/>
  <c r="G26" i="12"/>
  <c r="G41" i="11"/>
  <c r="G22" i="11"/>
  <c r="G25" i="12"/>
  <c r="C100" i="43"/>
  <c r="E11" i="43"/>
  <c r="E10" i="43"/>
  <c r="E9" i="43"/>
  <c r="E8" i="43"/>
  <c r="C7" i="43"/>
  <c r="E81" i="43"/>
  <c r="B79" i="43"/>
  <c r="E48" i="43"/>
  <c r="B46" i="43" s="1"/>
  <c r="E70" i="43"/>
  <c r="B68" i="43" s="1"/>
  <c r="F100" i="43"/>
  <c r="H17" i="43"/>
  <c r="H85" i="43"/>
  <c r="H84" i="43"/>
  <c r="H53" i="43"/>
  <c r="H78" i="43"/>
  <c r="H71" i="43"/>
  <c r="C17" i="43"/>
  <c r="F33" i="43"/>
  <c r="G17" i="43"/>
  <c r="F34" i="43"/>
  <c r="M7" i="43"/>
  <c r="N6" i="43"/>
  <c r="M2" i="43"/>
  <c r="C6" i="43"/>
  <c r="M10" i="43"/>
  <c r="N3" i="43"/>
  <c r="N11" i="43"/>
  <c r="F38" i="43"/>
  <c r="F37" i="43"/>
  <c r="M9" i="43"/>
  <c r="N12" i="43"/>
  <c r="N5" i="43"/>
  <c r="M5" i="43"/>
  <c r="M12" i="43"/>
  <c r="M4" i="43"/>
  <c r="B19" i="53"/>
  <c r="B37" i="72" s="1"/>
  <c r="C7" i="39"/>
  <c r="C68" i="39" s="1"/>
  <c r="C7" i="35"/>
  <c r="C48" i="35" s="1"/>
  <c r="D48" i="35" s="1"/>
  <c r="E48" i="35" s="1"/>
  <c r="C7" i="33"/>
  <c r="C58" i="33" s="1"/>
  <c r="C7" i="21"/>
  <c r="C58" i="21" s="1"/>
  <c r="C7" i="40"/>
  <c r="C63" i="40" s="1"/>
  <c r="M47" i="9"/>
  <c r="G19" i="43"/>
  <c r="T35" i="4"/>
  <c r="A19" i="51" s="1"/>
  <c r="B14" i="72" s="1"/>
  <c r="C46" i="36"/>
  <c r="D46" i="36" s="1"/>
  <c r="C59" i="34"/>
  <c r="D59" i="34" s="1"/>
  <c r="E59" i="34" s="1"/>
  <c r="F59" i="34" s="1"/>
  <c r="G59" i="34" s="1"/>
  <c r="H59" i="34" s="1"/>
  <c r="I59" i="34" s="1"/>
  <c r="C52" i="37"/>
  <c r="D52" i="37" s="1"/>
  <c r="E52" i="37" s="1"/>
  <c r="F52" i="37" s="1"/>
  <c r="A4" i="51"/>
  <c r="B6" i="72" s="1"/>
  <c r="C94" i="9"/>
  <c r="C4" i="12"/>
  <c r="C92" i="9"/>
  <c r="H51" i="43"/>
  <c r="H76" i="43"/>
  <c r="H77" i="43"/>
  <c r="L20" i="6"/>
  <c r="B6" i="1"/>
  <c r="E6" i="1" s="1"/>
  <c r="K11" i="1"/>
  <c r="M11" i="1" s="1"/>
  <c r="AP6" i="1"/>
  <c r="B9" i="1"/>
  <c r="E9" i="1" s="1"/>
  <c r="K7" i="1"/>
  <c r="M7" i="1" s="1"/>
  <c r="G1" i="15"/>
  <c r="G1" i="69"/>
  <c r="G1" i="67"/>
  <c r="W23" i="40"/>
  <c r="AB31" i="40"/>
  <c r="S37" i="40"/>
  <c r="AB28" i="40"/>
  <c r="W28" i="40"/>
  <c r="W34" i="40"/>
  <c r="W27" i="40"/>
  <c r="S36" i="40"/>
  <c r="W37" i="40"/>
  <c r="S13" i="40"/>
  <c r="S33" i="40"/>
  <c r="AA15" i="40"/>
  <c r="U11" i="40"/>
  <c r="AB13" i="40"/>
  <c r="U15" i="40"/>
  <c r="AB17" i="40"/>
  <c r="U8" i="40"/>
  <c r="S8" i="40"/>
  <c r="AA39" i="39"/>
  <c r="AC41" i="39"/>
  <c r="U42" i="39"/>
  <c r="U41" i="39"/>
  <c r="AB41" i="39"/>
  <c r="W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22" i="36"/>
  <c r="W23" i="36"/>
  <c r="AB20" i="35"/>
  <c r="AC25" i="35"/>
  <c r="U25" i="35"/>
  <c r="W33" i="35"/>
  <c r="AA30" i="35"/>
  <c r="S35" i="35"/>
  <c r="W35" i="35"/>
  <c r="AA16" i="35"/>
  <c r="AA35" i="37"/>
  <c r="W36" i="37"/>
  <c r="S28" i="37"/>
  <c r="U36" i="37"/>
  <c r="U38" i="37"/>
  <c r="AB37" i="37"/>
  <c r="S33" i="37"/>
  <c r="AC34" i="37"/>
  <c r="AB35" i="37"/>
  <c r="AA31" i="37"/>
  <c r="AA29" i="37"/>
  <c r="AA8" i="37"/>
  <c r="U8" i="37"/>
  <c r="AB40" i="34"/>
  <c r="W19" i="34"/>
  <c r="AB33" i="34"/>
  <c r="AC45" i="34"/>
  <c r="AA31" i="34"/>
  <c r="AA30" i="34"/>
  <c r="AB45" i="34"/>
  <c r="AB47" i="34"/>
  <c r="U25" i="34"/>
  <c r="AB36" i="34"/>
  <c r="W33" i="34"/>
  <c r="AC14" i="34"/>
  <c r="AC32" i="34"/>
  <c r="W29" i="34"/>
  <c r="W46" i="34"/>
  <c r="AC46" i="34"/>
  <c r="S32" i="34"/>
  <c r="AA32" i="34"/>
  <c r="U30" i="34"/>
  <c r="AB30" i="34"/>
  <c r="U38" i="34"/>
  <c r="AC40" i="34"/>
  <c r="W40" i="34"/>
  <c r="AA36" i="34"/>
  <c r="S36" i="34"/>
  <c r="AA8" i="34"/>
  <c r="S8" i="34"/>
  <c r="AB9" i="34"/>
  <c r="S46" i="34"/>
  <c r="AA46" i="34"/>
  <c r="U32" i="34"/>
  <c r="AB32" i="34"/>
  <c r="U14" i="34"/>
  <c r="AB14" i="34"/>
  <c r="AC43" i="34"/>
  <c r="W43" i="34"/>
  <c r="W23" i="34"/>
  <c r="AC23" i="34"/>
  <c r="AC35" i="34"/>
  <c r="W35" i="34"/>
  <c r="U12" i="34"/>
  <c r="AB12" i="34"/>
  <c r="AB28" i="33"/>
  <c r="W46" i="33"/>
  <c r="U39" i="33"/>
  <c r="U38" i="33"/>
  <c r="S33" i="33"/>
  <c r="AB34" i="33"/>
  <c r="U44" i="33"/>
  <c r="AB44" i="33"/>
  <c r="S30" i="33"/>
  <c r="AA30" i="33"/>
  <c r="AC14" i="33"/>
  <c r="W14" i="33"/>
  <c r="S31" i="33"/>
  <c r="AA31" i="33"/>
  <c r="W13" i="33"/>
  <c r="AC13" i="33"/>
  <c r="U15" i="33"/>
  <c r="U37" i="33"/>
  <c r="AC28" i="33"/>
  <c r="S28" i="33"/>
  <c r="W9" i="33"/>
  <c r="W8" i="33"/>
  <c r="S44" i="21"/>
  <c r="AB42" i="21"/>
  <c r="U28" i="21"/>
  <c r="AA11" i="21"/>
  <c r="S45" i="21"/>
  <c r="I101" i="21"/>
  <c r="J101" i="21" s="1"/>
  <c r="K101" i="21" s="1"/>
  <c r="L101" i="21" s="1"/>
  <c r="M101" i="21" s="1"/>
  <c r="F33" i="21"/>
  <c r="S33" i="21" s="1"/>
  <c r="J33" i="21"/>
  <c r="H33" i="21"/>
  <c r="F37" i="21"/>
  <c r="AA37" i="21" s="1"/>
  <c r="AA26" i="21"/>
  <c r="AB46" i="21"/>
  <c r="U40" i="21"/>
  <c r="AB31" i="21"/>
  <c r="AC15" i="21"/>
  <c r="U13" i="21"/>
  <c r="AB13" i="21"/>
  <c r="W8" i="21"/>
  <c r="S35" i="21"/>
  <c r="AB37" i="21"/>
  <c r="J37" i="21"/>
  <c r="W37" i="21" s="1"/>
  <c r="H15" i="21"/>
  <c r="U15" i="21" s="1"/>
  <c r="J17" i="21"/>
  <c r="AC17" i="21" s="1"/>
  <c r="AC19" i="21"/>
  <c r="W39" i="21"/>
  <c r="H45" i="21"/>
  <c r="U45" i="21" s="1"/>
  <c r="F29" i="21"/>
  <c r="F13" i="21"/>
  <c r="AA13" i="21" s="1"/>
  <c r="AC38" i="21"/>
  <c r="H32" i="21"/>
  <c r="H9" i="21"/>
  <c r="AB9" i="21" s="1"/>
  <c r="J9" i="21"/>
  <c r="J32" i="21"/>
  <c r="W32" i="21" s="1"/>
  <c r="F32"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AC34" i="21"/>
  <c r="W10" i="21"/>
  <c r="AB36" i="21"/>
  <c r="C19" i="39"/>
  <c r="C15" i="40"/>
  <c r="C17" i="40"/>
  <c r="C23" i="40"/>
  <c r="C21" i="40"/>
  <c r="U30" i="40"/>
  <c r="B54" i="43"/>
  <c r="B65" i="43"/>
  <c r="B49" i="43"/>
  <c r="B52" i="43"/>
  <c r="B56" i="43"/>
  <c r="B60" i="43"/>
  <c r="B63" i="43"/>
  <c r="B67" i="43"/>
  <c r="D23" i="15"/>
  <c r="D22" i="15"/>
  <c r="M6" i="1"/>
  <c r="O6" i="1" s="1"/>
  <c r="F30" i="11"/>
  <c r="C48" i="11" s="1"/>
  <c r="F31" i="12"/>
  <c r="F32" i="67"/>
  <c r="F60" i="67" s="1"/>
  <c r="F32" i="15"/>
  <c r="F60" i="15" s="1"/>
  <c r="F28" i="15"/>
  <c r="T13" i="1"/>
  <c r="C77" i="9"/>
  <c r="C74" i="9" s="1"/>
  <c r="AA39" i="40"/>
  <c r="S39" i="40"/>
  <c r="S12" i="33"/>
  <c r="AA12" i="33"/>
  <c r="F54" i="9"/>
  <c r="J32" i="39"/>
  <c r="H107" i="39"/>
  <c r="I107" i="39" s="1"/>
  <c r="J107" i="39" s="1"/>
  <c r="K107" i="39" s="1"/>
  <c r="L107" i="39" s="1"/>
  <c r="M107" i="39" s="1"/>
  <c r="H32" i="39"/>
  <c r="AB32" i="39" s="1"/>
  <c r="AA32" i="39"/>
  <c r="S32" i="39"/>
  <c r="AB21" i="39"/>
  <c r="U21" i="39"/>
  <c r="AA21" i="39"/>
  <c r="S21" i="39"/>
  <c r="W21" i="39"/>
  <c r="S26" i="35"/>
  <c r="U9" i="35"/>
  <c r="AA9" i="35"/>
  <c r="S9" i="35"/>
  <c r="AC26" i="35"/>
  <c r="W26" i="35"/>
  <c r="AB26" i="35"/>
  <c r="AC17" i="37"/>
  <c r="J19" i="37"/>
  <c r="AC19" i="37" s="1"/>
  <c r="G75" i="37"/>
  <c r="S19" i="37"/>
  <c r="AA23" i="37"/>
  <c r="J23" i="37"/>
  <c r="AC23" i="37" s="1"/>
  <c r="G79" i="37"/>
  <c r="J10" i="37"/>
  <c r="W10" i="37" s="1"/>
  <c r="I60" i="37"/>
  <c r="H11" i="37"/>
  <c r="AB11" i="37" s="1"/>
  <c r="AB10" i="37"/>
  <c r="U10" i="37"/>
  <c r="G70" i="34"/>
  <c r="H70" i="34" s="1"/>
  <c r="I70" i="34" s="1"/>
  <c r="J70" i="34" s="1"/>
  <c r="K70" i="34" s="1"/>
  <c r="L70" i="34" s="1"/>
  <c r="M70" i="34" s="1"/>
  <c r="H11" i="34"/>
  <c r="U11" i="34" s="1"/>
  <c r="AB10" i="34"/>
  <c r="U10" i="34"/>
  <c r="J10" i="34"/>
  <c r="AC10" i="34" s="1"/>
  <c r="AB41" i="33"/>
  <c r="U41" i="33"/>
  <c r="J36" i="33"/>
  <c r="H36" i="33"/>
  <c r="AB36" i="33" s="1"/>
  <c r="S36" i="33"/>
  <c r="G91" i="33"/>
  <c r="H91" i="33" s="1"/>
  <c r="I91" i="33" s="1"/>
  <c r="J91" i="33" s="1"/>
  <c r="K91" i="33" s="1"/>
  <c r="L91" i="33" s="1"/>
  <c r="M91" i="33" s="1"/>
  <c r="J27" i="33"/>
  <c r="U25" i="33"/>
  <c r="J25" i="33"/>
  <c r="W25" i="33" s="1"/>
  <c r="AB23" i="33"/>
  <c r="U23" i="33"/>
  <c r="F23" i="33"/>
  <c r="S23" i="33" s="1"/>
  <c r="AC23" i="33"/>
  <c r="AA19" i="33"/>
  <c r="H19" i="33"/>
  <c r="AB19" i="33" s="1"/>
  <c r="H17" i="33"/>
  <c r="AB17" i="33" s="1"/>
  <c r="F17" i="33"/>
  <c r="W17" i="33"/>
  <c r="AC10" i="33"/>
  <c r="AC37" i="21"/>
  <c r="S37" i="21"/>
  <c r="AB15" i="21"/>
  <c r="J23" i="21"/>
  <c r="F85" i="21"/>
  <c r="G85" i="21" s="1"/>
  <c r="H23" i="21"/>
  <c r="AB23" i="21" s="1"/>
  <c r="S13" i="21"/>
  <c r="D6" i="52"/>
  <c r="D121" i="9"/>
  <c r="D7" i="52" s="1"/>
  <c r="K120" i="9"/>
  <c r="J59" i="9"/>
  <c r="J61" i="9" s="1"/>
  <c r="O19" i="43"/>
  <c r="AP7" i="1"/>
  <c r="AB45" i="21"/>
  <c r="AC33" i="21"/>
  <c r="W33" i="21"/>
  <c r="AA33" i="21"/>
  <c r="AC32" i="21"/>
  <c r="U9" i="21"/>
  <c r="AA32" i="21"/>
  <c r="S32" i="21"/>
  <c r="W9" i="21"/>
  <c r="AC9" i="21"/>
  <c r="AB32" i="21"/>
  <c r="U32" i="21"/>
  <c r="A18" i="62"/>
  <c r="B64" i="72" s="1"/>
  <c r="U32" i="39"/>
  <c r="AC32" i="39"/>
  <c r="W32" i="39"/>
  <c r="W19" i="37"/>
  <c r="W23" i="37"/>
  <c r="U11" i="37"/>
  <c r="J11" i="37"/>
  <c r="W11" i="37" s="1"/>
  <c r="AC10" i="37"/>
  <c r="J11" i="34"/>
  <c r="U36" i="33"/>
  <c r="W27" i="33"/>
  <c r="AC27" i="33"/>
  <c r="AA17" i="33"/>
  <c r="S17" i="33"/>
  <c r="U23" i="21"/>
  <c r="AC23" i="21"/>
  <c r="W23" i="21"/>
  <c r="F1" i="67"/>
  <c r="Q52" i="67"/>
  <c r="F34" i="11"/>
  <c r="F11" i="12"/>
  <c r="F34" i="68"/>
  <c r="AG6" i="1"/>
  <c r="H109" i="9"/>
  <c r="H112" i="9"/>
  <c r="D21" i="53" s="1"/>
  <c r="B39" i="72" s="1"/>
  <c r="H111" i="9"/>
  <c r="D126" i="9" s="1"/>
  <c r="I14" i="74" s="1"/>
  <c r="B8" i="74" s="1"/>
  <c r="D59" i="9"/>
  <c r="M55" i="9" s="1"/>
  <c r="AD3" i="71"/>
  <c r="P22" i="43"/>
  <c r="M27" i="67"/>
  <c r="E13" i="76"/>
  <c r="F41" i="67"/>
  <c r="D9" i="68"/>
  <c r="J15" i="15"/>
  <c r="E10" i="76"/>
  <c r="E11" i="76"/>
  <c r="F26" i="67"/>
  <c r="D2" i="36"/>
  <c r="M9" i="67"/>
  <c r="F7" i="82"/>
  <c r="E7" i="76"/>
  <c r="F8" i="15"/>
  <c r="D2" i="35"/>
  <c r="M28" i="15"/>
  <c r="D35" i="9"/>
  <c r="F26" i="15"/>
  <c r="E2" i="68"/>
  <c r="AO12" i="1"/>
  <c r="F37" i="15"/>
  <c r="B7" i="76"/>
  <c r="E8" i="76"/>
  <c r="F16" i="15"/>
  <c r="F36" i="67"/>
  <c r="M23" i="67"/>
  <c r="M28" i="67"/>
  <c r="M6" i="67"/>
  <c r="F20" i="31"/>
  <c r="B9" i="76"/>
  <c r="F13" i="67"/>
  <c r="C36" i="68"/>
  <c r="D34" i="9"/>
  <c r="D2" i="34"/>
  <c r="M6" i="15"/>
  <c r="F43" i="82"/>
  <c r="M26" i="15"/>
  <c r="F9" i="67"/>
  <c r="AO10" i="1"/>
  <c r="F40" i="15"/>
  <c r="AO9" i="1"/>
  <c r="F42" i="67"/>
  <c r="F43" i="67"/>
  <c r="B11" i="76"/>
  <c r="M26" i="67"/>
  <c r="D2" i="33"/>
  <c r="F38" i="67"/>
  <c r="F6" i="73"/>
  <c r="F8" i="67"/>
  <c r="F35" i="67"/>
  <c r="M8" i="15"/>
  <c r="L48" i="67"/>
  <c r="F43" i="15"/>
  <c r="AO11" i="1"/>
  <c r="C76" i="67"/>
  <c r="F16" i="67"/>
  <c r="M24" i="15"/>
  <c r="C76" i="15"/>
  <c r="M29" i="15"/>
  <c r="M29" i="82"/>
  <c r="F7" i="67"/>
  <c r="F38" i="15"/>
  <c r="F6" i="15"/>
  <c r="D2" i="21"/>
  <c r="AO13" i="1"/>
  <c r="L48" i="15"/>
  <c r="F7" i="73"/>
  <c r="E2" i="69"/>
  <c r="M23" i="15"/>
  <c r="E9" i="76"/>
  <c r="F3" i="73"/>
  <c r="F7" i="15"/>
  <c r="L47" i="15"/>
  <c r="F42" i="15"/>
  <c r="F37" i="67"/>
  <c r="E12" i="76"/>
  <c r="F5" i="73"/>
  <c r="F13" i="15"/>
  <c r="B8" i="76"/>
  <c r="J15" i="67"/>
  <c r="M22" i="67"/>
  <c r="M29" i="67"/>
  <c r="F4" i="73"/>
  <c r="F40" i="67"/>
  <c r="B13" i="76"/>
  <c r="M27" i="15"/>
  <c r="F9" i="15"/>
  <c r="M8" i="67"/>
  <c r="B12" i="76"/>
  <c r="M24" i="67"/>
  <c r="D2" i="37"/>
  <c r="M22" i="15"/>
  <c r="M21" i="67"/>
  <c r="F6" i="67"/>
  <c r="L47" i="67"/>
  <c r="F27" i="68"/>
  <c r="F36" i="15"/>
  <c r="B10" i="76"/>
  <c r="M9" i="15"/>
  <c r="F50" i="82" l="1"/>
  <c r="C49" i="82" s="1"/>
  <c r="M7" i="82"/>
  <c r="J6" i="82" s="1"/>
  <c r="C6" i="82"/>
  <c r="F71" i="82"/>
  <c r="M8" i="1"/>
  <c r="C36" i="11"/>
  <c r="C24" i="12"/>
  <c r="F8" i="1"/>
  <c r="M47" i="80"/>
  <c r="M47" i="84"/>
  <c r="C7" i="83"/>
  <c r="C59" i="83" s="1"/>
  <c r="J51" i="82"/>
  <c r="C28" i="82"/>
  <c r="C77" i="84"/>
  <c r="C74" i="84" s="1"/>
  <c r="J1" i="73"/>
  <c r="AQ9" i="1"/>
  <c r="G14" i="3"/>
  <c r="L27" i="6"/>
  <c r="AC11" i="34"/>
  <c r="W11" i="34"/>
  <c r="S29" i="21"/>
  <c r="AA29" i="21"/>
  <c r="AA17" i="37"/>
  <c r="S17" i="37"/>
  <c r="F53" i="9"/>
  <c r="F30" i="68"/>
  <c r="C30" i="68" s="1"/>
  <c r="F28" i="67"/>
  <c r="C28" i="67" s="1"/>
  <c r="F52" i="9"/>
  <c r="M18" i="67"/>
  <c r="F30" i="69"/>
  <c r="C48" i="69" s="1"/>
  <c r="M18" i="15"/>
  <c r="D68" i="9"/>
  <c r="AQ11" i="1"/>
  <c r="AR11" i="1"/>
  <c r="U23" i="39"/>
  <c r="AB23" i="39"/>
  <c r="AC39" i="39"/>
  <c r="W39" i="39"/>
  <c r="AA30" i="40"/>
  <c r="S30" i="40"/>
  <c r="AB32" i="37"/>
  <c r="U32" i="37"/>
  <c r="AB35" i="40"/>
  <c r="U35" i="40"/>
  <c r="AZ17" i="3"/>
  <c r="F28" i="6"/>
  <c r="E28" i="6" s="1"/>
  <c r="K14" i="1" s="1"/>
  <c r="M14" i="1" s="1"/>
  <c r="O14" i="1" s="1"/>
  <c r="P14" i="1" s="1"/>
  <c r="AZ372" i="3"/>
  <c r="AZ123" i="3"/>
  <c r="AZ327" i="3"/>
  <c r="AZ311" i="3"/>
  <c r="S12" i="37"/>
  <c r="AA12" i="37"/>
  <c r="W12" i="37"/>
  <c r="AC12" i="37"/>
  <c r="AB9" i="37"/>
  <c r="U9" i="37"/>
  <c r="S36" i="35"/>
  <c r="AA36" i="35"/>
  <c r="AB19" i="37"/>
  <c r="U19" i="37"/>
  <c r="AB32" i="40"/>
  <c r="U32" i="40"/>
  <c r="S10" i="35"/>
  <c r="AA10" i="35"/>
  <c r="U35" i="34"/>
  <c r="AB35" i="34"/>
  <c r="S25" i="21"/>
  <c r="AA25" i="21"/>
  <c r="AC24" i="35"/>
  <c r="W24" i="35"/>
  <c r="W9" i="36"/>
  <c r="AC9" i="36"/>
  <c r="AB13" i="37"/>
  <c r="U13" i="37"/>
  <c r="AB40" i="37"/>
  <c r="U40" i="37"/>
  <c r="AZ570" i="3"/>
  <c r="AZ562" i="3"/>
  <c r="S10" i="21"/>
  <c r="D19" i="53"/>
  <c r="AC11" i="37"/>
  <c r="W36" i="33"/>
  <c r="AC36" i="33"/>
  <c r="AB33" i="21"/>
  <c r="U33" i="21"/>
  <c r="D9" i="11"/>
  <c r="C9" i="11" s="1"/>
  <c r="D19" i="12"/>
  <c r="C19" i="12" s="1"/>
  <c r="AZ13" i="3"/>
  <c r="S23" i="21"/>
  <c r="AA23" i="21"/>
  <c r="S11" i="37"/>
  <c r="AA11" i="37"/>
  <c r="AQ10" i="1"/>
  <c r="T10" i="1"/>
  <c r="S40" i="34"/>
  <c r="AA40" i="34"/>
  <c r="AC30" i="40"/>
  <c r="W30" i="40"/>
  <c r="W27" i="36"/>
  <c r="AC27" i="36"/>
  <c r="S33" i="34"/>
  <c r="AA33" i="34"/>
  <c r="W37" i="33"/>
  <c r="AC37" i="33"/>
  <c r="H73" i="43"/>
  <c r="H75" i="43"/>
  <c r="H70" i="43"/>
  <c r="H72" i="43"/>
  <c r="H52" i="43"/>
  <c r="H50" i="43"/>
  <c r="H48" i="43"/>
  <c r="H54" i="43"/>
  <c r="H55" i="43"/>
  <c r="H56" i="43"/>
  <c r="H83" i="43"/>
  <c r="H82" i="43"/>
  <c r="H81" i="43"/>
  <c r="H88" i="43"/>
  <c r="E15" i="6"/>
  <c r="E14" i="6"/>
  <c r="E64" i="39" s="1"/>
  <c r="AZ116" i="3"/>
  <c r="AC19" i="40"/>
  <c r="W19" i="40"/>
  <c r="W9" i="37"/>
  <c r="AC9" i="37"/>
  <c r="AB42" i="33"/>
  <c r="U42" i="33"/>
  <c r="AC32" i="37"/>
  <c r="W32" i="37"/>
  <c r="AB24" i="35"/>
  <c r="U24" i="35"/>
  <c r="W14" i="21"/>
  <c r="AC14" i="21"/>
  <c r="AA28" i="21"/>
  <c r="S28" i="21"/>
  <c r="AA27" i="33"/>
  <c r="S27" i="33"/>
  <c r="U25" i="37"/>
  <c r="AB25" i="37"/>
  <c r="W14" i="40"/>
  <c r="AC14" i="40"/>
  <c r="AZ578" i="3"/>
  <c r="AZ558" i="3"/>
  <c r="AZ552" i="3"/>
  <c r="AZ540" i="3"/>
  <c r="AZ538" i="3"/>
  <c r="AZ530" i="3"/>
  <c r="AZ518" i="3"/>
  <c r="AZ500" i="3"/>
  <c r="AZ494" i="3"/>
  <c r="AZ515" i="3"/>
  <c r="AZ529" i="3"/>
  <c r="AZ537" i="3"/>
  <c r="AZ545" i="3"/>
  <c r="AZ561" i="3"/>
  <c r="AZ565" i="3"/>
  <c r="AZ495" i="3"/>
  <c r="AZ513" i="3"/>
  <c r="AZ517" i="3"/>
  <c r="AZ567" i="3"/>
  <c r="AZ571" i="3"/>
  <c r="AZ568" i="3"/>
  <c r="AZ576" i="3"/>
  <c r="W27" i="37"/>
  <c r="AA12" i="40"/>
  <c r="W44" i="34"/>
  <c r="AZ493" i="3"/>
  <c r="AZ362" i="3"/>
  <c r="AZ334" i="3"/>
  <c r="AZ306" i="3"/>
  <c r="AZ351" i="3"/>
  <c r="AZ329" i="3"/>
  <c r="AZ380" i="3"/>
  <c r="AZ360" i="3"/>
  <c r="AB33" i="40"/>
  <c r="S14" i="40"/>
  <c r="F12" i="39"/>
  <c r="W16" i="35"/>
  <c r="AC46" i="21"/>
  <c r="W44" i="21"/>
  <c r="W47" i="34"/>
  <c r="F31" i="40"/>
  <c r="F24" i="35"/>
  <c r="H27" i="34"/>
  <c r="AB27" i="37"/>
  <c r="BL507" i="3"/>
  <c r="AZ507" i="3" s="1"/>
  <c r="BL511" i="3"/>
  <c r="AZ511" i="3" s="1"/>
  <c r="BL519" i="3"/>
  <c r="AZ519" i="3" s="1"/>
  <c r="BL527" i="3"/>
  <c r="AZ527" i="3" s="1"/>
  <c r="BL535" i="3"/>
  <c r="AZ535" i="3" s="1"/>
  <c r="BL543" i="3"/>
  <c r="AZ543" i="3" s="1"/>
  <c r="BL559" i="3"/>
  <c r="AZ559" i="3" s="1"/>
  <c r="BL569" i="3"/>
  <c r="AZ569" i="3" s="1"/>
  <c r="BL573" i="3"/>
  <c r="AZ573" i="3" s="1"/>
  <c r="BL577" i="3"/>
  <c r="AZ577" i="3" s="1"/>
  <c r="BL583" i="3"/>
  <c r="AZ583" i="3" s="1"/>
  <c r="S35" i="39"/>
  <c r="W44" i="39"/>
  <c r="AB11" i="21"/>
  <c r="AA14" i="37"/>
  <c r="AA14" i="33"/>
  <c r="F27" i="37"/>
  <c r="H12" i="40"/>
  <c r="J13" i="37"/>
  <c r="H13" i="35"/>
  <c r="F45" i="34"/>
  <c r="H29" i="34"/>
  <c r="F13" i="34"/>
  <c r="J13" i="34"/>
  <c r="H46" i="33"/>
  <c r="F46" i="33"/>
  <c r="F44" i="33"/>
  <c r="J30" i="33"/>
  <c r="W12" i="40"/>
  <c r="F40" i="37"/>
  <c r="J40" i="37"/>
  <c r="F31" i="21"/>
  <c r="F46" i="21"/>
  <c r="J30" i="21"/>
  <c r="H14" i="21"/>
  <c r="F44" i="34"/>
  <c r="J17" i="34"/>
  <c r="W17" i="34" s="1"/>
  <c r="W40" i="33"/>
  <c r="H23" i="34"/>
  <c r="F27" i="34"/>
  <c r="U8" i="35"/>
  <c r="F12" i="36"/>
  <c r="F37" i="39"/>
  <c r="AB8" i="39"/>
  <c r="S38" i="39"/>
  <c r="U34" i="40"/>
  <c r="S34" i="40"/>
  <c r="AC9" i="40"/>
  <c r="AC40" i="40"/>
  <c r="S31" i="35"/>
  <c r="W28" i="35"/>
  <c r="U31" i="36"/>
  <c r="F39" i="37"/>
  <c r="S39" i="37" s="1"/>
  <c r="W40" i="39"/>
  <c r="J35" i="39"/>
  <c r="BL586" i="3"/>
  <c r="AZ586" i="3" s="1"/>
  <c r="F9" i="36"/>
  <c r="H9" i="36"/>
  <c r="F25" i="37"/>
  <c r="J25" i="37"/>
  <c r="G582" i="3"/>
  <c r="G566" i="3"/>
  <c r="G552" i="3"/>
  <c r="BA551" i="3"/>
  <c r="AZ551" i="3" s="1"/>
  <c r="BL550" i="3"/>
  <c r="BA550" i="3"/>
  <c r="AZ550" i="3" s="1"/>
  <c r="G398" i="3"/>
  <c r="BL398" i="3"/>
  <c r="BA399" i="3"/>
  <c r="AZ399" i="3" s="1"/>
  <c r="AZ413" i="3"/>
  <c r="AZ435" i="3"/>
  <c r="G446" i="3"/>
  <c r="G448" i="3"/>
  <c r="BL448" i="3"/>
  <c r="BA449" i="3"/>
  <c r="AZ449" i="3" s="1"/>
  <c r="BA450" i="3"/>
  <c r="BL450" i="3"/>
  <c r="G452" i="3"/>
  <c r="BL452" i="3"/>
  <c r="AZ452" i="3" s="1"/>
  <c r="BA453" i="3"/>
  <c r="AZ453" i="3" s="1"/>
  <c r="BA454" i="3"/>
  <c r="AZ454" i="3" s="1"/>
  <c r="BL454" i="3"/>
  <c r="BA455" i="3"/>
  <c r="AZ455" i="3" s="1"/>
  <c r="BL457" i="3"/>
  <c r="AZ457" i="3" s="1"/>
  <c r="G459" i="3"/>
  <c r="G461" i="3"/>
  <c r="BL461" i="3"/>
  <c r="G463" i="3"/>
  <c r="BL463" i="3"/>
  <c r="AZ463" i="3" s="1"/>
  <c r="BA464" i="3"/>
  <c r="AZ464" i="3" s="1"/>
  <c r="BA465" i="3"/>
  <c r="AZ465" i="3" s="1"/>
  <c r="G468" i="3"/>
  <c r="BL468" i="3"/>
  <c r="G470" i="3"/>
  <c r="BL470" i="3"/>
  <c r="AZ470" i="3" s="1"/>
  <c r="BA471" i="3"/>
  <c r="AZ471" i="3" s="1"/>
  <c r="BL473" i="3"/>
  <c r="AZ473" i="3" s="1"/>
  <c r="BA474" i="3"/>
  <c r="AZ474" i="3" s="1"/>
  <c r="G477" i="3"/>
  <c r="G479" i="3"/>
  <c r="BL479" i="3"/>
  <c r="BA480" i="3"/>
  <c r="AZ480" i="3" s="1"/>
  <c r="BA481" i="3"/>
  <c r="AZ481" i="3" s="1"/>
  <c r="BL481" i="3"/>
  <c r="BA482" i="3"/>
  <c r="AZ482" i="3" s="1"/>
  <c r="G485" i="3"/>
  <c r="BL485" i="3"/>
  <c r="AZ485" i="3" s="1"/>
  <c r="BA486" i="3"/>
  <c r="AZ486" i="3" s="1"/>
  <c r="BA487" i="3"/>
  <c r="AZ487" i="3" s="1"/>
  <c r="BL487" i="3"/>
  <c r="BA488" i="3"/>
  <c r="AZ488" i="3" s="1"/>
  <c r="BL490" i="3"/>
  <c r="AZ490" i="3" s="1"/>
  <c r="G311" i="3"/>
  <c r="BA403" i="3"/>
  <c r="AZ403" i="3" s="1"/>
  <c r="BL403" i="3"/>
  <c r="BA404" i="3"/>
  <c r="AZ404" i="3" s="1"/>
  <c r="BL408" i="3"/>
  <c r="AZ408" i="3" s="1"/>
  <c r="BA409" i="3"/>
  <c r="AZ409" i="3" s="1"/>
  <c r="G412" i="3"/>
  <c r="G413" i="3"/>
  <c r="BL413" i="3"/>
  <c r="BA414" i="3"/>
  <c r="AZ414" i="3" s="1"/>
  <c r="G417" i="3"/>
  <c r="G418" i="3"/>
  <c r="G422" i="3"/>
  <c r="G424" i="3"/>
  <c r="BL424" i="3"/>
  <c r="BA425" i="3"/>
  <c r="AZ425" i="3" s="1"/>
  <c r="G428" i="3"/>
  <c r="G429" i="3"/>
  <c r="BL429" i="3"/>
  <c r="AZ429" i="3" s="1"/>
  <c r="BA430" i="3"/>
  <c r="AZ430" i="3" s="1"/>
  <c r="G433" i="3"/>
  <c r="G434" i="3"/>
  <c r="BL437" i="3"/>
  <c r="AZ437" i="3" s="1"/>
  <c r="G439" i="3"/>
  <c r="BL439" i="3"/>
  <c r="BA440" i="3"/>
  <c r="AZ440" i="3" s="1"/>
  <c r="BA441" i="3"/>
  <c r="AZ441" i="3" s="1"/>
  <c r="BA442" i="3"/>
  <c r="AZ442" i="3" s="1"/>
  <c r="BL442" i="3"/>
  <c r="AZ443" i="3"/>
  <c r="AZ208" i="3"/>
  <c r="AZ137" i="3"/>
  <c r="AZ60" i="3"/>
  <c r="AZ78" i="3"/>
  <c r="C21" i="68"/>
  <c r="C40" i="68"/>
  <c r="O50" i="71"/>
  <c r="O49" i="71"/>
  <c r="D50" i="71"/>
  <c r="C58" i="71"/>
  <c r="D58" i="71" s="1"/>
  <c r="D59" i="71"/>
  <c r="Y15" i="71"/>
  <c r="Z15" i="71" s="1"/>
  <c r="Y12" i="71"/>
  <c r="Z12" i="71" s="1"/>
  <c r="AB15" i="71"/>
  <c r="AB14" i="71"/>
  <c r="AB12" i="71"/>
  <c r="F18" i="71"/>
  <c r="F19" i="71" s="1"/>
  <c r="F20" i="71" s="1"/>
  <c r="V20" i="71" s="1"/>
  <c r="AB17" i="71"/>
  <c r="X17" i="71"/>
  <c r="X16" i="71"/>
  <c r="X18" i="71"/>
  <c r="X19" i="71"/>
  <c r="C48" i="71"/>
  <c r="D47" i="71"/>
  <c r="T56" i="71"/>
  <c r="C55" i="71"/>
  <c r="D56" i="71"/>
  <c r="T64" i="71"/>
  <c r="C63" i="71"/>
  <c r="D64" i="71"/>
  <c r="X9" i="71"/>
  <c r="X11" i="71"/>
  <c r="X10" i="71"/>
  <c r="AA10" i="71"/>
  <c r="E11" i="71"/>
  <c r="E10" i="71" s="1"/>
  <c r="AA11" i="71"/>
  <c r="Y10" i="71"/>
  <c r="Z10" i="71" s="1"/>
  <c r="C10" i="71"/>
  <c r="D10" i="71" s="1"/>
  <c r="Y3" i="71"/>
  <c r="Z3" i="71" s="1"/>
  <c r="AA3" i="71"/>
  <c r="AB3" i="71"/>
  <c r="G315" i="3"/>
  <c r="BA317" i="3"/>
  <c r="AZ317" i="3" s="1"/>
  <c r="G327" i="3"/>
  <c r="G331" i="3"/>
  <c r="BA333" i="3"/>
  <c r="AZ333" i="3" s="1"/>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AZ395" i="3" s="1"/>
  <c r="G208" i="3"/>
  <c r="BL208" i="3"/>
  <c r="G211" i="3"/>
  <c r="BL211" i="3"/>
  <c r="BA212" i="3"/>
  <c r="AZ212" i="3" s="1"/>
  <c r="BA213" i="3"/>
  <c r="AZ213" i="3" s="1"/>
  <c r="BA214" i="3"/>
  <c r="AZ214" i="3" s="1"/>
  <c r="BA215" i="3"/>
  <c r="AZ215" i="3" s="1"/>
  <c r="G218" i="3"/>
  <c r="G219" i="3"/>
  <c r="BL219" i="3"/>
  <c r="AZ219" i="3" s="1"/>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AZ252" i="3" s="1"/>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AZ272" i="3" s="1"/>
  <c r="G275" i="3"/>
  <c r="G276" i="3"/>
  <c r="BL276" i="3"/>
  <c r="AZ276" i="3" s="1"/>
  <c r="BA277" i="3"/>
  <c r="AZ277" i="3" s="1"/>
  <c r="BL279" i="3"/>
  <c r="AZ279" i="3" s="1"/>
  <c r="BL281" i="3"/>
  <c r="AZ281" i="3" s="1"/>
  <c r="BA282" i="3"/>
  <c r="AZ282" i="3" s="1"/>
  <c r="BA283" i="3"/>
  <c r="AZ283" i="3" s="1"/>
  <c r="G286" i="3"/>
  <c r="G287" i="3"/>
  <c r="G288" i="3"/>
  <c r="G289" i="3"/>
  <c r="BL289" i="3"/>
  <c r="BA290" i="3"/>
  <c r="AZ290" i="3" s="1"/>
  <c r="BA291" i="3"/>
  <c r="AZ291" i="3" s="1"/>
  <c r="G294" i="3"/>
  <c r="BL294" i="3"/>
  <c r="AZ294" i="3" s="1"/>
  <c r="BL296" i="3"/>
  <c r="AZ296" i="3" s="1"/>
  <c r="G299" i="3"/>
  <c r="G300" i="3"/>
  <c r="BL300" i="3"/>
  <c r="BA301" i="3"/>
  <c r="AZ301" i="3" s="1"/>
  <c r="BL114" i="3"/>
  <c r="AZ114" i="3" s="1"/>
  <c r="BA116" i="3"/>
  <c r="G118" i="3"/>
  <c r="BL118" i="3"/>
  <c r="BA120" i="3"/>
  <c r="AZ120" i="3" s="1"/>
  <c r="BL121" i="3"/>
  <c r="BA122" i="3"/>
  <c r="AZ122" i="3" s="1"/>
  <c r="BL123" i="3"/>
  <c r="BA125" i="3"/>
  <c r="AZ125" i="3" s="1"/>
  <c r="G128" i="3"/>
  <c r="BL130" i="3"/>
  <c r="AZ130" i="3" s="1"/>
  <c r="BA132" i="3"/>
  <c r="AZ132" i="3" s="1"/>
  <c r="G134" i="3"/>
  <c r="BL134" i="3"/>
  <c r="BA136" i="3"/>
  <c r="AZ136" i="3" s="1"/>
  <c r="BL137" i="3"/>
  <c r="G140" i="3"/>
  <c r="BL142" i="3"/>
  <c r="AZ142" i="3" s="1"/>
  <c r="BA144" i="3"/>
  <c r="AZ144" i="3" s="1"/>
  <c r="BL145" i="3"/>
  <c r="AZ145" i="3" s="1"/>
  <c r="G148" i="3"/>
  <c r="BA149" i="3"/>
  <c r="AZ149" i="3" s="1"/>
  <c r="G152" i="3"/>
  <c r="BA153" i="3"/>
  <c r="AZ153" i="3" s="1"/>
  <c r="G156" i="3"/>
  <c r="BA157" i="3"/>
  <c r="AZ157" i="3" s="1"/>
  <c r="G160" i="3"/>
  <c r="BL162" i="3"/>
  <c r="AZ162" i="3" s="1"/>
  <c r="BA164" i="3"/>
  <c r="AZ164" i="3" s="1"/>
  <c r="G166" i="3"/>
  <c r="G167" i="3"/>
  <c r="G168"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G18" i="3"/>
  <c r="BL18" i="3"/>
  <c r="BL20" i="3"/>
  <c r="AZ20" i="3" s="1"/>
  <c r="G23" i="3"/>
  <c r="BL23" i="3"/>
  <c r="G26" i="3"/>
  <c r="G27" i="3"/>
  <c r="BL27" i="3"/>
  <c r="BL29" i="3"/>
  <c r="AZ29" i="3" s="1"/>
  <c r="BA30" i="3"/>
  <c r="AZ30" i="3" s="1"/>
  <c r="BA31" i="3"/>
  <c r="AZ31" i="3" s="1"/>
  <c r="BA32" i="3"/>
  <c r="AZ32" i="3" s="1"/>
  <c r="BA33" i="3"/>
  <c r="AZ33" i="3" s="1"/>
  <c r="BL35" i="3"/>
  <c r="AZ35" i="3" s="1"/>
  <c r="BA36" i="3"/>
  <c r="AZ36" i="3" s="1"/>
  <c r="BA37" i="3"/>
  <c r="AZ37" i="3" s="1"/>
  <c r="AZ100" i="3"/>
  <c r="B13" i="1"/>
  <c r="E13" i="1" s="1"/>
  <c r="AC21" i="21"/>
  <c r="W21" i="34"/>
  <c r="AC21" i="34"/>
  <c r="AB21" i="34"/>
  <c r="U21" i="34"/>
  <c r="AA18" i="36"/>
  <c r="S18" i="36"/>
  <c r="C66" i="71"/>
  <c r="D66" i="71" s="1"/>
  <c r="D18" i="71"/>
  <c r="B11" i="71"/>
  <c r="B10" i="71" s="1"/>
  <c r="Y17" i="71"/>
  <c r="Z17" i="71" s="1"/>
  <c r="AB13" i="71"/>
  <c r="G41" i="3"/>
  <c r="G42" i="3"/>
  <c r="G43" i="3"/>
  <c r="G44" i="3"/>
  <c r="BL44" i="3"/>
  <c r="AZ44" i="3" s="1"/>
  <c r="G47" i="3"/>
  <c r="G48" i="3"/>
  <c r="BL48" i="3"/>
  <c r="AZ48" i="3" s="1"/>
  <c r="BA49" i="3"/>
  <c r="AZ49" i="3" s="1"/>
  <c r="BA50" i="3"/>
  <c r="AZ50" i="3" s="1"/>
  <c r="BA51" i="3"/>
  <c r="AZ51" i="3" s="1"/>
  <c r="BL53" i="3"/>
  <c r="AZ53" i="3" s="1"/>
  <c r="BA54" i="3"/>
  <c r="AZ54" i="3" s="1"/>
  <c r="BA55" i="3"/>
  <c r="AZ55" i="3" s="1"/>
  <c r="G58" i="3"/>
  <c r="G59" i="3"/>
  <c r="G60" i="3"/>
  <c r="BL60" i="3"/>
  <c r="G63" i="3"/>
  <c r="G64" i="3"/>
  <c r="BL64" i="3"/>
  <c r="AZ64" i="3" s="1"/>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BA96" i="3"/>
  <c r="AZ96" i="3" s="1"/>
  <c r="BA97" i="3"/>
  <c r="AZ97" i="3" s="1"/>
  <c r="G100" i="3"/>
  <c r="BL100" i="3"/>
  <c r="BL102" i="3"/>
  <c r="AZ102" i="3" s="1"/>
  <c r="BA103" i="3"/>
  <c r="AZ103" i="3" s="1"/>
  <c r="BL105" i="3"/>
  <c r="AZ105" i="3" s="1"/>
  <c r="G107" i="3"/>
  <c r="G108" i="3"/>
  <c r="BL108" i="3"/>
  <c r="BL110" i="3"/>
  <c r="AZ110" i="3" s="1"/>
  <c r="J51" i="15"/>
  <c r="I15" i="66"/>
  <c r="D1" i="66" s="1"/>
  <c r="E10" i="66" s="1"/>
  <c r="C51" i="10"/>
  <c r="A2" i="80"/>
  <c r="A118" i="80"/>
  <c r="F12" i="71"/>
  <c r="F11" i="71" s="1"/>
  <c r="F10" i="71" s="1"/>
  <c r="AB11" i="71"/>
  <c r="B20" i="71"/>
  <c r="S20" i="71" s="1"/>
  <c r="X12" i="71"/>
  <c r="Y13" i="71"/>
  <c r="Z13" i="71" s="1"/>
  <c r="C14" i="71"/>
  <c r="F16" i="71"/>
  <c r="V16" i="71" s="1"/>
  <c r="Y14" i="71"/>
  <c r="Z14" i="71" s="1"/>
  <c r="X13" i="71"/>
  <c r="X14" i="71"/>
  <c r="X15" i="71"/>
  <c r="B47" i="71"/>
  <c r="B48" i="71" s="1"/>
  <c r="S48" i="71" s="1"/>
  <c r="AJ12" i="43"/>
  <c r="AJ10" i="43"/>
  <c r="AB9" i="71"/>
  <c r="E6" i="71"/>
  <c r="E5" i="71" s="1"/>
  <c r="B27" i="71"/>
  <c r="B28" i="71" s="1"/>
  <c r="S28" i="71" s="1"/>
  <c r="B31" i="71"/>
  <c r="B32" i="71" s="1"/>
  <c r="S32" i="71" s="1"/>
  <c r="E39" i="71"/>
  <c r="E40" i="71" s="1"/>
  <c r="U40" i="71" s="1"/>
  <c r="B43" i="71"/>
  <c r="B44" i="71" s="1"/>
  <c r="S44" i="71" s="1"/>
  <c r="E43" i="71"/>
  <c r="E44" i="71" s="1"/>
  <c r="U44" i="71" s="1"/>
  <c r="M56" i="80"/>
  <c r="J56" i="80"/>
  <c r="J57" i="80" s="1"/>
  <c r="J59" i="80" s="1"/>
  <c r="J61" i="80" s="1"/>
  <c r="N56" i="80"/>
  <c r="K56" i="80"/>
  <c r="J42" i="33"/>
  <c r="F42" i="33"/>
  <c r="AA42" i="33" s="1"/>
  <c r="J32" i="33"/>
  <c r="W32" i="33" s="1"/>
  <c r="S32" i="33"/>
  <c r="H32" i="33"/>
  <c r="AB32" i="33" s="1"/>
  <c r="Q16" i="1"/>
  <c r="F27" i="69" s="1"/>
  <c r="C47" i="69" s="1"/>
  <c r="D45" i="69" s="1"/>
  <c r="F52" i="80"/>
  <c r="D68" i="80"/>
  <c r="F54" i="80"/>
  <c r="F53" i="80"/>
  <c r="F32" i="78"/>
  <c r="F60" i="78" s="1"/>
  <c r="F28" i="78"/>
  <c r="C28" i="78" s="1"/>
  <c r="M18" i="78"/>
  <c r="M20" i="15"/>
  <c r="F34" i="78"/>
  <c r="F62" i="78" s="1"/>
  <c r="M20" i="78"/>
  <c r="C77" i="80"/>
  <c r="C74" i="80" s="1"/>
  <c r="D78" i="9"/>
  <c r="D93" i="80"/>
  <c r="D78" i="80"/>
  <c r="F3" i="35"/>
  <c r="G1" i="78"/>
  <c r="J51" i="78"/>
  <c r="C28" i="15"/>
  <c r="P21" i="43"/>
  <c r="E12" i="6"/>
  <c r="E62" i="39" s="1"/>
  <c r="M18" i="80"/>
  <c r="B118" i="80" s="1"/>
  <c r="F31" i="15"/>
  <c r="B6" i="49"/>
  <c r="AC35" i="33"/>
  <c r="U27" i="33"/>
  <c r="W15" i="33"/>
  <c r="S43" i="33"/>
  <c r="U43" i="33"/>
  <c r="W41" i="33"/>
  <c r="AC25" i="33"/>
  <c r="S25" i="33"/>
  <c r="U19" i="33"/>
  <c r="AA23" i="33"/>
  <c r="AB21" i="33"/>
  <c r="S21" i="33"/>
  <c r="AC21" i="33"/>
  <c r="U17" i="33"/>
  <c r="E10" i="49"/>
  <c r="E14" i="49"/>
  <c r="S11" i="33"/>
  <c r="AB10" i="33"/>
  <c r="C16" i="43"/>
  <c r="C5" i="43" s="1"/>
  <c r="H112" i="34"/>
  <c r="I112" i="34" s="1"/>
  <c r="J112" i="34" s="1"/>
  <c r="K112" i="34" s="1"/>
  <c r="L112" i="34" s="1"/>
  <c r="M112" i="34" s="1"/>
  <c r="F37" i="34"/>
  <c r="AA37" i="34" s="1"/>
  <c r="H37" i="34"/>
  <c r="J37" i="34"/>
  <c r="AC37" i="34" s="1"/>
  <c r="AA41" i="34"/>
  <c r="AA39" i="34"/>
  <c r="W37" i="34"/>
  <c r="AC36" i="34"/>
  <c r="AB11" i="34"/>
  <c r="AA11" i="34"/>
  <c r="S21" i="34"/>
  <c r="AA19" i="34"/>
  <c r="U19" i="34"/>
  <c r="AB17" i="34"/>
  <c r="AC17" i="34"/>
  <c r="W10" i="34"/>
  <c r="W9" i="34"/>
  <c r="E7" i="49"/>
  <c r="B7" i="49"/>
  <c r="B15" i="49"/>
  <c r="C9" i="68"/>
  <c r="C29" i="68"/>
  <c r="D27" i="68" s="1"/>
  <c r="H66" i="43"/>
  <c r="G66" i="43" s="1"/>
  <c r="H65" i="43"/>
  <c r="G65" i="43" s="1"/>
  <c r="H64" i="43"/>
  <c r="G64" i="43" s="1"/>
  <c r="H63" i="43"/>
  <c r="G63" i="43" s="1"/>
  <c r="H62" i="43"/>
  <c r="G62" i="43" s="1"/>
  <c r="H61" i="43"/>
  <c r="G61" i="43" s="1"/>
  <c r="H60" i="43"/>
  <c r="G60" i="43" s="1"/>
  <c r="H59" i="43"/>
  <c r="G59" i="43" s="1"/>
  <c r="H67" i="43"/>
  <c r="G67" i="43" s="1"/>
  <c r="P61" i="15"/>
  <c r="J53" i="15"/>
  <c r="C13" i="12"/>
  <c r="C30" i="11"/>
  <c r="C48" i="68"/>
  <c r="H16" i="1"/>
  <c r="E57" i="40"/>
  <c r="C36" i="69"/>
  <c r="O10" i="1"/>
  <c r="P10" i="1" s="1"/>
  <c r="E8" i="6"/>
  <c r="T11" i="1"/>
  <c r="AQ13" i="1"/>
  <c r="AR10" i="1"/>
  <c r="E11" i="6"/>
  <c r="E61" i="39" s="1"/>
  <c r="E10" i="6"/>
  <c r="E56" i="40"/>
  <c r="T9" i="1"/>
  <c r="E60" i="40"/>
  <c r="E65" i="39"/>
  <c r="E59" i="40"/>
  <c r="D9" i="69"/>
  <c r="C9" i="69" s="1"/>
  <c r="E13" i="6"/>
  <c r="C65" i="40"/>
  <c r="D63" i="40"/>
  <c r="J59" i="34"/>
  <c r="K59" i="34" s="1"/>
  <c r="L59" i="34" s="1"/>
  <c r="M59" i="34" s="1"/>
  <c r="N59" i="34" s="1"/>
  <c r="O59" i="34" s="1"/>
  <c r="M49" i="9"/>
  <c r="D124" i="9"/>
  <c r="G52" i="37"/>
  <c r="P6" i="1"/>
  <c r="O11" i="1"/>
  <c r="P11" i="1" s="1"/>
  <c r="E46" i="36"/>
  <c r="D58" i="33"/>
  <c r="E58" i="33" s="1"/>
  <c r="F58" i="33" s="1"/>
  <c r="G58" i="33" s="1"/>
  <c r="H58" i="33" s="1"/>
  <c r="I58" i="33" s="1"/>
  <c r="J58" i="33" s="1"/>
  <c r="K58" i="33" s="1"/>
  <c r="L58" i="33" s="1"/>
  <c r="M58" i="33" s="1"/>
  <c r="N58" i="33" s="1"/>
  <c r="O58" i="33" s="1"/>
  <c r="C70" i="39"/>
  <c r="D68" i="39"/>
  <c r="O12" i="1"/>
  <c r="P12" i="1" s="1"/>
  <c r="E29" i="6"/>
  <c r="P25" i="43"/>
  <c r="P24" i="43"/>
  <c r="B66" i="40" s="1"/>
  <c r="P23" i="43"/>
  <c r="B71" i="39" s="1"/>
  <c r="D12" i="52"/>
  <c r="D127" i="9"/>
  <c r="D13" i="52" s="1"/>
  <c r="D16" i="53"/>
  <c r="H110" i="9"/>
  <c r="D18" i="53" s="1"/>
  <c r="B35" i="72" s="1"/>
  <c r="O7" i="1"/>
  <c r="P7" i="1" s="1"/>
  <c r="F48" i="35"/>
  <c r="D58" i="21"/>
  <c r="D9" i="53"/>
  <c r="B25" i="72" s="1"/>
  <c r="B24" i="72"/>
  <c r="AZ503" i="3"/>
  <c r="AZ581" i="3"/>
  <c r="U31" i="34"/>
  <c r="AC31" i="34"/>
  <c r="W31" i="34"/>
  <c r="AA41" i="33"/>
  <c r="S41" i="33"/>
  <c r="U23" i="34"/>
  <c r="AB23" i="34"/>
  <c r="W34" i="36"/>
  <c r="AC34" i="36"/>
  <c r="W11" i="40"/>
  <c r="AC11" i="40"/>
  <c r="S38" i="40"/>
  <c r="AA38" i="40"/>
  <c r="W17" i="21"/>
  <c r="AZ557" i="3"/>
  <c r="AZ575" i="3"/>
  <c r="AZ579" i="3"/>
  <c r="S13" i="35"/>
  <c r="AA13" i="35"/>
  <c r="U30" i="21"/>
  <c r="AB30" i="21"/>
  <c r="AA28" i="34"/>
  <c r="S28" i="34"/>
  <c r="AB33" i="35"/>
  <c r="U33" i="35"/>
  <c r="AB14" i="37"/>
  <c r="U14" i="37"/>
  <c r="AZ398" i="3"/>
  <c r="AZ405" i="3"/>
  <c r="AZ407" i="3"/>
  <c r="AZ410" i="3"/>
  <c r="AZ415" i="3"/>
  <c r="AZ420" i="3"/>
  <c r="AZ426" i="3"/>
  <c r="AZ431" i="3"/>
  <c r="AZ448" i="3"/>
  <c r="AZ461" i="3"/>
  <c r="AZ468" i="3"/>
  <c r="AZ479" i="3"/>
  <c r="AZ211" i="3"/>
  <c r="AZ236" i="3"/>
  <c r="AZ289" i="3"/>
  <c r="AZ300" i="3"/>
  <c r="AZ118" i="3"/>
  <c r="AZ121" i="3"/>
  <c r="AZ134" i="3"/>
  <c r="AA39" i="37"/>
  <c r="AB12" i="33"/>
  <c r="S34" i="21"/>
  <c r="W31" i="40"/>
  <c r="H39" i="37"/>
  <c r="W33" i="33"/>
  <c r="U35" i="33"/>
  <c r="S9" i="33"/>
  <c r="F26" i="33"/>
  <c r="S34" i="34"/>
  <c r="U34" i="35"/>
  <c r="W34" i="35"/>
  <c r="U31" i="35"/>
  <c r="AA31" i="36"/>
  <c r="H12" i="21"/>
  <c r="J12" i="21"/>
  <c r="J23" i="35"/>
  <c r="H12" i="36"/>
  <c r="H24" i="36"/>
  <c r="H38" i="40"/>
  <c r="J38" i="40"/>
  <c r="H39" i="40"/>
  <c r="G551" i="3"/>
  <c r="BL548" i="3"/>
  <c r="AZ424" i="3"/>
  <c r="AZ439" i="3"/>
  <c r="AZ475" i="3"/>
  <c r="AZ489" i="3"/>
  <c r="AZ316" i="3"/>
  <c r="AZ332" i="3"/>
  <c r="AZ230" i="3"/>
  <c r="AZ267" i="3"/>
  <c r="AZ284" i="3"/>
  <c r="AZ302" i="3"/>
  <c r="AZ205" i="3"/>
  <c r="AZ18" i="3"/>
  <c r="AZ23" i="3"/>
  <c r="AZ27" i="3"/>
  <c r="AZ52" i="3"/>
  <c r="AZ56" i="3"/>
  <c r="AZ68" i="3"/>
  <c r="AZ73" i="3"/>
  <c r="AZ87" i="3"/>
  <c r="AZ91" i="3"/>
  <c r="AZ95" i="3"/>
  <c r="AZ108" i="3"/>
  <c r="D24" i="67"/>
  <c r="D23" i="67"/>
  <c r="D19" i="71"/>
  <c r="C20" i="71"/>
  <c r="D26" i="71"/>
  <c r="C27" i="71"/>
  <c r="C31" i="71"/>
  <c r="D31" i="71" s="1"/>
  <c r="D30" i="71"/>
  <c r="C35" i="71"/>
  <c r="D34" i="71"/>
  <c r="C39" i="71"/>
  <c r="D38" i="71"/>
  <c r="C43" i="71"/>
  <c r="D42" i="71"/>
  <c r="AF10" i="43"/>
  <c r="AC12" i="43"/>
  <c r="AC10" i="43"/>
  <c r="AG12" i="43"/>
  <c r="AG10" i="43"/>
  <c r="C6" i="71"/>
  <c r="D7" i="71"/>
  <c r="X6" i="71"/>
  <c r="S52" i="71"/>
  <c r="B51" i="71"/>
  <c r="Z12" i="43"/>
  <c r="Z10" i="43"/>
  <c r="AD12" i="43"/>
  <c r="AD10" i="43"/>
  <c r="AH12" i="43"/>
  <c r="AH10" i="43"/>
  <c r="X7" i="71"/>
  <c r="Y8" i="71"/>
  <c r="Z8" i="71" s="1"/>
  <c r="Y7" i="71"/>
  <c r="Z7" i="71" s="1"/>
  <c r="AA8" i="71"/>
  <c r="AB8" i="71"/>
  <c r="AA6" i="71"/>
  <c r="X5" i="71"/>
  <c r="Y5" i="71"/>
  <c r="Z5" i="71" s="1"/>
  <c r="AB5" i="71"/>
  <c r="X8" i="71"/>
  <c r="AA7" i="71"/>
  <c r="AB7" i="71"/>
  <c r="AA5" i="71"/>
  <c r="D8" i="71"/>
  <c r="U8" i="71" s="1"/>
  <c r="S8" i="71"/>
  <c r="T8" i="71"/>
  <c r="Y6" i="71"/>
  <c r="Z6" i="71" s="1"/>
  <c r="AB6" i="71"/>
  <c r="C23" i="12"/>
  <c r="B13" i="49"/>
  <c r="E4" i="4" s="1"/>
  <c r="B5" i="62" s="1"/>
  <c r="B73" i="72" s="1"/>
  <c r="B4" i="49"/>
  <c r="B9" i="49"/>
  <c r="C4" i="4" s="1"/>
  <c r="B4" i="62" s="1"/>
  <c r="B71" i="72" s="1"/>
  <c r="E22" i="49"/>
  <c r="E16" i="49"/>
  <c r="E11" i="49"/>
  <c r="B10" i="49"/>
  <c r="E6" i="49"/>
  <c r="E8" i="49"/>
  <c r="E5" i="49"/>
  <c r="B8" i="49"/>
  <c r="B5" i="49"/>
  <c r="E21" i="49"/>
  <c r="E4" i="49"/>
  <c r="B11" i="49"/>
  <c r="B14" i="49"/>
  <c r="B16" i="49"/>
  <c r="E13" i="49"/>
  <c r="E15" i="49"/>
  <c r="E9" i="49"/>
  <c r="B22" i="49"/>
  <c r="C47" i="68"/>
  <c r="D45" i="68" s="1"/>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C34" i="67"/>
  <c r="F63" i="67"/>
  <c r="C62" i="67" s="1"/>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67"/>
  <c r="M17" i="15"/>
  <c r="F59" i="67"/>
  <c r="F59" i="15"/>
  <c r="M17" i="67"/>
  <c r="D7" i="73"/>
  <c r="M27" i="78"/>
  <c r="F13" i="78"/>
  <c r="D4" i="73"/>
  <c r="F8" i="78"/>
  <c r="C17" i="67"/>
  <c r="L48" i="78"/>
  <c r="M24" i="78"/>
  <c r="M26" i="78"/>
  <c r="C16" i="82"/>
  <c r="D3" i="73"/>
  <c r="F36" i="78"/>
  <c r="F38" i="78"/>
  <c r="F26" i="78"/>
  <c r="L48" i="82"/>
  <c r="F7" i="78"/>
  <c r="L47" i="78"/>
  <c r="C14" i="67"/>
  <c r="C16" i="67"/>
  <c r="F40" i="78"/>
  <c r="M6" i="78"/>
  <c r="D6" i="73"/>
  <c r="F16" i="78"/>
  <c r="C16" i="15"/>
  <c r="D5" i="73"/>
  <c r="G1" i="73" s="1"/>
  <c r="F9" i="78"/>
  <c r="O8" i="1" l="1"/>
  <c r="P8" i="1" s="1"/>
  <c r="E20" i="43"/>
  <c r="L56" i="82"/>
  <c r="L60" i="82"/>
  <c r="L58" i="82"/>
  <c r="L57" i="82"/>
  <c r="H7" i="34"/>
  <c r="D59" i="83"/>
  <c r="E59" i="83" s="1"/>
  <c r="F59" i="83" s="1"/>
  <c r="G59" i="83" s="1"/>
  <c r="H59" i="83" s="1"/>
  <c r="I59" i="83" s="1"/>
  <c r="J59" i="83" s="1"/>
  <c r="K59" i="83" s="1"/>
  <c r="L59" i="83" s="1"/>
  <c r="M59" i="83" s="1"/>
  <c r="N59" i="83" s="1"/>
  <c r="O59" i="83" s="1"/>
  <c r="J7" i="83"/>
  <c r="H7" i="83"/>
  <c r="F7" i="83"/>
  <c r="L59" i="82"/>
  <c r="M59" i="82"/>
  <c r="J57" i="82"/>
  <c r="J55" i="82" s="1"/>
  <c r="J58" i="82" s="1"/>
  <c r="Q50" i="82" s="1"/>
  <c r="N59" i="82"/>
  <c r="I54" i="82"/>
  <c r="J53" i="82"/>
  <c r="G8" i="1"/>
  <c r="G16" i="1" s="1"/>
  <c r="F10" i="39" s="1"/>
  <c r="I20" i="43"/>
  <c r="F11" i="82"/>
  <c r="M11" i="82"/>
  <c r="J10" i="82" s="1"/>
  <c r="J5" i="82" s="1"/>
  <c r="K67" i="43"/>
  <c r="M67" i="43"/>
  <c r="N67" i="43" s="1"/>
  <c r="K60" i="43"/>
  <c r="M60" i="43"/>
  <c r="N60" i="43" s="1"/>
  <c r="K62" i="43"/>
  <c r="M62" i="43"/>
  <c r="N62" i="43" s="1"/>
  <c r="K64" i="43"/>
  <c r="M64" i="43"/>
  <c r="N64" i="43" s="1"/>
  <c r="K66" i="43"/>
  <c r="J66" i="43" s="1"/>
  <c r="D66" i="43" s="1"/>
  <c r="M66" i="43"/>
  <c r="N66" i="43" s="1"/>
  <c r="D55" i="71"/>
  <c r="C54" i="71"/>
  <c r="D54" i="71" s="1"/>
  <c r="AC25" i="37"/>
  <c r="W25" i="37"/>
  <c r="AB9" i="36"/>
  <c r="U9" i="36"/>
  <c r="AA12" i="36"/>
  <c r="S12" i="36"/>
  <c r="AA27" i="34"/>
  <c r="S27" i="34"/>
  <c r="AA44" i="34"/>
  <c r="S44" i="34"/>
  <c r="AC30" i="21"/>
  <c r="W30" i="21"/>
  <c r="S31" i="21"/>
  <c r="AA31" i="21"/>
  <c r="S40" i="37"/>
  <c r="AA40" i="37"/>
  <c r="AC30" i="33"/>
  <c r="W30" i="33"/>
  <c r="AA46" i="33"/>
  <c r="S46" i="33"/>
  <c r="AC13" i="34"/>
  <c r="W13" i="34"/>
  <c r="AB29" i="34"/>
  <c r="U29" i="34"/>
  <c r="U13" i="35"/>
  <c r="AB13" i="35"/>
  <c r="AB12" i="40"/>
  <c r="U12" i="40"/>
  <c r="AA24" i="35"/>
  <c r="S24" i="35"/>
  <c r="S12" i="39"/>
  <c r="AA12" i="39"/>
  <c r="BA5" i="3"/>
  <c r="BL5" i="3"/>
  <c r="D5" i="43"/>
  <c r="M16" i="1"/>
  <c r="F30" i="6"/>
  <c r="F7" i="34"/>
  <c r="C34" i="69"/>
  <c r="C38" i="69" s="1"/>
  <c r="C30" i="69"/>
  <c r="K59" i="43"/>
  <c r="M59" i="43"/>
  <c r="N59" i="43" s="1"/>
  <c r="K61" i="43"/>
  <c r="M61" i="43"/>
  <c r="N61" i="43" s="1"/>
  <c r="K63" i="43"/>
  <c r="J63" i="43" s="1"/>
  <c r="D63" i="43" s="1"/>
  <c r="M63" i="43"/>
  <c r="N63" i="43" s="1"/>
  <c r="K65" i="43"/>
  <c r="M65" i="43"/>
  <c r="N65" i="43" s="1"/>
  <c r="S37" i="34"/>
  <c r="S42" i="33"/>
  <c r="D14" i="71"/>
  <c r="C15" i="71"/>
  <c r="D63" i="71"/>
  <c r="C62" i="71"/>
  <c r="D62" i="71" s="1"/>
  <c r="D48" i="71"/>
  <c r="T48" i="71"/>
  <c r="AZ450" i="3"/>
  <c r="AA25" i="37"/>
  <c r="S25" i="37"/>
  <c r="AA9" i="36"/>
  <c r="S9" i="36"/>
  <c r="AC35" i="39"/>
  <c r="W35" i="39"/>
  <c r="AA37" i="39"/>
  <c r="S37" i="39"/>
  <c r="U14" i="21"/>
  <c r="AB14" i="21"/>
  <c r="AA46" i="21"/>
  <c r="S46" i="21"/>
  <c r="AC40" i="37"/>
  <c r="W40" i="37"/>
  <c r="AA44" i="33"/>
  <c r="S44" i="33"/>
  <c r="AB46" i="33"/>
  <c r="U46" i="33"/>
  <c r="S13" i="34"/>
  <c r="AA13" i="34"/>
  <c r="S45" i="34"/>
  <c r="AA45" i="34"/>
  <c r="W13" i="37"/>
  <c r="AC13" i="37"/>
  <c r="AA27" i="37"/>
  <c r="S27" i="37"/>
  <c r="AB27" i="34"/>
  <c r="U27" i="34"/>
  <c r="AA31" i="40"/>
  <c r="S31" i="40"/>
  <c r="D20" i="53"/>
  <c r="B40" i="72" s="1"/>
  <c r="B38" i="72"/>
  <c r="AC42" i="33"/>
  <c r="W42" i="33"/>
  <c r="F28" i="12"/>
  <c r="C29" i="12" s="1"/>
  <c r="D28" i="12" s="1"/>
  <c r="F27" i="11"/>
  <c r="C47" i="11" s="1"/>
  <c r="D45" i="11" s="1"/>
  <c r="AC32" i="33"/>
  <c r="U32" i="33"/>
  <c r="F51" i="78"/>
  <c r="L56" i="78"/>
  <c r="L59" i="78"/>
  <c r="N59" i="78"/>
  <c r="M59" i="78"/>
  <c r="L58" i="78"/>
  <c r="F68" i="78"/>
  <c r="F50" i="78"/>
  <c r="M7" i="78"/>
  <c r="C27" i="78"/>
  <c r="F64" i="78"/>
  <c r="F66" i="78"/>
  <c r="J7" i="34"/>
  <c r="J53" i="78"/>
  <c r="J57" i="78"/>
  <c r="J55" i="78" s="1"/>
  <c r="J58" i="78" s="1"/>
  <c r="Q50" i="78" s="1"/>
  <c r="I54" i="78"/>
  <c r="K4" i="4"/>
  <c r="B46" i="48" s="1"/>
  <c r="B4" i="72" s="1"/>
  <c r="U37" i="34"/>
  <c r="AB37" i="34"/>
  <c r="Q52" i="15"/>
  <c r="F1" i="15"/>
  <c r="M11" i="78"/>
  <c r="F11" i="78"/>
  <c r="E16" i="6"/>
  <c r="F27" i="6"/>
  <c r="E51" i="40"/>
  <c r="E56" i="39"/>
  <c r="E58" i="40"/>
  <c r="E63" i="39"/>
  <c r="C29" i="69"/>
  <c r="D27" i="69" s="1"/>
  <c r="H10" i="40"/>
  <c r="U10" i="40" s="1"/>
  <c r="H10" i="39"/>
  <c r="AB10" i="39" s="1"/>
  <c r="F10" i="40"/>
  <c r="AA10" i="39"/>
  <c r="S10" i="39"/>
  <c r="J10" i="40"/>
  <c r="W10" i="40" s="1"/>
  <c r="J10" i="39"/>
  <c r="AC10" i="39" s="1"/>
  <c r="D65" i="40"/>
  <c r="E63" i="40"/>
  <c r="N51" i="71"/>
  <c r="B50" i="71"/>
  <c r="C5" i="71"/>
  <c r="D6" i="71"/>
  <c r="D27" i="71"/>
  <c r="C28" i="71"/>
  <c r="T20" i="71"/>
  <c r="D20" i="71"/>
  <c r="AC38" i="40"/>
  <c r="W38" i="40"/>
  <c r="AB24" i="36"/>
  <c r="U24" i="36"/>
  <c r="AC23" i="35"/>
  <c r="W23" i="35"/>
  <c r="AB12" i="21"/>
  <c r="U12" i="21"/>
  <c r="AA26" i="33"/>
  <c r="S26" i="33"/>
  <c r="AB39" i="37"/>
  <c r="U39" i="37"/>
  <c r="E58" i="21"/>
  <c r="G48" i="35"/>
  <c r="B34" i="72"/>
  <c r="D17" i="53"/>
  <c r="B36" i="72" s="1"/>
  <c r="E30" i="6"/>
  <c r="K15" i="1"/>
  <c r="K16" i="1" s="1"/>
  <c r="G5" i="3"/>
  <c r="A3" i="3" s="1"/>
  <c r="H7" i="33"/>
  <c r="J7" i="33"/>
  <c r="P16" i="1"/>
  <c r="C11" i="12" s="1"/>
  <c r="H52" i="37"/>
  <c r="AB10" i="40"/>
  <c r="D10" i="52"/>
  <c r="D125" i="9"/>
  <c r="D11" i="52" s="1"/>
  <c r="H14" i="74"/>
  <c r="B7" i="74" s="1"/>
  <c r="S7" i="34"/>
  <c r="AA7" i="34"/>
  <c r="R49" i="34" s="1"/>
  <c r="D43" i="71"/>
  <c r="C44" i="71"/>
  <c r="D39" i="71"/>
  <c r="C40" i="71"/>
  <c r="D35" i="71"/>
  <c r="C36" i="71"/>
  <c r="AB39" i="40"/>
  <c r="U39" i="40"/>
  <c r="U38" i="40"/>
  <c r="AB38" i="40"/>
  <c r="AB12" i="36"/>
  <c r="U12" i="36"/>
  <c r="AC12" i="21"/>
  <c r="W12" i="21"/>
  <c r="AZ548" i="3"/>
  <c r="AZ5" i="3" s="1"/>
  <c r="L16" i="1"/>
  <c r="C34" i="11"/>
  <c r="N16" i="1"/>
  <c r="D70" i="39"/>
  <c r="E68" i="39"/>
  <c r="F7" i="33"/>
  <c r="F46" i="36"/>
  <c r="G46" i="36" s="1"/>
  <c r="H46" i="36" s="1"/>
  <c r="I46" i="36" s="1"/>
  <c r="J46" i="36" s="1"/>
  <c r="K46" i="36" s="1"/>
  <c r="L46" i="36" s="1"/>
  <c r="M46" i="36" s="1"/>
  <c r="N46" i="36" s="1"/>
  <c r="O46" i="36" s="1"/>
  <c r="F7" i="36"/>
  <c r="O16" i="1"/>
  <c r="U7" i="34"/>
  <c r="AB7" i="34"/>
  <c r="T49" i="34" s="1"/>
  <c r="G49" i="34" s="1"/>
  <c r="L68" i="9"/>
  <c r="M68" i="9" s="1"/>
  <c r="L66" i="9"/>
  <c r="M66" i="9" s="1"/>
  <c r="L63" i="9"/>
  <c r="M63" i="9" s="1"/>
  <c r="M69" i="9" s="1"/>
  <c r="N69" i="9" s="1"/>
  <c r="L65" i="9"/>
  <c r="M65" i="9" s="1"/>
  <c r="L64" i="9"/>
  <c r="M64" i="9" s="1"/>
  <c r="L67" i="9"/>
  <c r="M67" i="9" s="1"/>
  <c r="W7" i="34"/>
  <c r="AC7" i="34"/>
  <c r="V49" i="34" s="1"/>
  <c r="I49" i="34" s="1"/>
  <c r="C49" i="67"/>
  <c r="C49" i="15"/>
  <c r="B40" i="1"/>
  <c r="C18" i="67"/>
  <c r="C15" i="67"/>
  <c r="M11" i="15"/>
  <c r="J10" i="15" s="1"/>
  <c r="J5" i="15" s="1"/>
  <c r="F11" i="67"/>
  <c r="F11" i="15"/>
  <c r="M11" i="67"/>
  <c r="J10" i="67" s="1"/>
  <c r="J5" i="67" s="1"/>
  <c r="Q73" i="67"/>
  <c r="Q60" i="67"/>
  <c r="P17" i="43"/>
  <c r="M17" i="43"/>
  <c r="N17" i="43"/>
  <c r="G20" i="43" s="1"/>
  <c r="O17" i="43"/>
  <c r="Q60" i="15"/>
  <c r="Q73" i="15"/>
  <c r="Q74" i="15"/>
  <c r="Q61" i="15"/>
  <c r="Q61" i="67"/>
  <c r="Q74" i="67"/>
  <c r="M22" i="78"/>
  <c r="M29" i="78"/>
  <c r="M28" i="78"/>
  <c r="M9" i="78"/>
  <c r="F37" i="78"/>
  <c r="M8" i="78"/>
  <c r="C16" i="78"/>
  <c r="F6" i="78"/>
  <c r="J15" i="78"/>
  <c r="F42" i="78"/>
  <c r="M23" i="78"/>
  <c r="AE7" i="1"/>
  <c r="C76" i="78"/>
  <c r="F43" i="78"/>
  <c r="F1" i="82" l="1"/>
  <c r="Q52" i="82"/>
  <c r="AA7" i="83"/>
  <c r="R49" i="83" s="1"/>
  <c r="S7" i="83"/>
  <c r="W7" i="83"/>
  <c r="AC7" i="83"/>
  <c r="V49" i="83" s="1"/>
  <c r="I49" i="83" s="1"/>
  <c r="Q73" i="82"/>
  <c r="Q60" i="82"/>
  <c r="Q74" i="82"/>
  <c r="Q61" i="82"/>
  <c r="U7" i="83"/>
  <c r="AB7" i="83"/>
  <c r="T49" i="83" s="1"/>
  <c r="G49" i="83" s="1"/>
  <c r="Q57" i="82"/>
  <c r="Q66" i="82"/>
  <c r="C29" i="11"/>
  <c r="D27" i="11" s="1"/>
  <c r="J26" i="82"/>
  <c r="J24" i="82"/>
  <c r="J18" i="82"/>
  <c r="F24" i="78"/>
  <c r="C24" i="78" s="1"/>
  <c r="F24" i="82"/>
  <c r="C53" i="82"/>
  <c r="C48" i="82" s="1"/>
  <c r="C10" i="82"/>
  <c r="C5" i="82" s="1"/>
  <c r="E27" i="6"/>
  <c r="K22" i="6" s="1"/>
  <c r="M22" i="6" s="1"/>
  <c r="I22" i="6" s="1"/>
  <c r="S22" i="6" s="1"/>
  <c r="C35" i="69"/>
  <c r="J6" i="78"/>
  <c r="J10" i="78" s="1"/>
  <c r="J5" i="78" s="1"/>
  <c r="J24" i="78" s="1"/>
  <c r="C6" i="78"/>
  <c r="C10" i="78" s="1"/>
  <c r="C5" i="78" s="1"/>
  <c r="F65" i="78"/>
  <c r="Q71" i="78"/>
  <c r="F71" i="78"/>
  <c r="B3" i="3"/>
  <c r="I4" i="6"/>
  <c r="G3" i="43" s="1"/>
  <c r="D15" i="71"/>
  <c r="C16" i="71"/>
  <c r="J65" i="43"/>
  <c r="D65" i="43"/>
  <c r="J61" i="43"/>
  <c r="D61" i="43"/>
  <c r="J59" i="43"/>
  <c r="D59" i="43"/>
  <c r="J64" i="43"/>
  <c r="D64" i="43"/>
  <c r="J62" i="43"/>
  <c r="D62" i="43"/>
  <c r="J60" i="43"/>
  <c r="D60" i="43"/>
  <c r="J67" i="43"/>
  <c r="D67" i="43"/>
  <c r="C49" i="78"/>
  <c r="Q74" i="78"/>
  <c r="Q61" i="78"/>
  <c r="F1" i="78"/>
  <c r="Q52" i="78"/>
  <c r="Q60" i="78"/>
  <c r="Q73" i="78"/>
  <c r="E66" i="39"/>
  <c r="E41" i="43"/>
  <c r="C41" i="43" s="1"/>
  <c r="C20" i="43"/>
  <c r="C53" i="78"/>
  <c r="E31" i="6"/>
  <c r="F31" i="6"/>
  <c r="K24" i="6"/>
  <c r="M24" i="6" s="1"/>
  <c r="I24" i="6" s="1"/>
  <c r="S24" i="6" s="1"/>
  <c r="W10" i="39"/>
  <c r="AC10" i="40"/>
  <c r="U10" i="39"/>
  <c r="S10" i="40"/>
  <c r="AA10" i="40"/>
  <c r="F63" i="40"/>
  <c r="E65" i="40"/>
  <c r="AY6" i="3"/>
  <c r="E3" i="6"/>
  <c r="AA7" i="36"/>
  <c r="R36" i="36" s="1"/>
  <c r="S7" i="36"/>
  <c r="F68" i="39"/>
  <c r="E70" i="39"/>
  <c r="C35" i="11"/>
  <c r="C38" i="11"/>
  <c r="T36" i="71"/>
  <c r="D36" i="71"/>
  <c r="T40" i="71"/>
  <c r="D40" i="71"/>
  <c r="T44" i="71"/>
  <c r="D44" i="71"/>
  <c r="E49" i="34"/>
  <c r="R50" i="34"/>
  <c r="I52" i="37"/>
  <c r="J52" i="37" s="1"/>
  <c r="K52" i="37" s="1"/>
  <c r="L52" i="37" s="1"/>
  <c r="M52" i="37" s="1"/>
  <c r="N52" i="37" s="1"/>
  <c r="O52" i="37" s="1"/>
  <c r="W7" i="33"/>
  <c r="AC7" i="33"/>
  <c r="V48" i="33" s="1"/>
  <c r="I48" i="33" s="1"/>
  <c r="H48" i="35"/>
  <c r="I48" i="35" s="1"/>
  <c r="J48" i="35" s="1"/>
  <c r="K48" i="35" s="1"/>
  <c r="L48" i="35" s="1"/>
  <c r="M48" i="35" s="1"/>
  <c r="N48" i="35" s="1"/>
  <c r="O48" i="35" s="1"/>
  <c r="T28" i="71"/>
  <c r="D28" i="71"/>
  <c r="N49" i="71"/>
  <c r="N50" i="71"/>
  <c r="H7" i="36"/>
  <c r="I53" i="34"/>
  <c r="J53" i="34" s="1"/>
  <c r="I54" i="34"/>
  <c r="J54" i="34" s="1"/>
  <c r="G53" i="34"/>
  <c r="H53" i="34" s="1"/>
  <c r="G54" i="34"/>
  <c r="H54" i="34" s="1"/>
  <c r="J7" i="36"/>
  <c r="AA7" i="33"/>
  <c r="R48" i="33" s="1"/>
  <c r="S7" i="33"/>
  <c r="F50" i="69"/>
  <c r="F50" i="68"/>
  <c r="F50" i="11"/>
  <c r="F7" i="37"/>
  <c r="C15" i="12"/>
  <c r="C12" i="12"/>
  <c r="U7" i="33"/>
  <c r="AB7" i="33"/>
  <c r="T48" i="33" s="1"/>
  <c r="G48" i="33" s="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C16" i="74" s="1"/>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J7" i="35"/>
  <c r="F58" i="21"/>
  <c r="E551" i="3"/>
  <c r="D5" i="71"/>
  <c r="C19" i="67"/>
  <c r="C20" i="67" s="1"/>
  <c r="C26" i="67" s="1"/>
  <c r="J24" i="67"/>
  <c r="J26" i="67"/>
  <c r="J29" i="67" s="1"/>
  <c r="J18" i="67"/>
  <c r="C53" i="67"/>
  <c r="C48" i="67" s="1"/>
  <c r="C10" i="67"/>
  <c r="C5" i="67" s="1"/>
  <c r="J24" i="15"/>
  <c r="J18" i="15"/>
  <c r="J26" i="15"/>
  <c r="C53" i="15"/>
  <c r="C48" i="15" s="1"/>
  <c r="C10" i="15"/>
  <c r="C5" i="15" s="1"/>
  <c r="F24" i="67"/>
  <c r="C24" i="67" s="1"/>
  <c r="F22" i="68"/>
  <c r="F22" i="11"/>
  <c r="F22" i="69"/>
  <c r="F25" i="12"/>
  <c r="F24" i="15"/>
  <c r="C24" i="15" s="1"/>
  <c r="AE8" i="1"/>
  <c r="AE6" i="1"/>
  <c r="F41" i="15"/>
  <c r="F41" i="82"/>
  <c r="K26" i="6" l="1"/>
  <c r="M26" i="6" s="1"/>
  <c r="I26" i="6" s="1"/>
  <c r="S26" i="6" s="1"/>
  <c r="G54" i="83"/>
  <c r="H54" i="83" s="1"/>
  <c r="G53" i="83"/>
  <c r="H53" i="83" s="1"/>
  <c r="I53" i="83"/>
  <c r="J53" i="83" s="1"/>
  <c r="E49" i="83"/>
  <c r="I54" i="83" s="1"/>
  <c r="J54" i="83" s="1"/>
  <c r="R50" i="83"/>
  <c r="F69" i="82"/>
  <c r="J29" i="82"/>
  <c r="C66" i="82"/>
  <c r="C60" i="82"/>
  <c r="C38" i="82"/>
  <c r="C33" i="82"/>
  <c r="C32" i="82"/>
  <c r="C24" i="82"/>
  <c r="K19" i="6"/>
  <c r="S6" i="1" s="1"/>
  <c r="K21" i="6"/>
  <c r="K23" i="6"/>
  <c r="M23" i="6" s="1"/>
  <c r="I23" i="6" s="1"/>
  <c r="S23" i="6" s="1"/>
  <c r="K20" i="6"/>
  <c r="K25" i="6"/>
  <c r="M25" i="6" s="1"/>
  <c r="I25" i="6" s="1"/>
  <c r="S25" i="6" s="1"/>
  <c r="J18" i="78"/>
  <c r="J26" i="78"/>
  <c r="E59" i="43"/>
  <c r="B57" i="43" s="1"/>
  <c r="C24" i="43" s="1"/>
  <c r="D16" i="71"/>
  <c r="M20" i="43" s="1"/>
  <c r="C19" i="43" s="1"/>
  <c r="T16" i="71"/>
  <c r="F101" i="43"/>
  <c r="B113" i="43"/>
  <c r="AA11" i="43"/>
  <c r="AA13" i="43" s="1"/>
  <c r="E101" i="43"/>
  <c r="AB11" i="43"/>
  <c r="AB13" i="43" s="1"/>
  <c r="S7" i="43"/>
  <c r="AJ11" i="43"/>
  <c r="AJ13" i="43" s="1"/>
  <c r="N101" i="43"/>
  <c r="S6" i="43"/>
  <c r="N104" i="46"/>
  <c r="Z7" i="43"/>
  <c r="S2" i="43"/>
  <c r="H22" i="43"/>
  <c r="F22" i="43"/>
  <c r="K101" i="43"/>
  <c r="Y11" i="43"/>
  <c r="Y13" i="43" s="1"/>
  <c r="AD11" i="43"/>
  <c r="AD13" i="43" s="1"/>
  <c r="E22" i="43"/>
  <c r="AH11" i="43"/>
  <c r="AH13" i="43" s="1"/>
  <c r="L101" i="43"/>
  <c r="J22" i="43"/>
  <c r="AC11" i="43"/>
  <c r="AC13" i="43" s="1"/>
  <c r="J101" i="43"/>
  <c r="G22" i="43"/>
  <c r="AI11" i="43"/>
  <c r="AI13" i="43" s="1"/>
  <c r="H101" i="43"/>
  <c r="C23" i="43"/>
  <c r="S5" i="43"/>
  <c r="AE11" i="43"/>
  <c r="AE13" i="43" s="1"/>
  <c r="AF11" i="43"/>
  <c r="AF13" i="43" s="1"/>
  <c r="M101" i="43"/>
  <c r="G101" i="43"/>
  <c r="S3" i="43"/>
  <c r="S4" i="43"/>
  <c r="AG11" i="43"/>
  <c r="AG13" i="43" s="1"/>
  <c r="D101" i="43"/>
  <c r="Z11" i="43"/>
  <c r="Z13" i="43" s="1"/>
  <c r="I101" i="43"/>
  <c r="C101" i="43"/>
  <c r="C48" i="78"/>
  <c r="C66" i="78" s="1"/>
  <c r="AC6" i="3"/>
  <c r="E6" i="70"/>
  <c r="F69" i="15"/>
  <c r="J29" i="15"/>
  <c r="C32" i="78"/>
  <c r="C38" i="78"/>
  <c r="AQ6" i="1"/>
  <c r="AR6" i="1"/>
  <c r="T6" i="1"/>
  <c r="M20" i="6"/>
  <c r="I20" i="6" s="1"/>
  <c r="S20" i="6" s="1"/>
  <c r="S7" i="1"/>
  <c r="K27" i="6"/>
  <c r="M19" i="6"/>
  <c r="H6" i="3"/>
  <c r="F7" i="35"/>
  <c r="J7" i="37"/>
  <c r="G63" i="40"/>
  <c r="F65" i="40"/>
  <c r="G58" i="21"/>
  <c r="G52" i="33"/>
  <c r="H52" i="33" s="1"/>
  <c r="G53" i="33"/>
  <c r="H53" i="33" s="1"/>
  <c r="R49" i="33"/>
  <c r="E48" i="33"/>
  <c r="AB7" i="36"/>
  <c r="T36" i="36" s="1"/>
  <c r="G36" i="36" s="1"/>
  <c r="U7" i="36"/>
  <c r="H7" i="35"/>
  <c r="H7" i="37"/>
  <c r="C49" i="34"/>
  <c r="C50" i="34"/>
  <c r="F70" i="39"/>
  <c r="G68" i="39"/>
  <c r="E36" i="36"/>
  <c r="R37" i="3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W7" i="35"/>
  <c r="AC7" i="35"/>
  <c r="V38" i="35" s="1"/>
  <c r="I38" i="35" s="1"/>
  <c r="AA7" i="37"/>
  <c r="R42" i="37" s="1"/>
  <c r="S7" i="37"/>
  <c r="AC7" i="36"/>
  <c r="V36" i="36" s="1"/>
  <c r="I36" i="36" s="1"/>
  <c r="W7" i="36"/>
  <c r="AA7" i="35"/>
  <c r="R38" i="35" s="1"/>
  <c r="S7" i="35"/>
  <c r="I52" i="33"/>
  <c r="J52" i="33" s="1"/>
  <c r="I53" i="33"/>
  <c r="J53" i="33" s="1"/>
  <c r="W7" i="37"/>
  <c r="AC7" i="37"/>
  <c r="V42" i="37" s="1"/>
  <c r="I42" i="37" s="1"/>
  <c r="E54" i="34"/>
  <c r="F54" i="34" s="1"/>
  <c r="E53" i="34"/>
  <c r="F53" i="34" s="1"/>
  <c r="D3" i="21"/>
  <c r="E6" i="6"/>
  <c r="C17" i="4"/>
  <c r="B4" i="52" s="1"/>
  <c r="B43" i="72" s="1"/>
  <c r="D3" i="37"/>
  <c r="D3" i="34"/>
  <c r="D37" i="11"/>
  <c r="C37" i="11" s="1"/>
  <c r="C33" i="11" s="1"/>
  <c r="C42" i="11" s="1"/>
  <c r="M18" i="9"/>
  <c r="B118" i="9" s="1"/>
  <c r="B14" i="74" s="1"/>
  <c r="B1" i="74" s="1"/>
  <c r="D3" i="33"/>
  <c r="D19" i="11"/>
  <c r="C19" i="11" s="1"/>
  <c r="D14" i="12"/>
  <c r="C26" i="68"/>
  <c r="D22" i="68" s="1"/>
  <c r="C44" i="68"/>
  <c r="D41" i="68" s="1"/>
  <c r="C38" i="15"/>
  <c r="C32" i="15"/>
  <c r="C26" i="12"/>
  <c r="D25" i="12" s="1"/>
  <c r="C44" i="11"/>
  <c r="D41" i="11" s="1"/>
  <c r="C23" i="11"/>
  <c r="C26" i="11"/>
  <c r="D22" i="11" s="1"/>
  <c r="C23" i="67"/>
  <c r="C29" i="67" s="1"/>
  <c r="C66" i="15"/>
  <c r="C60" i="15"/>
  <c r="C60" i="67"/>
  <c r="C66" i="67"/>
  <c r="C44" i="69"/>
  <c r="D41" i="69" s="1"/>
  <c r="C26" i="69"/>
  <c r="D22" i="69" s="1"/>
  <c r="C38" i="67"/>
  <c r="C32" i="67"/>
  <c r="C17" i="15"/>
  <c r="C17" i="78"/>
  <c r="C14" i="78"/>
  <c r="F41" i="78"/>
  <c r="C50" i="83" l="1"/>
  <c r="C49" i="83"/>
  <c r="E53" i="83"/>
  <c r="F53" i="83" s="1"/>
  <c r="E54" i="83"/>
  <c r="F54" i="83" s="1"/>
  <c r="M21" i="6"/>
  <c r="I21" i="6" s="1"/>
  <c r="S8" i="1"/>
  <c r="L18" i="9"/>
  <c r="T12" i="43"/>
  <c r="V12" i="43" s="1"/>
  <c r="T2" i="43"/>
  <c r="V2" i="43" s="1"/>
  <c r="T10" i="43"/>
  <c r="V10" i="43" s="1"/>
  <c r="T11" i="43"/>
  <c r="V11" i="43" s="1"/>
  <c r="T9" i="43"/>
  <c r="V9" i="43" s="1"/>
  <c r="T8" i="43"/>
  <c r="V8" i="43" s="1"/>
  <c r="T5" i="43"/>
  <c r="V5" i="43" s="1"/>
  <c r="C38" i="43"/>
  <c r="E38" i="43" s="1"/>
  <c r="C34" i="43"/>
  <c r="E34" i="43" s="1"/>
  <c r="C39" i="43"/>
  <c r="E39" i="43" s="1"/>
  <c r="C33" i="43"/>
  <c r="G33" i="43" s="1"/>
  <c r="I33" i="43" s="1"/>
  <c r="T16" i="43"/>
  <c r="V16" i="43" s="1"/>
  <c r="T3" i="43"/>
  <c r="V3" i="43" s="1"/>
  <c r="T15" i="43"/>
  <c r="V15" i="43" s="1"/>
  <c r="T6" i="43"/>
  <c r="V6" i="43" s="1"/>
  <c r="T14" i="43"/>
  <c r="V14" i="43" s="1"/>
  <c r="T7" i="43"/>
  <c r="V7" i="43" s="1"/>
  <c r="T13" i="43"/>
  <c r="V13" i="43" s="1"/>
  <c r="T4" i="43"/>
  <c r="V4" i="43" s="1"/>
  <c r="C35" i="43"/>
  <c r="E35" i="43" s="1"/>
  <c r="C37" i="43"/>
  <c r="G37" i="43" s="1"/>
  <c r="I37" i="43" s="1"/>
  <c r="C36" i="43"/>
  <c r="E36" i="43" s="1"/>
  <c r="I109" i="43"/>
  <c r="I106" i="43"/>
  <c r="I104" i="43"/>
  <c r="I105" i="43"/>
  <c r="I103" i="43"/>
  <c r="I107" i="43"/>
  <c r="I102" i="43"/>
  <c r="D109" i="43"/>
  <c r="D105" i="43"/>
  <c r="D104" i="43"/>
  <c r="D102" i="43"/>
  <c r="D107" i="43"/>
  <c r="D106" i="43"/>
  <c r="D103" i="43"/>
  <c r="G103" i="43"/>
  <c r="G102" i="43"/>
  <c r="G109" i="43"/>
  <c r="G105" i="43"/>
  <c r="G107" i="43"/>
  <c r="G104" i="43"/>
  <c r="G106" i="43"/>
  <c r="H103" i="43"/>
  <c r="H102" i="43"/>
  <c r="H105" i="43"/>
  <c r="H106" i="43"/>
  <c r="H107" i="43"/>
  <c r="H109" i="43"/>
  <c r="H104" i="43"/>
  <c r="L109" i="43"/>
  <c r="L107" i="43"/>
  <c r="L106" i="43"/>
  <c r="L104" i="43"/>
  <c r="L103" i="43"/>
  <c r="L105" i="43"/>
  <c r="L102" i="43"/>
  <c r="D22" i="43"/>
  <c r="C21" i="43" s="1"/>
  <c r="C29" i="43" s="1"/>
  <c r="N102" i="43"/>
  <c r="N103" i="43"/>
  <c r="N105" i="43"/>
  <c r="N109" i="43"/>
  <c r="N107" i="43"/>
  <c r="N104" i="43"/>
  <c r="N106" i="43"/>
  <c r="E109" i="43"/>
  <c r="E102" i="43"/>
  <c r="E105" i="43"/>
  <c r="E106" i="43"/>
  <c r="E104" i="43"/>
  <c r="E107" i="43"/>
  <c r="E103" i="43"/>
  <c r="B115" i="43"/>
  <c r="C115" i="43" s="1"/>
  <c r="I115" i="43"/>
  <c r="J115" i="43" s="1"/>
  <c r="K115" i="43" s="1"/>
  <c r="L115" i="43" s="1"/>
  <c r="M115" i="43" s="1"/>
  <c r="D118" i="43"/>
  <c r="E118" i="43" s="1"/>
  <c r="F118" i="43" s="1"/>
  <c r="I117" i="43"/>
  <c r="J117" i="43" s="1"/>
  <c r="K117" i="43" s="1"/>
  <c r="L117" i="43" s="1"/>
  <c r="M117" i="43" s="1"/>
  <c r="D115" i="43"/>
  <c r="E115" i="43" s="1"/>
  <c r="F115" i="43" s="1"/>
  <c r="G115" i="43" s="1"/>
  <c r="H115" i="43" s="1"/>
  <c r="G118" i="43"/>
  <c r="H118" i="43" s="1"/>
  <c r="I116" i="43"/>
  <c r="J116" i="43" s="1"/>
  <c r="K116" i="43" s="1"/>
  <c r="L116" i="43" s="1"/>
  <c r="M116" i="43" s="1"/>
  <c r="D117" i="43"/>
  <c r="E117" i="43" s="1"/>
  <c r="F117" i="43" s="1"/>
  <c r="G117" i="43" s="1"/>
  <c r="H117" i="43" s="1"/>
  <c r="I118" i="43"/>
  <c r="J118" i="43" s="1"/>
  <c r="K118" i="43" s="1"/>
  <c r="L118" i="43" s="1"/>
  <c r="M118" i="43" s="1"/>
  <c r="B116" i="43"/>
  <c r="C116" i="43" s="1"/>
  <c r="B117" i="43"/>
  <c r="C117" i="43" s="1"/>
  <c r="D116" i="43"/>
  <c r="E116" i="43" s="1"/>
  <c r="F116" i="43" s="1"/>
  <c r="G116" i="43" s="1"/>
  <c r="H116" i="43" s="1"/>
  <c r="B118" i="43"/>
  <c r="C118" i="43" s="1"/>
  <c r="C106" i="43"/>
  <c r="C109" i="43"/>
  <c r="C105" i="43"/>
  <c r="C107" i="43"/>
  <c r="C103" i="43"/>
  <c r="C104" i="43"/>
  <c r="C102" i="43"/>
  <c r="M107" i="43"/>
  <c r="M104" i="43"/>
  <c r="M102" i="43"/>
  <c r="M109" i="43"/>
  <c r="M105" i="43"/>
  <c r="M103" i="43"/>
  <c r="M106" i="43"/>
  <c r="J103" i="43"/>
  <c r="J109" i="43"/>
  <c r="J107" i="43"/>
  <c r="J104" i="43"/>
  <c r="J106" i="43"/>
  <c r="J105" i="43"/>
  <c r="J102" i="43"/>
  <c r="K107" i="43"/>
  <c r="K103" i="43"/>
  <c r="K109" i="43"/>
  <c r="K105" i="43"/>
  <c r="K106" i="43"/>
  <c r="K104" i="43"/>
  <c r="K102" i="43"/>
  <c r="F107" i="43"/>
  <c r="F103" i="43"/>
  <c r="F102" i="43"/>
  <c r="F104" i="43"/>
  <c r="F106" i="43"/>
  <c r="F109" i="43"/>
  <c r="F105" i="43"/>
  <c r="F69" i="78"/>
  <c r="J29" i="78"/>
  <c r="C60" i="78"/>
  <c r="E6" i="3"/>
  <c r="C15" i="78"/>
  <c r="C18" i="78"/>
  <c r="S16" i="1"/>
  <c r="E7" i="70"/>
  <c r="AQ7" i="1"/>
  <c r="AR7" i="1"/>
  <c r="T7" i="1"/>
  <c r="I19" i="6"/>
  <c r="L18" i="80" s="1"/>
  <c r="M27" i="6"/>
  <c r="H63" i="40"/>
  <c r="G65" i="40"/>
  <c r="C20" i="11"/>
  <c r="C25" i="11" s="1"/>
  <c r="C24" i="11"/>
  <c r="D17" i="12"/>
  <c r="C17" i="12" s="1"/>
  <c r="C14" i="12"/>
  <c r="C16" i="12" s="1"/>
  <c r="C39" i="11"/>
  <c r="C43" i="11" s="1"/>
  <c r="C41" i="11" s="1"/>
  <c r="I46" i="37"/>
  <c r="J46" i="37" s="1"/>
  <c r="I42" i="35"/>
  <c r="J42" i="35" s="1"/>
  <c r="H20" i="6"/>
  <c r="D25" i="6"/>
  <c r="D15" i="6"/>
  <c r="D22" i="6"/>
  <c r="D21" i="6"/>
  <c r="D24" i="6"/>
  <c r="D20" i="6"/>
  <c r="R20" i="6" s="1"/>
  <c r="R7" i="1" s="1"/>
  <c r="D6" i="6"/>
  <c r="D9" i="6"/>
  <c r="D10" i="6"/>
  <c r="L19" i="9"/>
  <c r="D29" i="6"/>
  <c r="H25" i="6"/>
  <c r="H22" i="6"/>
  <c r="H21" i="6"/>
  <c r="H24" i="6"/>
  <c r="M19" i="9"/>
  <c r="C118" i="9" s="1"/>
  <c r="C14" i="74" s="1"/>
  <c r="D26" i="6"/>
  <c r="D8" i="6"/>
  <c r="D14" i="6"/>
  <c r="D12" i="6"/>
  <c r="D13" i="6"/>
  <c r="E61" i="40"/>
  <c r="H23" i="6"/>
  <c r="D19" i="6"/>
  <c r="C15" i="74" s="1"/>
  <c r="C18" i="4"/>
  <c r="D23" i="6"/>
  <c r="D5" i="6"/>
  <c r="D11" i="6"/>
  <c r="D28" i="6"/>
  <c r="D30" i="6" s="1"/>
  <c r="H26" i="6"/>
  <c r="H19" i="6"/>
  <c r="C37" i="36"/>
  <c r="B2" i="36" s="1"/>
  <c r="B3" i="36" s="1"/>
  <c r="C36" i="36"/>
  <c r="H68" i="39"/>
  <c r="G70" i="39"/>
  <c r="B2" i="34"/>
  <c r="AB7" i="37"/>
  <c r="T42" i="37" s="1"/>
  <c r="G42" i="37" s="1"/>
  <c r="U7" i="37"/>
  <c r="E53" i="33"/>
  <c r="F53" i="33" s="1"/>
  <c r="E52" i="33"/>
  <c r="F52" i="33" s="1"/>
  <c r="G39" i="43"/>
  <c r="I39" i="43" s="1"/>
  <c r="C8" i="74"/>
  <c r="C7" i="74"/>
  <c r="D10" i="11"/>
  <c r="C10" i="11" s="1"/>
  <c r="D20" i="12"/>
  <c r="C20" i="12" s="1"/>
  <c r="C18" i="12" s="1"/>
  <c r="D10" i="69"/>
  <c r="R39" i="35"/>
  <c r="E38" i="35"/>
  <c r="I43" i="35" s="1"/>
  <c r="J43" i="35" s="1"/>
  <c r="I40" i="36"/>
  <c r="J40" i="36" s="1"/>
  <c r="I41" i="36"/>
  <c r="J41" i="36" s="1"/>
  <c r="R43" i="37"/>
  <c r="E42" i="37"/>
  <c r="E41" i="36"/>
  <c r="F41" i="36" s="1"/>
  <c r="E40" i="36"/>
  <c r="F40" i="36" s="1"/>
  <c r="U7" i="35"/>
  <c r="AB7" i="35"/>
  <c r="T38" i="35" s="1"/>
  <c r="G38" i="35" s="1"/>
  <c r="G40" i="36"/>
  <c r="H40" i="36" s="1"/>
  <c r="G41" i="36"/>
  <c r="H41" i="36" s="1"/>
  <c r="C48" i="33"/>
  <c r="R24" i="31" s="1"/>
  <c r="C49" i="33"/>
  <c r="B2" i="33" s="1"/>
  <c r="B3" i="33" s="1"/>
  <c r="H58" i="21"/>
  <c r="C33" i="15"/>
  <c r="C33" i="67"/>
  <c r="C31" i="67" s="1"/>
  <c r="J14" i="67"/>
  <c r="C57" i="67"/>
  <c r="C13" i="67"/>
  <c r="J19" i="67"/>
  <c r="J17" i="67" s="1"/>
  <c r="Q49" i="67"/>
  <c r="C36" i="67"/>
  <c r="J59" i="67"/>
  <c r="J60" i="67" s="1"/>
  <c r="C17" i="82"/>
  <c r="M21" i="15"/>
  <c r="C19" i="9"/>
  <c r="D10" i="68"/>
  <c r="F35" i="15"/>
  <c r="C14" i="15"/>
  <c r="C34" i="68"/>
  <c r="E2" i="70" l="1"/>
  <c r="S21" i="6"/>
  <c r="L18" i="84"/>
  <c r="L19" i="84"/>
  <c r="M19" i="84"/>
  <c r="C118" i="84" s="1"/>
  <c r="E8" i="70"/>
  <c r="B2" i="83"/>
  <c r="B3" i="83"/>
  <c r="AR8" i="1"/>
  <c r="AQ8" i="1"/>
  <c r="T8" i="1"/>
  <c r="R102" i="31"/>
  <c r="S102" i="31" s="1"/>
  <c r="R100" i="31"/>
  <c r="S100" i="31" s="1"/>
  <c r="R98" i="31"/>
  <c r="S98" i="31" s="1"/>
  <c r="R96" i="31"/>
  <c r="S96" i="31" s="1"/>
  <c r="R94" i="31"/>
  <c r="S94" i="31" s="1"/>
  <c r="R92" i="31"/>
  <c r="S92" i="31" s="1"/>
  <c r="R90" i="31"/>
  <c r="S90" i="31" s="1"/>
  <c r="R88" i="31"/>
  <c r="S88" i="31" s="1"/>
  <c r="R86" i="31"/>
  <c r="S86" i="31" s="1"/>
  <c r="R84" i="31"/>
  <c r="S84" i="31" s="1"/>
  <c r="R82" i="31"/>
  <c r="S82" i="31" s="1"/>
  <c r="R80" i="31"/>
  <c r="S80" i="31" s="1"/>
  <c r="R78" i="31"/>
  <c r="S78" i="31" s="1"/>
  <c r="R76" i="31"/>
  <c r="S76" i="31" s="1"/>
  <c r="R74" i="31"/>
  <c r="S74" i="31" s="1"/>
  <c r="R72" i="31"/>
  <c r="S72" i="31" s="1"/>
  <c r="R70" i="31"/>
  <c r="S70" i="31" s="1"/>
  <c r="R68" i="31"/>
  <c r="S68" i="31" s="1"/>
  <c r="R66" i="31"/>
  <c r="S66" i="31" s="1"/>
  <c r="R64" i="31"/>
  <c r="S64" i="31" s="1"/>
  <c r="R62" i="31"/>
  <c r="S62" i="31" s="1"/>
  <c r="R60" i="31"/>
  <c r="S60" i="31" s="1"/>
  <c r="R58" i="31"/>
  <c r="S58" i="31" s="1"/>
  <c r="R56" i="31"/>
  <c r="S56" i="31" s="1"/>
  <c r="R54" i="31"/>
  <c r="S54" i="31" s="1"/>
  <c r="R52" i="31"/>
  <c r="S52" i="31" s="1"/>
  <c r="R50" i="31"/>
  <c r="S50" i="31" s="1"/>
  <c r="R48" i="31"/>
  <c r="S48" i="31" s="1"/>
  <c r="R46" i="31"/>
  <c r="S46" i="31" s="1"/>
  <c r="R44" i="31"/>
  <c r="S44" i="31" s="1"/>
  <c r="R42" i="31"/>
  <c r="S42" i="31" s="1"/>
  <c r="R40" i="31"/>
  <c r="S40" i="31" s="1"/>
  <c r="R38" i="31"/>
  <c r="S38" i="31" s="1"/>
  <c r="R36" i="31"/>
  <c r="S36" i="31" s="1"/>
  <c r="R34" i="31"/>
  <c r="S34" i="31" s="1"/>
  <c r="R32" i="31"/>
  <c r="S32" i="31" s="1"/>
  <c r="R30" i="31"/>
  <c r="S30" i="31" s="1"/>
  <c r="R28" i="31"/>
  <c r="S28" i="31" s="1"/>
  <c r="R101" i="31"/>
  <c r="S101" i="31" s="1"/>
  <c r="R99" i="31"/>
  <c r="S99" i="31" s="1"/>
  <c r="R97" i="31"/>
  <c r="S97" i="31" s="1"/>
  <c r="R95" i="31"/>
  <c r="S95" i="31" s="1"/>
  <c r="R93" i="31"/>
  <c r="S93" i="31" s="1"/>
  <c r="R91" i="31"/>
  <c r="S91" i="31" s="1"/>
  <c r="R89" i="31"/>
  <c r="S89" i="31" s="1"/>
  <c r="R87" i="31"/>
  <c r="S87" i="31" s="1"/>
  <c r="R85" i="31"/>
  <c r="S85" i="31" s="1"/>
  <c r="R83" i="31"/>
  <c r="S83" i="31" s="1"/>
  <c r="R81" i="31"/>
  <c r="S81" i="31" s="1"/>
  <c r="R79" i="31"/>
  <c r="S79" i="31" s="1"/>
  <c r="R77" i="31"/>
  <c r="S77" i="31" s="1"/>
  <c r="R75" i="31"/>
  <c r="S75" i="31" s="1"/>
  <c r="R73" i="31"/>
  <c r="S73" i="31" s="1"/>
  <c r="R71" i="31"/>
  <c r="S71" i="31" s="1"/>
  <c r="R69" i="31"/>
  <c r="S69" i="31" s="1"/>
  <c r="R67" i="31"/>
  <c r="S67" i="31" s="1"/>
  <c r="R65" i="31"/>
  <c r="S65" i="31" s="1"/>
  <c r="R63" i="31"/>
  <c r="S63" i="31" s="1"/>
  <c r="R61" i="31"/>
  <c r="S61" i="31" s="1"/>
  <c r="R59" i="31"/>
  <c r="S59" i="31" s="1"/>
  <c r="R57" i="31"/>
  <c r="S57" i="31" s="1"/>
  <c r="R55" i="31"/>
  <c r="S55" i="31" s="1"/>
  <c r="R53" i="31"/>
  <c r="S53" i="31" s="1"/>
  <c r="R51" i="31"/>
  <c r="S51" i="31" s="1"/>
  <c r="R49" i="31"/>
  <c r="S49" i="31" s="1"/>
  <c r="R47" i="31"/>
  <c r="S47" i="31" s="1"/>
  <c r="R45" i="31"/>
  <c r="S45" i="31" s="1"/>
  <c r="R43" i="31"/>
  <c r="S43" i="31" s="1"/>
  <c r="R41" i="31"/>
  <c r="S41" i="31" s="1"/>
  <c r="R39" i="31"/>
  <c r="S39" i="31" s="1"/>
  <c r="R37" i="31"/>
  <c r="S37" i="31" s="1"/>
  <c r="R35" i="31"/>
  <c r="S35" i="31" s="1"/>
  <c r="R33" i="31"/>
  <c r="S33" i="31" s="1"/>
  <c r="R31" i="31"/>
  <c r="S31" i="31" s="1"/>
  <c r="R29" i="31"/>
  <c r="S29" i="31" s="1"/>
  <c r="R27" i="31"/>
  <c r="S27" i="31" s="1"/>
  <c r="G36" i="43"/>
  <c r="I36" i="43" s="1"/>
  <c r="E37" i="43"/>
  <c r="G34" i="43"/>
  <c r="I34" i="43" s="1"/>
  <c r="E33" i="43"/>
  <c r="G35" i="43"/>
  <c r="I35" i="43" s="1"/>
  <c r="G38" i="43"/>
  <c r="I38" i="43" s="1"/>
  <c r="E29" i="43"/>
  <c r="C30" i="43"/>
  <c r="E30" i="43" s="1"/>
  <c r="B2" i="74"/>
  <c r="D8" i="74" s="1"/>
  <c r="D113" i="43"/>
  <c r="C19" i="78"/>
  <c r="C20" i="78" s="1"/>
  <c r="C23" i="78" s="1"/>
  <c r="C15" i="15"/>
  <c r="C18" i="15"/>
  <c r="C38" i="68"/>
  <c r="C35" i="68"/>
  <c r="M19" i="80"/>
  <c r="C118" i="80" s="1"/>
  <c r="L19" i="80"/>
  <c r="T16" i="1"/>
  <c r="C102" i="9"/>
  <c r="B3" i="34"/>
  <c r="J20" i="15"/>
  <c r="F63" i="15"/>
  <c r="C62" i="15" s="1"/>
  <c r="C34" i="15"/>
  <c r="C31" i="15" s="1"/>
  <c r="C22" i="11"/>
  <c r="H27" i="6"/>
  <c r="D16" i="6"/>
  <c r="S19" i="6"/>
  <c r="S27" i="6" s="1"/>
  <c r="I27" i="6"/>
  <c r="R23" i="6"/>
  <c r="I63" i="40"/>
  <c r="H65" i="40"/>
  <c r="C43" i="37"/>
  <c r="B2" i="37" s="1"/>
  <c r="B3" i="37" s="1"/>
  <c r="C42" i="37"/>
  <c r="C39" i="35"/>
  <c r="B2" i="35" s="1"/>
  <c r="B3" i="35" s="1"/>
  <c r="C38" i="35"/>
  <c r="C10" i="68"/>
  <c r="C8" i="68" s="1"/>
  <c r="D19" i="68"/>
  <c r="H70" i="39"/>
  <c r="I68" i="39"/>
  <c r="D27" i="6"/>
  <c r="D31" i="6" s="1"/>
  <c r="R19" i="6"/>
  <c r="R24" i="6"/>
  <c r="R22" i="6"/>
  <c r="R25" i="6"/>
  <c r="C46" i="11"/>
  <c r="C45" i="11" s="1"/>
  <c r="C49" i="11" s="1"/>
  <c r="C51" i="11" s="1"/>
  <c r="C21" i="12"/>
  <c r="G42" i="35"/>
  <c r="H42" i="35" s="1"/>
  <c r="G43" i="35"/>
  <c r="H43" i="35" s="1"/>
  <c r="I58" i="21"/>
  <c r="E47" i="37"/>
  <c r="F47" i="37" s="1"/>
  <c r="E46" i="37"/>
  <c r="F46" i="37" s="1"/>
  <c r="E43" i="35"/>
  <c r="F43" i="35" s="1"/>
  <c r="E42" i="35"/>
  <c r="F42" i="35" s="1"/>
  <c r="C10" i="69"/>
  <c r="C8" i="69" s="1"/>
  <c r="C5" i="69" s="1"/>
  <c r="D19" i="69"/>
  <c r="G46" i="37"/>
  <c r="H46" i="37" s="1"/>
  <c r="G47" i="37"/>
  <c r="H47" i="37" s="1"/>
  <c r="A7" i="51"/>
  <c r="B7" i="72" s="1"/>
  <c r="C4" i="52"/>
  <c r="B45" i="72" s="1"/>
  <c r="A10" i="51"/>
  <c r="B9" i="72" s="1"/>
  <c r="R26" i="6"/>
  <c r="C21" i="9"/>
  <c r="R21" i="6"/>
  <c r="R8" i="1" s="1"/>
  <c r="I47" i="37"/>
  <c r="J47" i="37" s="1"/>
  <c r="C28" i="11"/>
  <c r="C27" i="11" s="1"/>
  <c r="Q48" i="67"/>
  <c r="L46" i="67"/>
  <c r="C75" i="67"/>
  <c r="C37" i="67"/>
  <c r="C30" i="67" s="1"/>
  <c r="C39" i="67" s="1"/>
  <c r="Q70" i="67"/>
  <c r="C56" i="67"/>
  <c r="C65" i="67" s="1"/>
  <c r="J13" i="67"/>
  <c r="J23" i="67" s="1"/>
  <c r="J22" i="67"/>
  <c r="C61" i="67"/>
  <c r="C59" i="67" s="1"/>
  <c r="C64" i="67"/>
  <c r="F35" i="82"/>
  <c r="C14" i="82"/>
  <c r="C20" i="9"/>
  <c r="C19" i="84"/>
  <c r="M21" i="82"/>
  <c r="C20" i="84"/>
  <c r="C15" i="82" l="1"/>
  <c r="C18" i="82"/>
  <c r="C19" i="82"/>
  <c r="D7" i="74"/>
  <c r="C103" i="84"/>
  <c r="C102" i="84"/>
  <c r="C21" i="84"/>
  <c r="C34" i="82"/>
  <c r="C31" i="82" s="1"/>
  <c r="F63" i="82"/>
  <c r="C62" i="82" s="1"/>
  <c r="J20" i="82"/>
  <c r="C26" i="43"/>
  <c r="C27" i="43"/>
  <c r="C19" i="15"/>
  <c r="C20" i="15" s="1"/>
  <c r="C26" i="15" s="1"/>
  <c r="C26" i="78"/>
  <c r="C29" i="78" s="1"/>
  <c r="C33" i="78" s="1"/>
  <c r="C103" i="9"/>
  <c r="C31" i="11"/>
  <c r="C52" i="11" s="1"/>
  <c r="B2" i="11" s="1"/>
  <c r="B3" i="11" s="1"/>
  <c r="R27" i="6"/>
  <c r="R6" i="1"/>
  <c r="J16" i="67"/>
  <c r="J25" i="67" s="1"/>
  <c r="J63" i="40"/>
  <c r="I65" i="40"/>
  <c r="C23" i="69"/>
  <c r="C22" i="12"/>
  <c r="C30" i="12" s="1"/>
  <c r="C28" i="12" s="1"/>
  <c r="I6" i="6"/>
  <c r="I5" i="6"/>
  <c r="C19" i="68"/>
  <c r="D37" i="68"/>
  <c r="C37" i="68" s="1"/>
  <c r="C33" i="68" s="1"/>
  <c r="C19" i="69"/>
  <c r="C24" i="69" s="1"/>
  <c r="D37" i="69"/>
  <c r="C37" i="69" s="1"/>
  <c r="C33" i="69" s="1"/>
  <c r="J58" i="21"/>
  <c r="J68" i="39"/>
  <c r="I70" i="39"/>
  <c r="B2" i="43"/>
  <c r="C6" i="68" s="1"/>
  <c r="C40" i="67"/>
  <c r="Q69" i="67"/>
  <c r="Q68" i="67" s="1"/>
  <c r="C58" i="67"/>
  <c r="C67" i="67" s="1"/>
  <c r="C68" i="67" s="1"/>
  <c r="C80" i="67"/>
  <c r="C79" i="67" s="1"/>
  <c r="M21" i="78"/>
  <c r="E6" i="76"/>
  <c r="L51" i="67"/>
  <c r="B6" i="76"/>
  <c r="F35" i="78"/>
  <c r="C20" i="82" l="1"/>
  <c r="C26" i="82" s="1"/>
  <c r="E2" i="76"/>
  <c r="C23" i="15"/>
  <c r="C29" i="15" s="1"/>
  <c r="C36" i="15" s="1"/>
  <c r="C36" i="78"/>
  <c r="C13" i="78"/>
  <c r="J19" i="78"/>
  <c r="Q49" i="78"/>
  <c r="J14" i="78"/>
  <c r="J59" i="78"/>
  <c r="J60" i="78" s="1"/>
  <c r="Q48" i="78" s="1"/>
  <c r="C57" i="78"/>
  <c r="C7" i="68"/>
  <c r="C5" i="68" s="1"/>
  <c r="C23" i="68" s="1"/>
  <c r="J20" i="78"/>
  <c r="C34" i="78"/>
  <c r="C31" i="78" s="1"/>
  <c r="F63" i="78"/>
  <c r="C62" i="78" s="1"/>
  <c r="R16" i="1"/>
  <c r="C56" i="11"/>
  <c r="C57" i="11" s="1"/>
  <c r="J65" i="40"/>
  <c r="K63" i="40"/>
  <c r="B2" i="76"/>
  <c r="C27" i="12"/>
  <c r="C25" i="12" s="1"/>
  <c r="C32" i="12" s="1"/>
  <c r="B2" i="12" s="1"/>
  <c r="B3" i="12" s="1"/>
  <c r="C20" i="69"/>
  <c r="C25" i="69" s="1"/>
  <c r="C22" i="69" s="1"/>
  <c r="C39" i="69"/>
  <c r="C42" i="69"/>
  <c r="C39" i="68"/>
  <c r="C43" i="68" s="1"/>
  <c r="C42" i="68"/>
  <c r="B3" i="43"/>
  <c r="J70" i="39"/>
  <c r="K68" i="39"/>
  <c r="K58" i="21"/>
  <c r="C24" i="68"/>
  <c r="Q67" i="67"/>
  <c r="L57" i="67"/>
  <c r="L60" i="67" s="1"/>
  <c r="L57" i="15"/>
  <c r="L60" i="15" s="1"/>
  <c r="C71" i="67"/>
  <c r="C45" i="67"/>
  <c r="C46" i="67" s="1"/>
  <c r="Q56" i="67"/>
  <c r="Q47" i="67"/>
  <c r="Q53" i="67" s="1"/>
  <c r="Q65" i="67"/>
  <c r="C43" i="67"/>
  <c r="D2" i="67"/>
  <c r="C83" i="67"/>
  <c r="C82" i="67" s="1"/>
  <c r="C23" i="82" l="1"/>
  <c r="C29" i="82" s="1"/>
  <c r="J17" i="78"/>
  <c r="B3" i="76"/>
  <c r="Q49" i="15"/>
  <c r="J19" i="15"/>
  <c r="J17" i="15" s="1"/>
  <c r="C13" i="15"/>
  <c r="C75" i="15" s="1"/>
  <c r="J14" i="15"/>
  <c r="J13" i="15" s="1"/>
  <c r="J23" i="15" s="1"/>
  <c r="C57" i="15"/>
  <c r="C61" i="15" s="1"/>
  <c r="C59" i="15" s="1"/>
  <c r="J59" i="15"/>
  <c r="J60" i="15" s="1"/>
  <c r="Q48" i="15" s="1"/>
  <c r="C56" i="15"/>
  <c r="C65" i="15" s="1"/>
  <c r="J22" i="15"/>
  <c r="C56" i="78"/>
  <c r="C65" i="78" s="1"/>
  <c r="C75" i="78"/>
  <c r="C37" i="78"/>
  <c r="C30" i="78" s="1"/>
  <c r="C39" i="78" s="1"/>
  <c r="Q70" i="78"/>
  <c r="C61" i="78"/>
  <c r="C59" i="78" s="1"/>
  <c r="C64" i="78"/>
  <c r="J13" i="78"/>
  <c r="J23" i="78" s="1"/>
  <c r="J22" i="78"/>
  <c r="C20" i="68"/>
  <c r="C28" i="68" s="1"/>
  <c r="C27" i="68" s="1"/>
  <c r="L57" i="78"/>
  <c r="L60" i="78" s="1"/>
  <c r="C41" i="68"/>
  <c r="C28" i="69"/>
  <c r="C27" i="69" s="1"/>
  <c r="C31" i="69" s="1"/>
  <c r="L63" i="40"/>
  <c r="K65" i="40"/>
  <c r="L58" i="21"/>
  <c r="C46" i="69"/>
  <c r="C45" i="69" s="1"/>
  <c r="C43" i="69"/>
  <c r="C41" i="69" s="1"/>
  <c r="L68" i="39"/>
  <c r="K70" i="39"/>
  <c r="C46" i="68"/>
  <c r="C45" i="68" s="1"/>
  <c r="Q57" i="15"/>
  <c r="Q66" i="15"/>
  <c r="Q66" i="67"/>
  <c r="Q75" i="67" s="1"/>
  <c r="Q57" i="67"/>
  <c r="Q62" i="67" s="1"/>
  <c r="B2" i="67"/>
  <c r="B3" i="67"/>
  <c r="L51" i="78"/>
  <c r="C57" i="82" l="1"/>
  <c r="J14" i="82"/>
  <c r="C36" i="82"/>
  <c r="C13" i="82"/>
  <c r="Q49" i="82"/>
  <c r="J59" i="82"/>
  <c r="J60" i="82" s="1"/>
  <c r="J19" i="82"/>
  <c r="J17" i="82" s="1"/>
  <c r="C64" i="15"/>
  <c r="C58" i="15" s="1"/>
  <c r="C67" i="15" s="1"/>
  <c r="C68" i="15" s="1"/>
  <c r="C71" i="15" s="1"/>
  <c r="Q70" i="15"/>
  <c r="C37" i="15"/>
  <c r="C30" i="15" s="1"/>
  <c r="C39" i="15" s="1"/>
  <c r="C40" i="15" s="1"/>
  <c r="C58" i="78"/>
  <c r="C67" i="78" s="1"/>
  <c r="C68" i="78" s="1"/>
  <c r="C71" i="78" s="1"/>
  <c r="L46" i="15"/>
  <c r="J16" i="15"/>
  <c r="J25" i="15" s="1"/>
  <c r="J16" i="78"/>
  <c r="J25" i="78" s="1"/>
  <c r="Q67" i="78"/>
  <c r="C80" i="78"/>
  <c r="C79" i="78" s="1"/>
  <c r="Q69" i="78"/>
  <c r="Q68" i="78" s="1"/>
  <c r="C40" i="78"/>
  <c r="C83" i="78" s="1"/>
  <c r="C82" i="78" s="1"/>
  <c r="C25" i="68"/>
  <c r="C22" i="68" s="1"/>
  <c r="C31" i="68" s="1"/>
  <c r="C49" i="68"/>
  <c r="C51" i="68" s="1"/>
  <c r="L46" i="78"/>
  <c r="Q66" i="78"/>
  <c r="Q57" i="78"/>
  <c r="C49" i="69"/>
  <c r="C51" i="69" s="1"/>
  <c r="C52" i="69" s="1"/>
  <c r="B2" i="69" s="1"/>
  <c r="B3" i="69" s="1"/>
  <c r="L65" i="40"/>
  <c r="M63" i="40"/>
  <c r="L70" i="39"/>
  <c r="M68" i="39"/>
  <c r="M58" i="21"/>
  <c r="N58" i="21" s="1"/>
  <c r="O58" i="21" s="1"/>
  <c r="F7" i="21" s="1"/>
  <c r="C61" i="82" l="1"/>
  <c r="C59" i="82" s="1"/>
  <c r="C64" i="82"/>
  <c r="L46" i="82"/>
  <c r="Q48" i="82"/>
  <c r="Q70" i="82"/>
  <c r="C75" i="82"/>
  <c r="C56" i="82"/>
  <c r="C65" i="82" s="1"/>
  <c r="C37" i="82"/>
  <c r="C30" i="82" s="1"/>
  <c r="C39" i="82" s="1"/>
  <c r="J22" i="82"/>
  <c r="J13" i="82"/>
  <c r="J23" i="82" s="1"/>
  <c r="J7" i="21"/>
  <c r="W7" i="21" s="1"/>
  <c r="H7" i="21"/>
  <c r="B2" i="78"/>
  <c r="C80" i="15"/>
  <c r="C79" i="15" s="1"/>
  <c r="Q69" i="15"/>
  <c r="Q68" i="15" s="1"/>
  <c r="C46" i="78"/>
  <c r="Q56" i="78"/>
  <c r="Q62" i="78" s="1"/>
  <c r="Q65" i="78"/>
  <c r="Q75" i="78" s="1"/>
  <c r="Q47" i="78"/>
  <c r="Q53" i="78" s="1"/>
  <c r="C43" i="78"/>
  <c r="Q65" i="15"/>
  <c r="Q75" i="15" s="1"/>
  <c r="Q47" i="15"/>
  <c r="Q53" i="15" s="1"/>
  <c r="C43" i="15"/>
  <c r="B2" i="15"/>
  <c r="C46" i="15"/>
  <c r="C83" i="15"/>
  <c r="C82" i="15" s="1"/>
  <c r="Q56" i="15"/>
  <c r="Q62" i="15" s="1"/>
  <c r="C52" i="68"/>
  <c r="B2" i="68" s="1"/>
  <c r="M65" i="40"/>
  <c r="N63" i="40"/>
  <c r="AC7" i="21"/>
  <c r="V48" i="21" s="1"/>
  <c r="I48" i="21" s="1"/>
  <c r="AA7" i="21"/>
  <c r="R48" i="21" s="1"/>
  <c r="S7" i="21"/>
  <c r="C57" i="69"/>
  <c r="C56" i="69" s="1"/>
  <c r="AB7" i="21"/>
  <c r="T48" i="21" s="1"/>
  <c r="G48" i="21" s="1"/>
  <c r="U7" i="21"/>
  <c r="N68" i="39"/>
  <c r="M70" i="39"/>
  <c r="L51" i="15"/>
  <c r="AO6" i="1"/>
  <c r="D19" i="9"/>
  <c r="B3" i="68"/>
  <c r="AO7" i="1"/>
  <c r="L51" i="82"/>
  <c r="D19" i="80"/>
  <c r="J16" i="82" l="1"/>
  <c r="J25" i="82" s="1"/>
  <c r="Q67" i="82"/>
  <c r="Q69" i="82"/>
  <c r="Q68" i="82" s="1"/>
  <c r="C40" i="82"/>
  <c r="C58" i="82"/>
  <c r="C67" i="82" s="1"/>
  <c r="C68" i="82" s="1"/>
  <c r="C80" i="82"/>
  <c r="C79" i="82" s="1"/>
  <c r="B3" i="78"/>
  <c r="Q67" i="15"/>
  <c r="D21" i="80"/>
  <c r="D102" i="80"/>
  <c r="B6" i="70"/>
  <c r="B7" i="70"/>
  <c r="D22" i="9"/>
  <c r="D21" i="9"/>
  <c r="D102" i="9"/>
  <c r="G19" i="9"/>
  <c r="B3" i="15"/>
  <c r="C57" i="68"/>
  <c r="C56" i="68" s="1"/>
  <c r="N65" i="40"/>
  <c r="H7" i="40" s="1"/>
  <c r="O63" i="40"/>
  <c r="O65" i="40" s="1"/>
  <c r="N70" i="39"/>
  <c r="O68" i="39"/>
  <c r="O70" i="39" s="1"/>
  <c r="G52" i="21"/>
  <c r="H52" i="21" s="1"/>
  <c r="G53" i="21"/>
  <c r="H53" i="21" s="1"/>
  <c r="R49" i="21"/>
  <c r="E48" i="21"/>
  <c r="I52" i="21"/>
  <c r="J52" i="21" s="1"/>
  <c r="I53" i="21"/>
  <c r="J53" i="21" s="1"/>
  <c r="D20" i="80"/>
  <c r="D20" i="9"/>
  <c r="Q47" i="82" l="1"/>
  <c r="Q53" i="82" s="1"/>
  <c r="C83" i="82"/>
  <c r="C82" i="82" s="1"/>
  <c r="Q56" i="82"/>
  <c r="Q62" i="82" s="1"/>
  <c r="C43" i="82"/>
  <c r="Q65" i="82"/>
  <c r="Q75" i="82" s="1"/>
  <c r="B2" i="82"/>
  <c r="C71" i="82"/>
  <c r="C46" i="82"/>
  <c r="D103" i="80"/>
  <c r="D103" i="9"/>
  <c r="G20" i="9"/>
  <c r="C13" i="77" s="1"/>
  <c r="G21" i="9"/>
  <c r="C32" i="9"/>
  <c r="S24" i="31"/>
  <c r="R26" i="31"/>
  <c r="S26" i="31" s="1"/>
  <c r="R25" i="31"/>
  <c r="S25" i="31" s="1"/>
  <c r="J7" i="40"/>
  <c r="F7" i="40"/>
  <c r="AB7" i="40"/>
  <c r="T42" i="40" s="1"/>
  <c r="G42" i="40" s="1"/>
  <c r="U7" i="40"/>
  <c r="E52" i="21"/>
  <c r="F52" i="21" s="1"/>
  <c r="E53" i="21"/>
  <c r="F53" i="21" s="1"/>
  <c r="F7" i="39"/>
  <c r="J7" i="39"/>
  <c r="H7" i="39"/>
  <c r="C48" i="21"/>
  <c r="C49" i="21"/>
  <c r="B2" i="21" s="1"/>
  <c r="B3" i="21" s="1"/>
  <c r="D19" i="84"/>
  <c r="AO8" i="1"/>
  <c r="B8" i="70" l="1"/>
  <c r="B2" i="70" s="1"/>
  <c r="B3" i="70" s="1"/>
  <c r="D21" i="84"/>
  <c r="D22" i="84"/>
  <c r="D102" i="84"/>
  <c r="G19" i="84"/>
  <c r="B3" i="82"/>
  <c r="C14" i="77"/>
  <c r="C15" i="77"/>
  <c r="K23" i="9"/>
  <c r="K24" i="9" s="1"/>
  <c r="C35" i="9"/>
  <c r="F118" i="9" s="1"/>
  <c r="H118" i="9"/>
  <c r="S22" i="31"/>
  <c r="G46" i="40"/>
  <c r="H46" i="40" s="1"/>
  <c r="AC7" i="40"/>
  <c r="V42" i="40" s="1"/>
  <c r="I42" i="40" s="1"/>
  <c r="W7" i="40"/>
  <c r="AA7" i="40"/>
  <c r="R42" i="40" s="1"/>
  <c r="S7" i="40"/>
  <c r="AC7" i="39"/>
  <c r="V47" i="39" s="1"/>
  <c r="I47" i="39" s="1"/>
  <c r="W7" i="39"/>
  <c r="AB7" i="39"/>
  <c r="T47" i="39" s="1"/>
  <c r="G47" i="39" s="1"/>
  <c r="U7" i="39"/>
  <c r="S7" i="39"/>
  <c r="AA7" i="39"/>
  <c r="R47" i="39" s="1"/>
  <c r="D20" i="84"/>
  <c r="G20" i="84" l="1"/>
  <c r="D103" i="84"/>
  <c r="D16" i="74"/>
  <c r="C32" i="84"/>
  <c r="G21" i="84"/>
  <c r="C34" i="9"/>
  <c r="D118" i="9" s="1"/>
  <c r="D14" i="74"/>
  <c r="H4" i="52"/>
  <c r="C104" i="9"/>
  <c r="H101" i="9"/>
  <c r="H119" i="9"/>
  <c r="H5" i="52" s="1"/>
  <c r="I118" i="9"/>
  <c r="F4" i="52"/>
  <c r="B51" i="72" s="1"/>
  <c r="G118" i="9"/>
  <c r="G4" i="52" s="1"/>
  <c r="B52" i="72" s="1"/>
  <c r="F119" i="9"/>
  <c r="F5" i="52" s="1"/>
  <c r="B53" i="72" s="1"/>
  <c r="R22" i="31"/>
  <c r="B21" i="31" s="1"/>
  <c r="B20" i="31"/>
  <c r="E42" i="40"/>
  <c r="I47" i="40" s="1"/>
  <c r="J47" i="40" s="1"/>
  <c r="R43" i="40"/>
  <c r="I46" i="40"/>
  <c r="J46" i="40" s="1"/>
  <c r="G47" i="40"/>
  <c r="H47" i="40" s="1"/>
  <c r="R48" i="39"/>
  <c r="E47" i="39"/>
  <c r="G52" i="39"/>
  <c r="H52" i="39" s="1"/>
  <c r="G51" i="39"/>
  <c r="H51" i="39" s="1"/>
  <c r="I51" i="39"/>
  <c r="J51" i="39" s="1"/>
  <c r="I52" i="39"/>
  <c r="J52" i="39" s="1"/>
  <c r="C19" i="80"/>
  <c r="C20" i="80"/>
  <c r="C35" i="84" l="1"/>
  <c r="H118" i="84"/>
  <c r="G16" i="74"/>
  <c r="E16" i="74"/>
  <c r="F16" i="74"/>
  <c r="C103" i="80"/>
  <c r="G20" i="80"/>
  <c r="C102" i="80"/>
  <c r="C21" i="80"/>
  <c r="G19" i="80"/>
  <c r="D15" i="74" s="1"/>
  <c r="G15" i="74" s="1"/>
  <c r="D22" i="80"/>
  <c r="E14" i="74"/>
  <c r="F14" i="74"/>
  <c r="C105" i="9"/>
  <c r="E118" i="9"/>
  <c r="E4" i="52" s="1"/>
  <c r="B48" i="72" s="1"/>
  <c r="I4" i="52"/>
  <c r="H102" i="9"/>
  <c r="D7" i="53" s="1"/>
  <c r="B21" i="72" s="1"/>
  <c r="D45" i="9"/>
  <c r="H107" i="9"/>
  <c r="M48" i="9"/>
  <c r="D5" i="53"/>
  <c r="D119" i="9"/>
  <c r="D5" i="52" s="1"/>
  <c r="B49" i="72" s="1"/>
  <c r="D4" i="52"/>
  <c r="B47" i="72" s="1"/>
  <c r="C42" i="40"/>
  <c r="C43" i="40"/>
  <c r="E47" i="40"/>
  <c r="F47" i="40" s="1"/>
  <c r="E46" i="40"/>
  <c r="F46" i="40" s="1"/>
  <c r="C48" i="39"/>
  <c r="C47" i="39"/>
  <c r="E51" i="39"/>
  <c r="F51" i="39" s="1"/>
  <c r="E52" i="39"/>
  <c r="F52" i="39" s="1"/>
  <c r="F118" i="84" l="1"/>
  <c r="C34" i="84"/>
  <c r="D118" i="84" s="1"/>
  <c r="D119" i="84" s="1"/>
  <c r="I118" i="84"/>
  <c r="H119" i="84"/>
  <c r="C104" i="84"/>
  <c r="H101" i="84"/>
  <c r="F15" i="74"/>
  <c r="C32" i="80"/>
  <c r="G21" i="80"/>
  <c r="B5" i="74"/>
  <c r="C5" i="74" s="1"/>
  <c r="E15" i="74"/>
  <c r="B20" i="72"/>
  <c r="D6" i="53"/>
  <c r="B22" i="72" s="1"/>
  <c r="D13" i="53"/>
  <c r="D122" i="9"/>
  <c r="H108" i="9"/>
  <c r="D15" i="53" s="1"/>
  <c r="B31" i="72" s="1"/>
  <c r="C72" i="9"/>
  <c r="D53" i="9"/>
  <c r="C64" i="9"/>
  <c r="C63" i="9" s="1"/>
  <c r="C67" i="9" s="1"/>
  <c r="C68" i="9" s="1"/>
  <c r="D54" i="9" s="1"/>
  <c r="C85" i="9"/>
  <c r="D55" i="9"/>
  <c r="M53" i="9" s="1"/>
  <c r="C78" i="9"/>
  <c r="C73" i="9" s="1"/>
  <c r="D52" i="9"/>
  <c r="C93" i="9"/>
  <c r="C86" i="9" s="1"/>
  <c r="B53" i="40"/>
  <c r="F53" i="40" s="1"/>
  <c r="F61" i="40"/>
  <c r="B2" i="40" s="1"/>
  <c r="B3" i="40" s="1"/>
  <c r="B59" i="40"/>
  <c r="F59" i="40" s="1"/>
  <c r="B54" i="40"/>
  <c r="F54" i="40" s="1"/>
  <c r="B52" i="40"/>
  <c r="F52" i="40" s="1"/>
  <c r="B55" i="40"/>
  <c r="F55" i="40" s="1"/>
  <c r="B60" i="40"/>
  <c r="F60" i="40" s="1"/>
  <c r="B57" i="40"/>
  <c r="F57" i="40" s="1"/>
  <c r="B56" i="40"/>
  <c r="F56" i="40" s="1"/>
  <c r="B58" i="40"/>
  <c r="F58" i="40" s="1"/>
  <c r="B51" i="40"/>
  <c r="F51" i="40"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H107" i="84" l="1"/>
  <c r="M48" i="84"/>
  <c r="D45" i="84"/>
  <c r="C105" i="84"/>
  <c r="H102" i="84"/>
  <c r="F119" i="84"/>
  <c r="G118" i="84"/>
  <c r="E118" i="84" s="1"/>
  <c r="D5" i="74"/>
  <c r="C35" i="80"/>
  <c r="F118" i="80" s="1"/>
  <c r="H118" i="80"/>
  <c r="C79" i="9"/>
  <c r="D123" i="9"/>
  <c r="D9" i="52" s="1"/>
  <c r="D8" i="52"/>
  <c r="G14" i="74"/>
  <c r="B6" i="74" s="1"/>
  <c r="C95" i="9"/>
  <c r="C96" i="9" s="1"/>
  <c r="E96" i="9" s="1"/>
  <c r="E97" i="9" s="1"/>
  <c r="D14" i="53"/>
  <c r="B32" i="72" s="1"/>
  <c r="B30" i="72"/>
  <c r="C78" i="84" l="1"/>
  <c r="C73" i="84" s="1"/>
  <c r="C93" i="84"/>
  <c r="C86" i="84" s="1"/>
  <c r="C72" i="84"/>
  <c r="C79" i="84" s="1"/>
  <c r="C80" i="84" s="1"/>
  <c r="E80" i="84" s="1"/>
  <c r="E81" i="84" s="1"/>
  <c r="D55" i="84"/>
  <c r="M53" i="84" s="1"/>
  <c r="D52" i="84"/>
  <c r="C85" i="84"/>
  <c r="C95" i="84" s="1"/>
  <c r="C64" i="84"/>
  <c r="C63" i="84" s="1"/>
  <c r="C67" i="84" s="1"/>
  <c r="C68" i="84" s="1"/>
  <c r="D54" i="84" s="1"/>
  <c r="D53" i="84"/>
  <c r="D122" i="84"/>
  <c r="D123" i="84" s="1"/>
  <c r="H108" i="84"/>
  <c r="C81" i="84"/>
  <c r="C96" i="84"/>
  <c r="E96" i="84" s="1"/>
  <c r="E97" i="84" s="1"/>
  <c r="C34" i="80"/>
  <c r="D118" i="80" s="1"/>
  <c r="D119" i="80" s="1"/>
  <c r="C97" i="9"/>
  <c r="D58" i="9" s="1"/>
  <c r="D56" i="9" s="1"/>
  <c r="M54" i="9" s="1"/>
  <c r="N57" i="9" s="1"/>
  <c r="N59" i="9" s="1"/>
  <c r="N61" i="9" s="1"/>
  <c r="I118" i="80"/>
  <c r="H119" i="80"/>
  <c r="C104" i="80"/>
  <c r="H101" i="80"/>
  <c r="F119" i="80"/>
  <c r="G118" i="80"/>
  <c r="D6" i="74"/>
  <c r="C6" i="74"/>
  <c r="C80" i="9"/>
  <c r="E80" i="9" s="1"/>
  <c r="E81" i="9" s="1"/>
  <c r="C97" i="84" l="1"/>
  <c r="D58" i="84" s="1"/>
  <c r="D56" i="84" s="1"/>
  <c r="M54" i="84" s="1"/>
  <c r="N57" i="84" s="1"/>
  <c r="N58" i="84" s="1"/>
  <c r="N58" i="9"/>
  <c r="N60" i="9"/>
  <c r="P57" i="9"/>
  <c r="E118" i="80"/>
  <c r="H102" i="80"/>
  <c r="C105" i="80"/>
  <c r="D45" i="80"/>
  <c r="H107" i="80"/>
  <c r="M48" i="80"/>
  <c r="C81" i="9"/>
  <c r="P57" i="84" l="1"/>
  <c r="N59" i="84"/>
  <c r="N61" i="84" s="1"/>
  <c r="D122" i="80"/>
  <c r="D123" i="80" s="1"/>
  <c r="H108" i="80"/>
  <c r="D52" i="80"/>
  <c r="C85" i="80"/>
  <c r="C64" i="80"/>
  <c r="C63" i="80" s="1"/>
  <c r="C67" i="80" s="1"/>
  <c r="C68" i="80" s="1"/>
  <c r="D54" i="80" s="1"/>
  <c r="D53" i="80"/>
  <c r="C78" i="80"/>
  <c r="C73" i="80" s="1"/>
  <c r="C93" i="80"/>
  <c r="C86" i="80" s="1"/>
  <c r="C72" i="80"/>
  <c r="D55" i="80"/>
  <c r="M53" i="80" s="1"/>
  <c r="N60" i="84" l="1"/>
  <c r="C79" i="80"/>
  <c r="C80" i="80" s="1"/>
  <c r="E80" i="80" s="1"/>
  <c r="E81" i="80" s="1"/>
  <c r="C95" i="80"/>
  <c r="C81" i="80" l="1"/>
  <c r="C96" i="80"/>
  <c r="E96" i="80" s="1"/>
  <c r="E97" i="80" s="1"/>
  <c r="C97" i="80" l="1"/>
  <c r="D58" i="80" s="1"/>
  <c r="D56" i="80" s="1"/>
  <c r="M54" i="80" s="1"/>
  <c r="N57" i="80" s="1"/>
  <c r="N58" i="80" s="1"/>
  <c r="P57" i="80" l="1"/>
  <c r="N59" i="80"/>
  <c r="N61" i="80" s="1"/>
  <c r="N60" i="8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<sst xmlns="http://schemas.openxmlformats.org/spreadsheetml/2006/main" count="9459" uniqueCount="3321">
  <si>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</si>
  <si>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</si>
  <si>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</si>
  <si>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</si>
  <si>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</si>
  <si>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</si>
  <si>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</si>
  <si>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</si>
  <si>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</si>
  <si>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</si>
  <si>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</si>
  <si>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</si>
  <si>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</si>
  <si>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</si>
  <si>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</si>
  <si>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</si>
  <si>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</si>
  <si>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</si>
  <si>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</si>
  <si>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</si>
  <si>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</si>
  <si>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</si>
  <si>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</si>
  <si>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</si>
  <si>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</si>
  <si>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</si>
  <si>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</si>
  <si>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</si>
  <si>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</si>
  <si>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</si>
  <si>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</si>
  <si>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</si>
  <si>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</si>
  <si>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</si>
  <si>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</si>
  <si>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</si>
  <si>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</si>
  <si>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</si>
  <si>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</si>
  <si>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</si>
  <si>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</si>
  <si>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</si>
  <si>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</si>
  <si>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</si>
  <si>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</si>
  <si>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</si>
  <si>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</si>
  <si>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</si>
  <si>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</si>
  <si>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</si>
  <si>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</si>
  <si>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</si>
  <si>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</si>
  <si>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</si>
  <si>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</si>
  <si>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</si>
  <si>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</si>
  <si>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</si>
  <si>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</si>
  <si>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</si>
  <si>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</si>
  <si>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</si>
  <si>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</si>
  <si>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</si>
  <si>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</si>
  <si>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</si>
  <si>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</si>
  <si>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</si>
  <si>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</si>
  <si>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</si>
  <si>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</si>
  <si>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</si>
  <si>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</si>
  <si>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</si>
  <si>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</si>
  <si>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</si>
  <si>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</si>
  <si>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</si>
  <si>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</si>
  <si>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</si>
  <si>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</si>
  <si>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</si>
  <si>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</si>
  <si>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</si>
  <si>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</si>
  <si>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</si>
  <si>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</si>
  <si>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</si>
  <si>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</si>
  <si>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</si>
  <si>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</si>
  <si>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</si>
  <si>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</si>
  <si>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</si>
  <si>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</si>
  <si>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</si>
  <si>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</si>
  <si>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</si>
  <si>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</si>
  <si>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</si>
  <si>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</si>
  <si>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</si>
  <si>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</si>
  <si>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</si>
  <si>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</si>
  <si>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</si>
  <si>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</si>
  <si>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</si>
  <si>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</si>
  <si>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</si>
  <si>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</si>
  <si>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</si>
  <si>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</si>
  <si>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</si>
  <si>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</si>
  <si>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</si>
  <si>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</si>
  <si>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</si>
  <si>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</si>
  <si>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</si>
  <si>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</si>
  <si>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</si>
  <si>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</si>
  <si>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</si>
  <si>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</si>
  <si>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</si>
  <si>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</si>
  <si>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</si>
  <si>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</si>
  <si>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</si>
  <si>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</si>
  <si>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</si>
  <si>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</si>
  <si>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</si>
  <si>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</si>
  <si>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</si>
  <si>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</si>
  <si>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</si>
  <si>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</si>
  <si>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</si>
  <si>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</si>
  <si>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</si>
  <si>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</si>
  <si>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</si>
  <si>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</si>
  <si>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</si>
  <si>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</si>
  <si>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</si>
  <si>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</si>
  <si>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</si>
  <si>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</si>
  <si>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</si>
  <si>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</si>
  <si>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</si>
  <si>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</si>
  <si>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</si>
  <si>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</si>
  <si>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</si>
  <si>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</si>
  <si>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</si>
  <si>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</si>
  <si>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</si>
  <si>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</si>
  <si>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</si>
  <si>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</si>
  <si>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</si>
  <si>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</si>
  <si>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</si>
  <si>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</si>
  <si>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</si>
  <si>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</si>
  <si>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</si>
  <si>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</si>
  <si>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</si>
  <si>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</si>
  <si>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</si>
  <si>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</si>
  <si>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</si>
  <si>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</si>
  <si>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</si>
  <si>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</si>
  <si>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</si>
  <si>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</si>
  <si>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</si>
  <si>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</si>
  <si>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</si>
  <si>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</si>
  <si>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</si>
  <si>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</si>
  <si>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</si>
  <si>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</si>
  <si>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</si>
  <si>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</si>
  <si>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</si>
  <si>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</si>
  <si>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</si>
  <si>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</si>
  <si>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</si>
  <si>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</si>
  <si>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</si>
  <si>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</si>
  <si>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</si>
  <si>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</si>
  <si>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</si>
  <si>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</si>
  <si>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</si>
  <si>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</si>
  <si>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</si>
  <si>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</si>
  <si>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</si>
  <si>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</si>
  <si>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</si>
  <si>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</si>
  <si>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</si>
  <si>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</si>
  <si>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</si>
  <si>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</si>
  <si>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</si>
  <si>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</si>
  <si>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</si>
  <si>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</si>
  <si>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</si>
  <si>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</si>
  <si>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</si>
  <si>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</si>
  <si>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</si>
  <si>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</si>
  <si>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</si>
  <si>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</si>
  <si>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</si>
  <si>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</si>
  <si>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</si>
  <si>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</si>
  <si>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</si>
  <si>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</si>
  <si>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</si>
  <si>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</si>
  <si>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</si>
  <si>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</si>
  <si>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</si>
  <si>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</si>
  <si>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</si>
  <si>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</si>
  <si>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</si>
  <si>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</si>
  <si>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</si>
  <si>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</si>
  <si>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</si>
  <si>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</si>
  <si>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</si>
  <si>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</si>
  <si>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</si>
  <si>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</si>
  <si>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</si>
  <si>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</si>
  <si>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</si>
  <si>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</si>
  <si>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</si>
  <si>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</si>
  <si>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</si>
  <si>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</si>
  <si>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</si>
  <si>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</si>
  <si>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</si>
  <si>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</si>
  <si>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</si>
  <si>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</si>
  <si>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</si>
  <si>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</si>
  <si>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</si>
  <si>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</si>
  <si>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</si>
  <si>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</si>
  <si>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</si>
  <si>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</si>
  <si>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</si>
  <si>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</si>
  <si>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</si>
  <si>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</si>
  <si>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</si>
  <si>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</si>
  <si>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</si>
  <si>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</si>
  <si>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</si>
  <si>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</si>
  <si>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</si>
  <si>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</si>
  <si>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</si>
  <si>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</si>
  <si>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</si>
  <si>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</si>
  <si>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</si>
  <si>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</si>
  <si>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</si>
  <si>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</si>
  <si>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</si>
  <si>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</si>
  <si>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</si>
  <si>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</si>
  <si>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</si>
  <si>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</si>
  <si>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</si>
  <si>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</si>
  <si>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</si>
  <si>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</si>
  <si>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</si>
  <si>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</si>
  <si>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</si>
  <si>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</si>
  <si>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</si>
  <si>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</si>
  <si>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</si>
  <si>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</si>
  <si>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</si>
  <si>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</si>
  <si>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</si>
  <si>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</si>
  <si>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</si>
  <si>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</si>
  <si>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</si>
  <si>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</si>
  <si>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</si>
  <si>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</si>
  <si>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</si>
  <si>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</si>
  <si>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</si>
  <si>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</si>
  <si>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</si>
  <si>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</si>
  <si>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</si>
  <si>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</si>
  <si>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</si>
  <si>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</si>
  <si>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</si>
  <si>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</si>
  <si>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</si>
  <si>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</si>
  <si>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</si>
  <si>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</si>
  <si>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</si>
  <si>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</si>
  <si>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</si>
  <si>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</si>
  <si>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</si>
  <si>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</si>
  <si>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</si>
  <si>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</si>
  <si>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</si>
  <si>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</si>
  <si>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</si>
  <si>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</si>
  <si>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</si>
  <si>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</si>
  <si>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</si>
  <si>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</si>
  <si>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</si>
  <si>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</si>
  <si>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</si>
  <si>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</si>
  <si>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</si>
  <si>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</si>
  <si>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</si>
  <si>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</si>
  <si>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</si>
  <si>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</si>
  <si>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</si>
  <si>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</si>
  <si>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</si>
  <si>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</si>
  <si>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</si>
  <si>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</si>
  <si>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</si>
  <si>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</si>
  <si>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</si>
  <si>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</si>
  <si>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</si>
  <si>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</si>
  <si>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</si>
  <si>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</si>
  <si>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</si>
  <si>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</si>
  <si>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</si>
  <si>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</si>
  <si>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</si>
  <si>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</si>
  <si>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</si>
  <si>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</si>
  <si>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</si>
  <si>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</si>
  <si>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</si>
  <si>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</si>
  <si>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</si>
  <si>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</si>
  <si>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</si>
  <si>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</si>
  <si>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</si>
  <si>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</si>
  <si>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</si>
  <si>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</si>
  <si>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</si>
  <si>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</si>
  <si>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</si>
  <si>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</si>
  <si>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</si>
  <si>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</si>
  <si>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</si>
  <si>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</si>
  <si>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</si>
  <si>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</si>
  <si>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</si>
  <si>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</si>
  <si>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</si>
  <si>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</si>
  <si>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</si>
  <si>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</si>
  <si>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</si>
  <si>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</si>
  <si>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</si>
  <si>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</si>
  <si>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</si>
  <si>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</si>
  <si>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</si>
  <si>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</si>
  <si>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</si>
  <si>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</si>
  <si>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</si>
  <si>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</si>
  <si>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</si>
  <si>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</si>
  <si>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</si>
  <si>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</si>
  <si>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</si>
  <si>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</si>
  <si>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</si>
  <si>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</si>
  <si>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</si>
  <si>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</si>
  <si>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</si>
  <si>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</si>
  <si>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</si>
  <si>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</si>
  <si>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</si>
  <si>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</si>
  <si>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</si>
  <si>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</si>
  <si>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</si>
  <si>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</si>
  <si>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</si>
  <si>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</si>
  <si>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</si>
  <si>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</si>
  <si>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</si>
  <si>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</si>
  <si>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</si>
  <si>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</si>
  <si>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</si>
  <si>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</si>
  <si>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</si>
  <si>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</si>
  <si>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</si>
  <si>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</si>
  <si>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</si>
  <si>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</si>
  <si>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</si>
  <si>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</si>
  <si>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</si>
  <si>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</si>
  <si>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</si>
  <si>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</si>
  <si>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</si>
  <si>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</si>
  <si>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</si>
  <si>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</si>
  <si>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</si>
  <si>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</si>
  <si>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</si>
  <si>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</si>
  <si>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</si>
  <si>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</si>
  <si>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</si>
  <si>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</si>
  <si>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</si>
  <si>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</si>
  <si>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</si>
  <si>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</si>
  <si>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</si>
  <si>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</si>
  <si>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</si>
  <si>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</si>
  <si>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</si>
  <si>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</si>
  <si>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</si>
  <si>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</si>
  <si>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</si>
  <si>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</si>
  <si>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</si>
  <si>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</si>
  <si>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</si>
  <si>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</si>
  <si>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</si>
  <si>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</si>
  <si>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</si>
  <si>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</si>
  <si>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</si>
  <si>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</si>
  <si>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</si>
  <si>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</si>
  <si>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</si>
  <si>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</si>
  <si>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</si>
  <si>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</si>
  <si>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</si>
  <si>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</si>
  <si>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</si>
  <si>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</si>
  <si>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</si>
  <si>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</si>
  <si>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</si>
  <si>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</si>
  <si>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</si>
  <si>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</si>
  <si>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</si>
  <si>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</si>
  <si>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</si>
  <si>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</si>
  <si>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</si>
  <si>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</si>
  <si>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</si>
  <si>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</si>
  <si>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</si>
  <si>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</si>
  <si>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</si>
  <si>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</si>
  <si>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</si>
  <si>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</si>
  <si>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</si>
  <si>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</si>
  <si>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</si>
  <si>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</si>
  <si>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</si>
  <si>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</si>
  <si>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</si>
  <si>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</si>
  <si>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</si>
  <si>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</si>
  <si>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</si>
  <si>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</si>
  <si>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</si>
  <si>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</si>
  <si>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</si>
  <si>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</si>
  <si>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</si>
  <si>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</si>
  <si>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</si>
  <si>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</si>
  <si>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</si>
  <si>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</si>
  <si>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</si>
  <si>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</si>
  <si>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</si>
  <si>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</si>
  <si>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</si>
  <si>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</si>
  <si>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</si>
  <si>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</si>
  <si>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</si>
  <si>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</si>
  <si>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</si>
  <si>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</si>
  <si>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</si>
  <si>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</si>
  <si>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</si>
  <si>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</si>
  <si>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</si>
  <si>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</si>
  <si>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</si>
  <si>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</si>
  <si>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</si>
  <si>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</si>
  <si>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</si>
  <si>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</si>
  <si>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</si>
  <si>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</si>
  <si>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</si>
  <si>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</si>
  <si>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</si>
  <si>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</si>
  <si>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</si>
  <si>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</si>
  <si>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</si>
  <si>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</si>
  <si>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</si>
  <si>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</si>
  <si>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</si>
  <si>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</si>
  <si>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</si>
  <si>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</si>
  <si>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</si>
  <si>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</si>
  <si>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</si>
  <si>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</si>
  <si>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</si>
  <si>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</si>
  <si>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</si>
  <si>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</si>
  <si>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</si>
  <si>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</si>
  <si>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</si>
  <si>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</si>
  <si>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</si>
  <si>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</si>
  <si>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</si>
  <si>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</si>
  <si>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</si>
  <si>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</si>
  <si>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</si>
  <si>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</si>
  <si>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</si>
  <si>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</si>
  <si>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</si>
  <si>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</si>
  <si>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</si>
  <si>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</si>
  <si>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</si>
  <si>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</si>
  <si>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</si>
  <si>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</si>
  <si>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</si>
  <si>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</si>
  <si>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</si>
  <si>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</si>
  <si>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</si>
  <si>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</si>
  <si>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</si>
  <si>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</si>
  <si>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</si>
  <si>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</si>
  <si>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</si>
  <si>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</si>
  <si>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</si>
  <si>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</si>
  <si>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</si>
  <si>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</si>
  <si>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</si>
  <si>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</si>
  <si>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</si>
  <si>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</si>
  <si>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</si>
  <si>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</si>
  <si>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</si>
  <si>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</si>
  <si>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</si>
  <si>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</si>
  <si>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</si>
  <si>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</si>
  <si>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</si>
  <si>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</si>
  <si>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</si>
  <si>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</si>
  <si>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</si>
  <si>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</si>
  <si>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</si>
  <si>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</si>
  <si>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</si>
  <si>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</si>
  <si>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</si>
  <si>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</si>
  <si>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</si>
  <si>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</si>
  <si>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</si>
  <si>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</si>
  <si>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</si>
  <si>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</si>
  <si>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</si>
  <si>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</si>
  <si>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</si>
  <si>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</si>
  <si>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</si>
  <si>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</si>
  <si>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</si>
  <si>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</si>
  <si>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</si>
  <si>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</si>
  <si>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</si>
  <si>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</si>
  <si>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</si>
  <si>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</si>
  <si>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</si>
  <si>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</si>
  <si>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</si>
  <si>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</si>
  <si>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</si>
  <si>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</si>
  <si>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</si>
  <si>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</si>
  <si>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</si>
  <si>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</si>
  <si>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</si>
  <si>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</si>
  <si>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</si>
  <si>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</si>
  <si>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</si>
  <si>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</si>
  <si>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</si>
  <si>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</si>
  <si>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</si>
  <si>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</si>
  <si>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</si>
  <si>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</si>
  <si>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</si>
  <si>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</si>
  <si>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</si>
  <si>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</si>
  <si>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</si>
  <si>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</si>
  <si>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</si>
  <si>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</si>
  <si>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</si>
  <si>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</si>
  <si>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</si>
  <si>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</si>
  <si>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</si>
  <si>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</si>
  <si>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</si>
  <si>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</si>
  <si>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</si>
  <si>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</si>
  <si>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</si>
  <si>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</si>
  <si>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</si>
  <si>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</si>
  <si>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</si>
  <si>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</si>
  <si>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</si>
  <si>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</si>
  <si>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</si>
  <si>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</si>
  <si>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</si>
  <si>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</si>
  <si>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</si>
  <si>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</si>
  <si>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</si>
  <si>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</si>
  <si>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</si>
  <si>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</si>
  <si>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</si>
  <si>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</si>
  <si>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</si>
  <si>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</si>
  <si>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</si>
  <si>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</si>
  <si>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</si>
  <si>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</si>
  <si>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</si>
  <si>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</si>
  <si>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</si>
  <si>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</si>
  <si>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</si>
  <si>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</si>
  <si>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</si>
  <si>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</si>
  <si>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</si>
  <si>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</si>
  <si>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</si>
  <si>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</si>
  <si>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</si>
  <si>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</si>
  <si>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</si>
  <si>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</si>
  <si>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</si>
  <si>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</si>
  <si>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</si>
  <si>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</si>
  <si>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</si>
  <si>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</si>
  <si>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</si>
  <si>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</si>
  <si>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</si>
  <si>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</si>
  <si>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</si>
  <si>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</si>
  <si>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</si>
  <si>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</si>
  <si>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</si>
  <si>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</si>
  <si>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</si>
  <si>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</si>
  <si>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</si>
  <si>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</si>
  <si>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</si>
  <si>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</si>
  <si>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</si>
  <si>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</si>
  <si>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</si>
  <si>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</si>
  <si>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</si>
  <si>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</si>
  <si>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</si>
  <si>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</si>
  <si>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</si>
  <si>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</si>
  <si>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</si>
  <si>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</si>
  <si>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</si>
  <si>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</si>
  <si>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</si>
  <si>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</si>
  <si>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</si>
  <si>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</si>
  <si>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</si>
  <si>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</si>
  <si>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</si>
  <si>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</si>
  <si>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</si>
  <si>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</si>
  <si>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</si>
  <si>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</si>
  <si>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</si>
  <si>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</si>
  <si>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</si>
  <si>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</si>
  <si>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</si>
  <si>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</si>
  <si>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</si>
  <si>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</si>
  <si>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</si>
  <si>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</si>
  <si>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</si>
  <si>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</si>
  <si>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</si>
  <si>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</si>
  <si>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</si>
  <si>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</si>
  <si>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</si>
  <si>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</si>
  <si>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</si>
  <si>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</si>
  <si>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</si>
  <si>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</si>
  <si>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</si>
  <si>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</si>
  <si>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</si>
  <si>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</si>
  <si>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</si>
  <si>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</si>
  <si>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</si>
  <si>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</si>
  <si>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</si>
  <si>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</si>
  <si>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</si>
  <si>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</si>
  <si>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</si>
  <si>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</si>
  <si>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</si>
  <si>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</si>
  <si>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</si>
  <si>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</si>
  <si>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</si>
  <si>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</si>
  <si>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</si>
  <si>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</si>
  <si>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</si>
  <si>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</si>
  <si>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</si>
  <si>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</si>
  <si>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</si>
  <si>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</si>
  <si>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</si>
  <si>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</si>
  <si>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</si>
  <si>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</si>
  <si>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</si>
  <si>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</si>
  <si>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</si>
  <si>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</si>
  <si>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</si>
  <si>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</si>
  <si>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</si>
  <si>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</si>
  <si>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</si>
  <si>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</si>
  <si>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</si>
  <si>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</si>
  <si>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</si>
  <si>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</si>
  <si>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</si>
  <si>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</si>
  <si>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</si>
  <si>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</si>
  <si>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</si>
  <si>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</si>
  <si>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</si>
  <si>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</si>
  <si>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</si>
  <si>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</si>
  <si>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</si>
  <si>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</si>
  <si>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</si>
  <si>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</si>
  <si>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</si>
  <si>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</si>
  <si>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</si>
  <si>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</si>
  <si>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</si>
  <si>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</si>
  <si>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</si>
  <si>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</si>
  <si>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</si>
  <si>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</si>
  <si>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</si>
  <si>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</si>
  <si>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</si>
  <si>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</si>
  <si>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</si>
  <si>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</si>
  <si>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</si>
  <si>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</si>
  <si>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</si>
  <si>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</si>
  <si>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</si>
  <si>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</si>
  <si>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</si>
  <si>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</si>
  <si>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</si>
  <si>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</si>
  <si>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</si>
  <si>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</si>
  <si>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</si>
  <si>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</si>
  <si>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</si>
  <si>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</si>
  <si>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</si>
  <si>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</si>
  <si>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</si>
  <si>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</si>
  <si>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</si>
  <si>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</si>
  <si>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</si>
  <si>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</si>
  <si>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</si>
  <si>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</si>
  <si>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</si>
  <si>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</si>
  <si>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</si>
  <si>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</si>
  <si>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</si>
  <si>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</si>
  <si>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</si>
  <si>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</si>
  <si>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</si>
  <si>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</si>
  <si>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</si>
  <si>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</si>
  <si>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</si>
  <si>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</si>
  <si>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</si>
  <si>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</si>
  <si>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</si>
  <si>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</si>
  <si>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</si>
  <si>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</si>
  <si>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</si>
  <si>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</si>
  <si>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</si>
  <si>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</si>
  <si>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</si>
  <si>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</si>
  <si>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</si>
  <si>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</si>
  <si>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</si>
  <si>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</si>
  <si>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</si>
  <si>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</si>
  <si>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</si>
  <si>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</si>
  <si>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</si>
  <si>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</si>
  <si>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</si>
  <si>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</si>
  <si>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</si>
  <si>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</si>
  <si>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</si>
  <si>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</si>
  <si>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</si>
  <si>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</si>
  <si>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</si>
  <si>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</si>
  <si>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</si>
  <si>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</si>
  <si>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</si>
  <si>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</si>
  <si>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</si>
  <si>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</si>
  <si>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</si>
  <si>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</si>
  <si>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</si>
  <si>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</si>
  <si>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</si>
  <si>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</si>
  <si>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</si>
  <si>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</si>
  <si>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</si>
  <si>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</si>
  <si>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</si>
  <si>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</si>
  <si>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</si>
  <si>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</si>
  <si>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</si>
  <si>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</si>
  <si>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</si>
  <si>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</si>
  <si>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</si>
  <si>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</si>
  <si>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</si>
  <si>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</si>
  <si>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</si>
  <si>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</si>
  <si>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</si>
  <si>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</si>
  <si>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</si>
  <si>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</si>
  <si>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</si>
  <si>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</si>
  <si>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</si>
  <si>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</si>
  <si>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</si>
  <si>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</si>
  <si>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</si>
  <si>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</si>
  <si>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</si>
  <si>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</si>
  <si>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</si>
  <si>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</si>
  <si>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</si>
  <si>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</si>
  <si>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</si>
  <si>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</si>
  <si>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</si>
  <si>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</si>
  <si>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</si>
  <si>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</si>
  <si>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</si>
  <si>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</si>
  <si>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</si>
  <si>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</si>
  <si>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</si>
  <si>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</si>
  <si>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</si>
  <si>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</si>
  <si>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</si>
  <si>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</si>
  <si>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</si>
  <si>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</si>
  <si>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</si>
  <si>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</si>
  <si>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</si>
  <si>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</si>
  <si>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</si>
  <si>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</si>
  <si>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</si>
  <si>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</si>
  <si>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</si>
  <si>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</si>
  <si>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</si>
  <si>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</si>
  <si>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</si>
  <si>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</si>
  <si>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</si>
  <si>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</si>
  <si>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</si>
  <si>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</si>
  <si>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</si>
  <si>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</si>
  <si>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</si>
  <si>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</si>
  <si>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</si>
  <si>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</si>
  <si>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</si>
  <si>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</si>
  <si>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</si>
  <si>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</si>
  <si>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</si>
  <si>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</si>
  <si>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</si>
  <si>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</si>
  <si>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</si>
  <si>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</si>
  <si>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</si>
  <si>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</si>
  <si>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</si>
  <si>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</si>
  <si>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</si>
  <si>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</si>
  <si>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</si>
  <si>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</si>
  <si>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</si>
  <si>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</si>
  <si>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</si>
  <si>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</si>
  <si>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</si>
  <si>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</si>
  <si>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</si>
  <si>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</si>
  <si>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</si>
  <si>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</si>
  <si>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</si>
  <si>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</si>
  <si>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</si>
  <si>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</si>
  <si>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</si>
  <si>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</si>
  <si>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</si>
  <si>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</si>
  <si>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</si>
  <si>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</si>
  <si>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</si>
  <si>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</si>
  <si>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</si>
  <si>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</si>
  <si>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</si>
  <si>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</si>
  <si>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</si>
  <si>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</si>
  <si>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</si>
  <si>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</si>
  <si>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</si>
  <si>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</si>
  <si>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</si>
  <si>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</si>
  <si>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</si>
  <si>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</si>
  <si>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</si>
  <si>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</si>
  <si>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</si>
  <si>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</si>
  <si>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</si>
  <si>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</si>
  <si>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</si>
  <si>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</si>
  <si>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</si>
  <si>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</si>
  <si>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</si>
  <si>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</si>
  <si>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</si>
  <si>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</si>
  <si>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</si>
  <si>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</si>
  <si>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</si>
  <si>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</si>
  <si>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</si>
  <si>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</si>
  <si>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</si>
  <si>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</si>
  <si>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</si>
  <si>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</si>
  <si>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</si>
  <si>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</si>
  <si>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</si>
  <si>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</si>
  <si>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</si>
  <si>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</si>
  <si>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</si>
  <si>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</si>
  <si>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</si>
  <si>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</si>
  <si>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</si>
  <si>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</si>
  <si>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</si>
  <si>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</si>
  <si>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</si>
  <si>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</si>
  <si>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</si>
  <si>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</si>
  <si>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</si>
  <si>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</si>
  <si>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</si>
  <si>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</si>
  <si>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</si>
  <si>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</si>
  <si>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</si>
  <si>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</si>
  <si>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</si>
  <si>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</si>
  <si>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</si>
  <si>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</si>
  <si>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</si>
  <si>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</si>
  <si>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</si>
  <si>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</si>
  <si>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</si>
  <si>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</si>
  <si>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</si>
  <si>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</si>
  <si>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</si>
  <si>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</si>
  <si>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</si>
  <si>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</si>
  <si>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</si>
  <si>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</si>
  <si>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</si>
  <si>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</si>
  <si>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</si>
  <si>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</si>
  <si>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</si>
  <si>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</si>
  <si>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</si>
  <si>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</si>
  <si>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</si>
  <si>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</si>
  <si>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</si>
  <si>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</si>
  <si>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</si>
  <si>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</si>
  <si>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</si>
  <si>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</si>
  <si>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</si>
  <si>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</si>
  <si>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</si>
  <si>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</si>
  <si>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</si>
  <si>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</si>
  <si>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</si>
  <si>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</si>
  <si>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</si>
  <si>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</si>
  <si>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</si>
  <si>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</si>
  <si>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</si>
  <si>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</si>
  <si>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</si>
  <si>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</si>
  <si>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</si>
  <si>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</si>
  <si>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</si>
  <si>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</si>
  <si>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</si>
  <si>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</si>
  <si>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</si>
  <si>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</si>
  <si>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</si>
  <si>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</si>
  <si>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</si>
  <si>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</si>
  <si>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</si>
  <si>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</si>
  <si>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</si>
  <si>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</si>
  <si>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</si>
  <si>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</si>
  <si>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</si>
  <si>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</si>
  <si>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</si>
  <si>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</si>
  <si>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</si>
  <si>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</si>
  <si>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</si>
  <si>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</si>
  <si>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</si>
  <si>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</si>
  <si>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</si>
  <si>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</si>
  <si>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</si>
  <si>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</si>
  <si>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</si>
  <si>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</si>
  <si>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</si>
  <si>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</si>
  <si>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</si>
  <si>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</si>
  <si>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</si>
  <si>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</si>
  <si>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</si>
  <si>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</si>
  <si>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</si>
  <si>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</si>
  <si>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</si>
  <si>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</si>
  <si>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</si>
  <si>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</si>
  <si>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</si>
  <si>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</si>
  <si>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</si>
  <si>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</si>
  <si>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</si>
  <si>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</si>
  <si>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</si>
  <si>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</si>
  <si>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</si>
  <si>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</si>
  <si>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</si>
  <si>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</si>
  <si>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</si>
  <si>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</si>
  <si>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</si>
  <si>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</si>
  <si>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</si>
  <si>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</si>
  <si>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</si>
  <si>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</si>
  <si>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</si>
  <si>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</si>
  <si>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</si>
  <si>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</si>
  <si>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</si>
  <si>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</si>
  <si>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</si>
  <si>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</si>
  <si>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</si>
  <si>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</si>
  <si>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</si>
  <si>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</si>
  <si>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</si>
  <si>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</si>
  <si>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</si>
  <si>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</si>
  <si>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</si>
  <si>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</si>
  <si>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</si>
  <si>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</si>
  <si>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</si>
  <si>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</si>
  <si>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</si>
  <si>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</si>
  <si>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</si>
  <si>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</si>
  <si>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</si>
  <si>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</si>
  <si>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</si>
  <si>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</si>
  <si>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</si>
  <si>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</si>
  <si>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</si>
  <si>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</si>
  <si>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</si>
  <si>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</si>
  <si>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</si>
  <si>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</si>
  <si>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</si>
  <si>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</si>
  <si>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</si>
  <si>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</si>
  <si>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</si>
  <si>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</si>
  <si>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</si>
  <si>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</si>
  <si>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</si>
  <si>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</si>
  <si>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</si>
  <si>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</si>
  <si>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</si>
  <si>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</si>
  <si>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</si>
  <si>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</si>
  <si>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</si>
  <si>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</si>
  <si>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</si>
  <si>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</si>
  <si>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</si>
  <si>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</si>
  <si>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</si>
  <si>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</si>
  <si>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</si>
  <si>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</si>
  <si>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</si>
  <si>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</si>
  <si>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</si>
  <si>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</si>
  <si>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</si>
  <si>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</si>
  <si>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</si>
  <si>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</si>
  <si>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</si>
  <si>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</si>
  <si>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</si>
  <si>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</si>
  <si>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</si>
  <si>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</si>
  <si>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</si>
  <si>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</si>
  <si>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</si>
  <si>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</si>
  <si>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</si>
  <si>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</si>
  <si>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</si>
  <si>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</si>
  <si>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</si>
  <si>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</si>
  <si>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</si>
  <si>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</si>
  <si>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</si>
  <si>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</si>
  <si>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</si>
  <si>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</si>
  <si>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</si>
  <si>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</si>
  <si>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</si>
  <si>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</si>
  <si>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</si>
  <si>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</si>
  <si>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</si>
  <si>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</si>
  <si>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</si>
  <si>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</si>
  <si>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</si>
  <si>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</si>
  <si>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</si>
  <si>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</si>
  <si>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</si>
  <si>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</si>
  <si>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</si>
  <si>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</si>
  <si>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</si>
  <si>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</si>
  <si>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</si>
  <si>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</si>
  <si>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</si>
  <si>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</si>
  <si>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</si>
  <si>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</si>
  <si>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</si>
  <si>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</si>
  <si>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</si>
  <si>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</si>
  <si>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</si>
  <si>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</si>
  <si>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</si>
  <si>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</si>
  <si>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</si>
  <si>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</si>
  <si>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</si>
  <si>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</si>
  <si>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</si>
  <si>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</si>
  <si>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</si>
  <si>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</si>
  <si>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</si>
  <si>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</si>
  <si>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</si>
  <si>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</si>
  <si>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</si>
  <si>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</si>
  <si>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</si>
  <si>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</si>
  <si>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</si>
  <si>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</si>
  <si>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</si>
  <si>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</si>
  <si>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</si>
  <si>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</si>
  <si>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</si>
  <si>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</si>
  <si>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</si>
  <si>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</si>
  <si>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</si>
  <si>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</si>
  <si>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</si>
  <si>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</si>
  <si>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</si>
  <si>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</si>
  <si>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</si>
  <si>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</si>
  <si>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</si>
  <si>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</si>
  <si>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</si>
  <si>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</si>
  <si>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</si>
  <si>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</si>
  <si>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</si>
  <si>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</si>
  <si>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</si>
  <si>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</si>
  <si>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</si>
  <si>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</si>
  <si>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</si>
  <si>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</si>
  <si>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</si>
  <si>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</si>
  <si>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</si>
  <si>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</si>
  <si>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</si>
  <si>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</si>
  <si>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</si>
  <si>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</si>
  <si>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</si>
  <si>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</si>
  <si>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</si>
  <si>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</si>
  <si>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</si>
  <si>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</si>
  <si>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</si>
  <si>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</si>
  <si>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</si>
  <si>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</si>
  <si>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</si>
  <si>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</si>
  <si>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</si>
  <si>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</si>
  <si>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</si>
  <si>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</si>
  <si>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</si>
  <si>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</si>
  <si>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</si>
  <si>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</si>
  <si>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</si>
  <si>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</si>
  <si>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</si>
  <si>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</si>
  <si>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</si>
  <si>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</si>
  <si>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</si>
  <si>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</si>
  <si>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</si>
  <si>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</si>
  <si>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</si>
  <si>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</si>
  <si>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</si>
  <si>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</si>
  <si>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</si>
  <si>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</si>
  <si>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</si>
  <si>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</si>
  <si>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</si>
  <si>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</si>
  <si>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</si>
  <si>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</si>
  <si>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</si>
  <si>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</si>
  <si>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</si>
  <si>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</si>
  <si>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</si>
  <si>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</si>
  <si>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</si>
  <si>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</si>
  <si>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</si>
  <si>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</si>
  <si>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</si>
  <si>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</si>
  <si>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</si>
  <si>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</si>
  <si>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</si>
  <si>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</si>
  <si>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</si>
  <si>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</si>
  <si>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</si>
  <si>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</si>
  <si>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</si>
  <si>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</si>
  <si>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</si>
  <si>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</si>
  <si>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</si>
  <si>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</si>
  <si>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</si>
  <si>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</si>
  <si>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</si>
  <si>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</si>
  <si>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</si>
  <si>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</si>
  <si>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</si>
  <si>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</si>
  <si>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</si>
  <si>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</si>
  <si>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</si>
  <si>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</si>
  <si>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</si>
  <si>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</si>
  <si>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</si>
  <si>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</si>
  <si>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</si>
  <si>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</si>
  <si>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</si>
  <si>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</si>
  <si>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</si>
  <si>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</si>
  <si>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</si>
  <si>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</si>
  <si>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</si>
  <si>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</si>
  <si>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</si>
  <si>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</si>
  <si>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</si>
  <si>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</si>
  <si>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</si>
  <si>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</si>
  <si>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</si>
  <si>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</si>
  <si>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</si>
  <si>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</si>
  <si>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</si>
  <si>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</si>
  <si>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</si>
  <si>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</si>
  <si>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</si>
  <si>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</si>
  <si>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</si>
  <si>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</si>
  <si>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</si>
  <si>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</si>
  <si>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</si>
  <si>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</si>
  <si>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</si>
  <si>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</si>
  <si>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</si>
  <si>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</si>
  <si>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</si>
  <si>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</si>
  <si>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</si>
  <si>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</si>
  <si>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</si>
  <si>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</si>
  <si>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</si>
  <si>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</si>
  <si>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</si>
  <si>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</si>
  <si>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</si>
  <si>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</si>
  <si>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</si>
  <si>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</si>
  <si>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</si>
  <si>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</si>
  <si>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</si>
  <si>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</si>
  <si>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</si>
  <si>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</si>
  <si>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</si>
  <si>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</si>
  <si>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</si>
  <si>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</si>
  <si>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</si>
  <si>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</si>
  <si>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</si>
  <si>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</si>
  <si>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</si>
  <si>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</si>
  <si>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</si>
  <si>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</si>
  <si>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</si>
  <si>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</si>
  <si>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</si>
  <si>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</si>
  <si>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</si>
  <si>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</si>
  <si>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</si>
  <si>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</si>
  <si>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</si>
  <si>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</si>
  <si>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</si>
  <si>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</si>
  <si>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</si>
  <si>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</si>
  <si>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</si>
  <si>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</si>
  <si>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</si>
  <si>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</si>
  <si>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</si>
  <si>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</si>
  <si>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</si>
  <si>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</si>
  <si>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</si>
  <si>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</si>
  <si>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</si>
  <si>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</si>
  <si>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</si>
  <si>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</si>
  <si>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</si>
  <si>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</si>
  <si>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</si>
  <si>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</si>
  <si>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</si>
  <si>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</si>
  <si>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</si>
  <si>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</si>
  <si>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</si>
  <si>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</si>
  <si>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</si>
  <si>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</si>
  <si>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</si>
  <si>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</si>
  <si>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</si>
  <si>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</si>
  <si>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</si>
  <si>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</si>
  <si>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</si>
  <si>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</si>
  <si>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</si>
  <si>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</si>
  <si>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</si>
  <si>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</si>
  <si>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</si>
  <si>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</si>
  <si>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</si>
  <si>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</si>
  <si>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</si>
  <si>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</si>
  <si>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</si>
  <si>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</si>
  <si>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</si>
  <si>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</si>
  <si>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</si>
  <si>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</si>
  <si>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</si>
  <si>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</si>
  <si>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</si>
  <si>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</si>
  <si>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</si>
  <si>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</si>
  <si>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</si>
  <si>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</si>
  <si>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</si>
  <si>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</si>
  <si>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</si>
  <si>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</si>
  <si>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</si>
  <si>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</si>
  <si>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</si>
  <si>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</si>
  <si>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</si>
  <si>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</si>
  <si>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</si>
  <si>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</si>
  <si>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</si>
  <si>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</si>
  <si>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</si>
  <si>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</si>
  <si>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</si>
  <si>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</si>
  <si>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</si>
  <si>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</si>
  <si>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</si>
  <si>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</si>
  <si>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</si>
  <si>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</si>
  <si>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</si>
  <si>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</si>
  <si>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</si>
  <si>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</si>
  <si>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</si>
  <si>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</si>
  <si>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</si>
  <si>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</si>
  <si>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</si>
  <si>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</si>
  <si>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</si>
  <si>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</si>
  <si>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</si>
  <si>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</si>
  <si>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</si>
  <si>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</si>
  <si>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</si>
  <si>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</si>
  <si>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</si>
  <si>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</si>
  <si>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</si>
  <si>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</si>
  <si>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</si>
  <si>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</si>
  <si>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</si>
  <si>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</si>
  <si>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</si>
  <si>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</si>
  <si>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</si>
  <si>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</si>
  <si>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</si>
  <si>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</si>
  <si>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</si>
  <si>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</si>
  <si>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</si>
  <si>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</si>
  <si>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</si>
  <si>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</si>
  <si>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</si>
  <si>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</si>
  <si>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</si>
  <si>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</si>
  <si>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</si>
  <si>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</si>
  <si>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</si>
  <si>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</si>
  <si>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</si>
  <si>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</si>
  <si>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</si>
  <si>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</si>
  <si>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</si>
  <si>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</si>
  <si>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</si>
  <si>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</si>
  <si>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</si>
  <si>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</si>
  <si>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</si>
  <si>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</si>
  <si>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</si>
  <si>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</si>
  <si>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</si>
  <si>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</si>
  <si>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</si>
  <si>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</si>
  <si>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</si>
  <si>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</si>
  <si>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</si>
  <si>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</si>
  <si>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</si>
  <si>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</si>
  <si>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</si>
  <si>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</si>
  <si>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</si>
  <si>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</si>
  <si>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</si>
  <si>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</si>
  <si>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</si>
  <si>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</si>
  <si>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</si>
  <si>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</si>
  <si>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</si>
  <si>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</si>
  <si>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</si>
  <si>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</si>
  <si>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</si>
  <si>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</si>
  <si>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</si>
  <si>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</si>
  <si>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</si>
  <si>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</si>
  <si>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</si>
  <si>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</si>
  <si>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</si>
  <si>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</si>
  <si>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</si>
  <si>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</si>
  <si>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</si>
  <si>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</si>
  <si>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</si>
  <si>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</si>
  <si>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</si>
  <si>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</si>
  <si>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</si>
  <si>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</si>
  <si>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</si>
  <si>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</si>
  <si>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</si>
  <si>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</si>
  <si>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</si>
  <si>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</si>
  <si>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</si>
  <si>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</si>
  <si>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</si>
  <si>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</si>
  <si>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</si>
  <si>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</si>
  <si>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</si>
  <si>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</si>
  <si>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</si>
  <si>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</si>
  <si>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</si>
  <si>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</si>
  <si>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</si>
  <si>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</si>
  <si>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</si>
  <si>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</si>
  <si>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</si>
  <si>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</si>
  <si>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</si>
  <si>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</si>
  <si>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</si>
  <si>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</si>
  <si>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</si>
  <si>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</si>
  <si>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</si>
  <si>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</si>
  <si>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</si>
  <si>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</si>
  <si>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</si>
  <si>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</si>
  <si>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</si>
  <si>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</si>
  <si>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</si>
  <si>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</si>
  <si>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</si>
  <si>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</si>
  <si>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</si>
  <si>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</si>
  <si>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</si>
  <si>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</si>
  <si>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</si>
  <si>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</si>
  <si>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</si>
  <si>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</si>
  <si>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</si>
  <si>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</si>
  <si>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</si>
  <si>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</si>
  <si>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</si>
  <si>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</si>
  <si>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</si>
  <si>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</si>
  <si>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</si>
  <si>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</si>
  <si>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</si>
  <si>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</si>
  <si>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</si>
  <si>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</si>
  <si>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</si>
  <si>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</si>
  <si>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</si>
  <si>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</si>
  <si>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</si>
  <si>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</si>
  <si>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</si>
  <si>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</si>
  <si>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</si>
  <si>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</si>
  <si>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</si>
  <si>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</si>
  <si>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</si>
  <si>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</si>
  <si>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</si>
  <si>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</si>
  <si>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</si>
  <si>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</si>
  <si>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</si>
  <si>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</si>
  <si>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</si>
  <si>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</si>
  <si>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</si>
  <si>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</si>
  <si>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</si>
  <si>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</si>
  <si>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</si>
  <si>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</si>
  <si>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</si>
  <si>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</si>
  <si>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</si>
  <si>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</si>
  <si>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</si>
  <si>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</si>
  <si>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</si>
  <si>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</si>
  <si>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</si>
  <si>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</si>
  <si>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</si>
  <si>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</si>
  <si>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</si>
  <si>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</si>
  <si>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</si>
  <si>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</si>
  <si>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</si>
  <si>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</si>
  <si>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</si>
  <si>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</si>
  <si>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</si>
  <si>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</si>
  <si>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</si>
  <si>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</si>
  <si>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</si>
  <si>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</si>
  <si>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</si>
  <si>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</si>
  <si>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</si>
  <si>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</si>
  <si>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</si>
  <si>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</si>
  <si>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</si>
  <si>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</si>
  <si>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</si>
  <si>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</si>
  <si>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</si>
  <si>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</si>
  <si>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</si>
  <si>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</si>
  <si>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</si>
  <si>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</si>
  <si>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</si>
  <si>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</si>
  <si>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</si>
  <si>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</si>
  <si>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</si>
  <si>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</si>
  <si>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</si>
  <si>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</si>
  <si>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</si>
  <si>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</si>
  <si>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</si>
  <si>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</si>
  <si>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</si>
  <si>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</si>
  <si>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</si>
  <si>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</si>
  <si>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</si>
  <si>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</si>
  <si>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</si>
  <si>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</si>
  <si>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</si>
  <si>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</si>
  <si>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</si>
  <si>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</si>
  <si>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</si>
  <si>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</si>
  <si>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</si>
  <si>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</si>
  <si>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</si>
  <si>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</si>
  <si>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</si>
  <si>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</si>
  <si>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</si>
  <si>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</si>
  <si>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</si>
  <si>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</si>
  <si>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</si>
  <si>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</si>
  <si>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</si>
  <si>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</si>
  <si>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</si>
  <si>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</si>
  <si>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</si>
  <si>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</si>
  <si>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</si>
  <si>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</si>
  <si>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</si>
  <si>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</si>
  <si>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</si>
  <si>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</si>
  <si>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</si>
  <si>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</si>
  <si>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</si>
  <si>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</si>
  <si>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</si>
  <si>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</si>
  <si>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</si>
  <si>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</si>
  <si>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</si>
  <si>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</si>
  <si>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</si>
  <si>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</si>
  <si>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</si>
  <si>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</si>
  <si>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</si>
  <si>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</si>
  <si>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</si>
  <si>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</si>
  <si>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</si>
  <si>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</si>
  <si>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</si>
  <si>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</si>
  <si>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</si>
  <si>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</si>
  <si>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</si>
  <si>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</si>
  <si>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</si>
  <si>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</si>
  <si>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</si>
  <si>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</si>
  <si>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</si>
  <si>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</si>
  <si>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</si>
  <si>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</si>
  <si>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</si>
  <si>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</si>
  <si>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</si>
  <si>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</si>
  <si>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</si>
  <si>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</si>
  <si>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</si>
  <si>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</si>
  <si>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</si>
  <si>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</si>
  <si>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</si>
  <si>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</si>
  <si>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</si>
  <si>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</si>
  <si>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</si>
  <si>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</si>
  <si>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</si>
  <si>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</si>
  <si>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</si>
  <si>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</si>
  <si>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</si>
  <si>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</si>
  <si>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</si>
  <si>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</si>
  <si>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</si>
  <si>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</si>
  <si>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</si>
  <si>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</si>
  <si>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</si>
  <si>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</si>
  <si>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</si>
  <si>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</si>
  <si>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</si>
  <si>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</si>
  <si>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</si>
  <si>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</si>
  <si>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</si>
  <si>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</si>
  <si>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</si>
  <si>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</si>
  <si>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</si>
  <si>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</si>
  <si>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</si>
  <si>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</si>
  <si>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</si>
  <si>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</si>
  <si>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</si>
  <si>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</si>
  <si>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</si>
  <si>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</si>
  <si>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</si>
  <si>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</si>
  <si>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</si>
  <si>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</si>
  <si>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</si>
  <si>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</si>
  <si>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</si>
  <si>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</si>
  <si>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</si>
  <si>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</si>
  <si>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</si>
  <si>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</si>
  <si>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</si>
  <si>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</si>
  <si>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</si>
  <si>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</si>
  <si>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</si>
  <si>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</si>
  <si>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</si>
  <si>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</si>
  <si>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</si>
  <si>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</si>
  <si>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</si>
  <si>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</si>
  <si>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</si>
  <si>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</si>
  <si>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</si>
  <si>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</si>
  <si>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</si>
  <si>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</si>
  <si>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</si>
  <si>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</si>
  <si>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</si>
  <si>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</si>
  <si>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</si>
  <si>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</si>
  <si>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</si>
  <si>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</si>
  <si>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</si>
  <si>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</si>
  <si>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</si>
  <si>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</si>
  <si>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</si>
  <si>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</si>
  <si>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</si>
  <si>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</si>
  <si>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</si>
  <si>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</si>
  <si>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</si>
  <si>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</si>
  <si>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</si>
  <si>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</si>
  <si>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</si>
  <si>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</si>
  <si>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</si>
  <si>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</si>
  <si>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</si>
  <si>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</si>
  <si>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</si>
  <si>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</si>
  <si>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</si>
  <si>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</si>
  <si>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</si>
  <si>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</si>
  <si>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</si>
  <si>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</si>
  <si>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</si>
  <si>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</si>
  <si>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</si>
  <si>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</si>
  <si>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</si>
  <si>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</si>
  <si>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</si>
  <si>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</si>
  <si>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</si>
  <si>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</si>
  <si>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</si>
  <si>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</si>
  <si>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</si>
  <si>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</si>
  <si>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</si>
  <si>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</si>
  <si>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</si>
  <si>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</si>
  <si>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</si>
  <si>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</si>
  <si>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</si>
  <si>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</si>
  <si>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</si>
  <si>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</si>
  <si>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</si>
  <si>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</si>
  <si>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</si>
  <si>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</si>
  <si>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</si>
  <si>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</si>
  <si>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</si>
  <si>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</si>
  <si>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</si>
  <si>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</si>
  <si>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</si>
  <si>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</si>
  <si>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</si>
  <si>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</si>
  <si>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</si>
  <si>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</si>
  <si>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</si>
  <si>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</si>
  <si>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</si>
  <si>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</si>
  <si>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</si>
  <si>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</si>
  <si>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</si>
  <si>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</si>
  <si>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</si>
  <si>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</si>
  <si>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</si>
  <si>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</si>
  <si>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</si>
  <si>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</si>
  <si>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</si>
  <si>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</si>
  <si>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</si>
  <si>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</si>
  <si>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</si>
  <si>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</si>
  <si>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</si>
  <si>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</si>
  <si>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</si>
  <si>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</si>
  <si>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</si>
  <si>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</si>
  <si>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</si>
  <si>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</si>
  <si>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</si>
  <si>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</si>
  <si>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</si>
  <si>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</si>
  <si>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</si>
  <si>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</si>
  <si>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</si>
  <si>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</si>
  <si>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</si>
  <si>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</si>
  <si>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</si>
  <si>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</si>
  <si>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</si>
  <si>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</si>
  <si>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</si>
  <si>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</si>
  <si>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</si>
  <si>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</si>
  <si>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</si>
  <si>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</si>
  <si>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</si>
  <si>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</si>
  <si>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</si>
  <si>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</si>
  <si>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</si>
  <si>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</si>
  <si>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</si>
  <si>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</si>
  <si>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</si>
  <si>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</si>
  <si>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</si>
  <si>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</si>
  <si>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</si>
  <si>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</si>
  <si>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</si>
  <si>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</si>
  <si>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</si>
  <si>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</si>
  <si>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</si>
  <si>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</si>
  <si>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</si>
  <si>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</si>
  <si>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</si>
  <si>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</si>
  <si>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</si>
  <si>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</si>
  <si>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</si>
  <si>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</si>
  <si>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</si>
  <si>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</si>
  <si>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</si>
  <si>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</si>
  <si>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</si>
  <si>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</si>
  <si>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</si>
  <si>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</si>
  <si>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</si>
  <si>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</si>
  <si>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</si>
  <si>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</si>
  <si>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</si>
  <si>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</si>
  <si>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</si>
  <si>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</si>
  <si>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</si>
  <si>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</si>
  <si>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</si>
  <si>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</si>
  <si>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</si>
  <si>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</si>
  <si>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</si>
  <si>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</si>
  <si>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</si>
  <si>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</si>
  <si>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</si>
  <si>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</si>
  <si>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</si>
  <si>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</si>
  <si>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</si>
  <si>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</si>
  <si>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</si>
  <si>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</si>
  <si>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</si>
  <si>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</si>
  <si>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</si>
  <si>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</si>
  <si>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</si>
  <si>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</si>
  <si>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</si>
  <si>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</si>
  <si>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</si>
  <si>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</si>
  <si>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</si>
  <si>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</si>
  <si>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</si>
  <si>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</si>
  <si>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</si>
  <si>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</si>
  <si>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</si>
  <si>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</si>
  <si>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</si>
  <si>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</si>
  <si>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</si>
  <si>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</si>
  <si>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</si>
  <si>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</si>
  <si>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</si>
  <si>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</si>
  <si>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</si>
  <si>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</si>
  <si>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</si>
  <si>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</si>
  <si>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</si>
  <si>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</si>
  <si>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</si>
  <si>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</si>
  <si>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</si>
  <si>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</si>
  <si>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</si>
  <si>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</si>
  <si>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</si>
  <si>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</si>
  <si>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</si>
  <si>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</si>
  <si>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</si>
  <si>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</si>
  <si>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</si>
  <si>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</si>
  <si>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</si>
  <si>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</si>
  <si>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</si>
  <si>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</si>
  <si>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</si>
  <si>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</si>
  <si>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</si>
  <si>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</si>
  <si>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</si>
  <si>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</si>
  <si>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</si>
  <si>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</si>
  <si>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</si>
  <si>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</si>
  <si>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</si>
  <si>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</si>
  <si>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</si>
  <si>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</si>
  <si>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</si>
  <si>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</si>
  <si>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</si>
  <si>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</si>
  <si>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</si>
  <si>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</si>
  <si>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</si>
  <si>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</si>
  <si>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</si>
  <si>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</si>
  <si>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</si>
  <si>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</si>
  <si>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</si>
  <si>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</si>
  <si>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</si>
  <si>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</si>
  <si>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</si>
  <si>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</si>
  <si>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</si>
  <si>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</si>
  <si>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</si>
  <si>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</si>
  <si>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</si>
  <si>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</si>
  <si>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</si>
  <si>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</si>
  <si>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</si>
  <si>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</si>
  <si>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</si>
  <si>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</si>
  <si>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</si>
  <si>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</si>
  <si>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</si>
  <si>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</si>
  <si>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</si>
  <si>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</si>
  <si>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</si>
  <si>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</si>
  <si>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</si>
  <si>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</si>
  <si>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</si>
  <si>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</si>
  <si>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</si>
  <si>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</si>
  <si>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</si>
  <si>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</si>
  <si>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</si>
  <si>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</si>
  <si>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</si>
  <si>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</si>
  <si>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</si>
  <si>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</si>
  <si>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</si>
  <si>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</si>
  <si>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</si>
  <si>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</si>
  <si>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</si>
  <si>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</si>
  <si>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</si>
  <si>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</si>
  <si>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</si>
  <si>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</si>
  <si>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</si>
  <si>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</si>
  <si>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</si>
  <si>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</si>
  <si>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</si>
  <si>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</si>
  <si>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</si>
  <si>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</si>
  <si>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</si>
  <si>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</si>
  <si>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</si>
  <si>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</si>
  <si>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</si>
  <si>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</si>
  <si>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</si>
  <si>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</si>
  <si>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</si>
  <si>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</si>
  <si>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</si>
  <si>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</si>
  <si>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</si>
  <si>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</si>
  <si>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</si>
  <si>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</si>
  <si>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</si>
  <si>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</si>
  <si>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</si>
  <si>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</si>
  <si>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</si>
  <si>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</si>
  <si>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</si>
  <si>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</si>
  <si>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</si>
  <si>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</si>
  <si>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</si>
  <si>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</si>
  <si>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</si>
  <si>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</si>
  <si>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</si>
  <si>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</si>
  <si>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</si>
  <si>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</si>
  <si>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</si>
  <si>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</si>
  <si>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</si>
  <si>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</si>
  <si>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</si>
  <si>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</si>
  <si>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</si>
  <si>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</si>
  <si>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</si>
  <si>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</si>
  <si>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</si>
  <si>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</si>
  <si>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</si>
  <si>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</si>
  <si>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</si>
  <si>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</si>
  <si>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</si>
  <si>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</si>
  <si>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</si>
  <si>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</si>
  <si>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</si>
  <si>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</si>
  <si>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</si>
  <si>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</si>
  <si>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</si>
  <si>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</si>
  <si>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</si>
  <si>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</si>
  <si>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</si>
  <si>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</si>
  <si>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</si>
  <si>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</si>
  <si>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</si>
  <si>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</si>
  <si>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</si>
  <si>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</si>
  <si>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</si>
  <si>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</si>
  <si>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</si>
  <si>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</si>
  <si>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</si>
  <si>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</si>
  <si>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</si>
  <si>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</si>
  <si>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</si>
  <si>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</si>
  <si>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</si>
  <si>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</si>
  <si>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</si>
  <si>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</si>
  <si>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</si>
  <si>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</si>
  <si>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</si>
  <si>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</si>
  <si>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</si>
  <si>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</si>
  <si>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</si>
  <si>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</si>
  <si>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</si>
  <si>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</si>
  <si>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</si>
  <si>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</si>
  <si>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</si>
  <si>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</si>
  <si>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</si>
  <si>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</si>
  <si>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</si>
  <si>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</si>
  <si>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</si>
  <si>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</si>
  <si>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</si>
  <si>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</si>
  <si>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</si>
  <si>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</si>
  <si>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</si>
  <si>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</si>
  <si>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</si>
  <si>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</si>
  <si>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</si>
  <si>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</si>
  <si>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</si>
  <si>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</si>
  <si>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</si>
  <si>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</si>
  <si>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</si>
  <si>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</si>
  <si>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</si>
  <si>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</si>
  <si>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</si>
  <si>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</si>
  <si>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</si>
  <si>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</si>
  <si>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</si>
  <si>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</si>
  <si>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</si>
  <si>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</si>
  <si>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</si>
  <si>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</si>
  <si>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</si>
  <si>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</si>
  <si>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</si>
  <si>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</si>
  <si>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</si>
  <si>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</si>
  <si>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</si>
  <si>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</si>
  <si>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</si>
  <si>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</si>
  <si>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</si>
  <si>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</si>
  <si>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</si>
  <si>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</si>
  <si>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</si>
  <si>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</si>
  <si>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</si>
  <si>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</si>
  <si>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</si>
  <si>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</si>
  <si>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</si>
  <si>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</si>
  <si>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</si>
  <si>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</si>
  <si>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</si>
  <si>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</si>
  <si>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</si>
  <si>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</si>
  <si>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</si>
  <si>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</si>
  <si>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</si>
  <si>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</si>
  <si>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</si>
  <si>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</si>
  <si>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</si>
  <si>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</si>
  <si>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</si>
  <si>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</si>
  <si>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</si>
  <si>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</si>
  <si>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</si>
  <si>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</si>
  <si>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</si>
  <si>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</si>
  <si>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</si>
  <si>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</si>
  <si>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</si>
  <si>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</si>
  <si>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</si>
  <si>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</si>
  <si>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</si>
  <si>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</si>
  <si>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</si>
  <si>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</si>
  <si>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</si>
  <si>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</si>
  <si>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</si>
  <si>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</si>
  <si>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</si>
  <si>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</si>
  <si>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</si>
  <si>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</si>
  <si>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</si>
  <si>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</si>
  <si>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</si>
  <si>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</si>
  <si>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</si>
  <si>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</si>
  <si>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</si>
  <si>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</si>
  <si>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</si>
  <si>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</si>
  <si>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</si>
  <si>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</si>
  <si>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</si>
  <si>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</si>
  <si>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</si>
  <si>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</si>
  <si>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</si>
  <si>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</si>
  <si>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</si>
  <si>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</si>
  <si>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</si>
  <si>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</si>
  <si>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</si>
  <si>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</si>
  <si>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</si>
  <si>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</si>
  <si>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</si>
  <si>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</si>
  <si>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</si>
  <si>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</si>
  <si>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</si>
  <si>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</si>
  <si>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</si>
  <si>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</si>
  <si>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</si>
  <si>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</si>
  <si>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</si>
  <si>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</si>
  <si>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</si>
  <si>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</si>
  <si>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</si>
  <si>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</si>
  <si>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</si>
  <si>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</si>
  <si>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</si>
  <si>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</si>
  <si>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</si>
  <si>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</si>
  <si>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</si>
  <si>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</si>
  <si>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</si>
  <si>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</si>
  <si>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</si>
  <si>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</si>
  <si>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</si>
  <si>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</si>
  <si>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</si>
  <si>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</si>
  <si>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</si>
  <si>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</si>
  <si>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</si>
  <si>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</si>
  <si>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</si>
  <si>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</si>
  <si>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</si>
  <si>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</si>
  <si>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</si>
  <si>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</si>
  <si>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</si>
  <si>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</si>
  <si>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</si>
  <si>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</si>
  <si>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</si>
  <si>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</si>
  <si>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</si>
  <si>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</si>
  <si>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</si>
  <si>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</si>
  <si>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</si>
  <si>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</si>
  <si>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</si>
  <si>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</si>
  <si>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</si>
  <si>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</si>
  <si>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</si>
  <si>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</si>
  <si>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</si>
  <si>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</si>
  <si>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</si>
  <si>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</si>
  <si>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</si>
  <si>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</si>
  <si>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</si>
  <si>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</si>
  <si>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</si>
  <si>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</si>
  <si>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</si>
  <si>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</si>
  <si>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</si>
  <si>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</si>
  <si>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</si>
  <si>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</si>
  <si>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</si>
  <si>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</si>
  <si>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</si>
  <si>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</si>
  <si>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</si>
  <si>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</si>
  <si>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</si>
  <si>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</si>
  <si>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</si>
  <si>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</si>
  <si>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</si>
  <si>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</si>
  <si>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</si>
  <si>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</si>
  <si>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</si>
  <si>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</si>
  <si>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</si>
  <si>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</si>
  <si>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</si>
  <si>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</si>
  <si>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</si>
  <si>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</si>
  <si>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</si>
  <si>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</si>
  <si>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</si>
  <si>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</si>
  <si>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</si>
  <si>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</si>
  <si>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</si>
  <si>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</si>
  <si>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</si>
  <si>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</si>
  <si>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</si>
  <si>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</si>
  <si>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</si>
  <si>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</si>
  <si>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</si>
  <si>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</si>
  <si>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</si>
  <si>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</si>
  <si>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</si>
  <si>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</si>
  <si>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</si>
  <si>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</si>
  <si>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</si>
  <si>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</si>
  <si>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</si>
  <si>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</si>
  <si>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</si>
  <si>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</si>
  <si>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</si>
  <si>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</si>
  <si>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</si>
  <si>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</si>
  <si>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</si>
  <si>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</si>
  <si>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</si>
  <si>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</si>
  <si>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</si>
  <si>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</si>
  <si>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</si>
  <si>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</si>
  <si>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</si>
  <si>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</si>
  <si>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</si>
  <si>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</si>
  <si>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</si>
  <si>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</si>
  <si>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</si>
  <si>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</si>
  <si>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</si>
  <si>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</si>
  <si>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</si>
  <si>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</si>
  <si>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</si>
  <si>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</si>
  <si>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</si>
  <si>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</si>
  <si>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</si>
  <si>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</si>
  <si>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</si>
  <si>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</si>
  <si>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</si>
  <si>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</si>
  <si>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</si>
  <si>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</si>
  <si>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</si>
  <si>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</si>
  <si>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</si>
  <si>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</si>
  <si>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</si>
  <si>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</si>
  <si>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</si>
  <si>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</si>
  <si>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</si>
  <si>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</si>
  <si>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</si>
  <si>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</si>
  <si>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</si>
  <si>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</si>
  <si>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</si>
  <si>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</si>
  <si>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</si>
  <si>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</si>
  <si>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</si>
  <si>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</si>
  <si>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</si>
  <si>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</si>
  <si>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</si>
  <si>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</si>
  <si>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</si>
  <si>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</si>
  <si>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</si>
  <si>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</si>
  <si>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</si>
  <si>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</si>
  <si>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</si>
  <si>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</si>
  <si>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</si>
  <si>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</si>
  <si>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</si>
  <si>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</si>
  <si>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</si>
  <si>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</si>
  <si>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</si>
  <si>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</si>
  <si>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</si>
  <si>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</si>
  <si>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</si>
  <si>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</si>
  <si>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</si>
  <si>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</si>
  <si>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</si>
  <si>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</si>
  <si>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</si>
  <si>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</si>
  <si>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</si>
  <si>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</si>
  <si>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</si>
  <si>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</si>
  <si>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</si>
  <si>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</si>
  <si>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</si>
  <si>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</si>
  <si>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</si>
  <si>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</si>
  <si>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</si>
  <si>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</si>
  <si>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</si>
  <si>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</si>
  <si>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</si>
  <si>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</si>
  <si>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</si>
  <si>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</si>
  <si>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</si>
  <si>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</si>
  <si>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</si>
  <si>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</si>
  <si>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</si>
  <si>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</si>
  <si>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</si>
  <si>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</si>
  <si>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</si>
  <si>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</si>
  <si>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</si>
  <si>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</si>
  <si>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</si>
  <si>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</si>
  <si>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</si>
  <si>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</si>
  <si>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</si>
  <si>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</si>
  <si>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</si>
  <si>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</si>
  <si>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</si>
  <si>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</si>
  <si>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</si>
  <si>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</si>
  <si>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</si>
  <si>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</si>
  <si>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</si>
  <si>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</si>
  <si>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</si>
  <si>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</si>
  <si>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</si>
  <si>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</si>
  <si>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</si>
  <si>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</si>
  <si>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</si>
  <si>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</si>
  <si>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</si>
  <si>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</si>
  <si>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</si>
  <si>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</si>
  <si>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</si>
  <si>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</si>
  <si>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</si>
  <si>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</si>
  <si>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</si>
  <si>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</si>
  <si>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</si>
  <si>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</si>
  <si>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</si>
  <si>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</si>
  <si>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</si>
  <si>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</si>
  <si>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</si>
  <si>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</si>
  <si>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</si>
  <si>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</si>
  <si>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</si>
  <si>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</si>
  <si>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</si>
  <si>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</si>
  <si>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</si>
  <si>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</si>
  <si>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</si>
  <si>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</si>
  <si>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</si>
  <si>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</si>
  <si>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</si>
  <si>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</si>
  <si>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</si>
  <si>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</si>
  <si>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</si>
  <si>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</si>
  <si>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</si>
  <si>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</si>
  <si>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</si>
  <si>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</si>
  <si>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</si>
  <si>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</si>
  <si>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</si>
  <si>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</si>
  <si>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</si>
  <si>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</si>
  <si>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</si>
  <si>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</si>
  <si>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</si>
  <si>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</si>
  <si>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</si>
  <si>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</si>
  <si>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</si>
  <si>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</si>
  <si>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</si>
  <si>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</si>
  <si>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</si>
  <si>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</si>
  <si>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</si>
  <si>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</si>
  <si>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</si>
  <si>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</si>
  <si>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</si>
  <si>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</si>
  <si>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</si>
  <si>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</si>
  <si>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</si>
  <si>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</si>
  <si>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</si>
  <si>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</si>
  <si>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</si>
  <si>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</si>
  <si>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</si>
  <si>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</si>
  <si>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</si>
  <si>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</si>
  <si>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</si>
  <si>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</si>
  <si>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</si>
  <si>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</si>
  <si>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</si>
  <si>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</si>
  <si>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</si>
  <si>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</si>
  <si>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</si>
  <si>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</si>
  <si>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</si>
  <si>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</si>
  <si>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</si>
  <si>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</si>
  <si>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</si>
  <si>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</si>
  <si>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</si>
  <si>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</si>
  <si>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</si>
  <si>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</si>
  <si>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</si>
  <si>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</si>
  <si>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</si>
  <si>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</si>
  <si>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</si>
  <si>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</si>
  <si>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</si>
  <si>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</si>
  <si>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</si>
  <si>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</si>
  <si>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</si>
  <si>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</si>
  <si>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</si>
  <si>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</si>
  <si>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</si>
  <si>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出让</t>
  </si>
  <si>
    <t>企业</t>
  </si>
  <si>
    <t>北京市</t>
  </si>
  <si>
    <t>核定资产</t>
  </si>
  <si>
    <t>房地产市场价值</t>
  </si>
  <si>
    <t>商业</t>
    <phoneticPr fontId="3" type="noConversion"/>
  </si>
  <si>
    <t>办公</t>
    <phoneticPr fontId="3" type="noConversion"/>
  </si>
  <si>
    <t>是</t>
    <phoneticPr fontId="3" type="noConversion"/>
  </si>
  <si>
    <t>是</t>
    <phoneticPr fontId="3" type="noConversion"/>
  </si>
  <si>
    <t>地上</t>
  </si>
  <si>
    <t>办公1</t>
    <phoneticPr fontId="143" type="noConversion"/>
  </si>
  <si>
    <t>办公2</t>
  </si>
  <si>
    <t>办公3</t>
  </si>
  <si>
    <t>1层商业</t>
    <phoneticPr fontId="143" type="noConversion"/>
  </si>
  <si>
    <t>2层商业</t>
    <phoneticPr fontId="143" type="noConversion"/>
  </si>
  <si>
    <t>3层商业</t>
    <phoneticPr fontId="143" type="noConversion"/>
  </si>
  <si>
    <t>商业</t>
    <phoneticPr fontId="7" type="noConversion"/>
  </si>
  <si>
    <t>办公</t>
    <phoneticPr fontId="7" type="noConversion"/>
  </si>
  <si>
    <t>成新度</t>
  </si>
  <si>
    <t>收益法-商业</t>
  </si>
  <si>
    <t>收益法-商业</t>
    <phoneticPr fontId="16" type="noConversion"/>
  </si>
  <si>
    <t>收益法</t>
  </si>
  <si>
    <t>按租金收入计税</t>
  </si>
  <si>
    <t>押一</t>
  </si>
  <si>
    <t>钢混</t>
  </si>
  <si>
    <t>非生产用房</t>
  </si>
  <si>
    <t>否</t>
  </si>
  <si>
    <t>商务金融用地（办公类）</t>
  </si>
  <si>
    <t>不临58条商业街</t>
  </si>
  <si>
    <t>自定义容积率</t>
  </si>
  <si>
    <t>无</t>
  </si>
  <si>
    <t>1000米以外</t>
  </si>
  <si>
    <t>七通一平</t>
  </si>
  <si>
    <t>通路</t>
  </si>
  <si>
    <t>通电</t>
  </si>
  <si>
    <t>通讯</t>
  </si>
  <si>
    <t>通上水</t>
  </si>
  <si>
    <t>通下水</t>
  </si>
  <si>
    <t>通热</t>
  </si>
  <si>
    <t>燃气</t>
  </si>
  <si>
    <t>增加</t>
  </si>
  <si>
    <t>按公示增长率计算</t>
  </si>
  <si>
    <t>容积率修正</t>
  </si>
  <si>
    <t>较好</t>
  </si>
  <si>
    <t>好</t>
  </si>
  <si>
    <t>未包含在土地购买价格中</t>
  </si>
  <si>
    <t>全部缴纳</t>
  </si>
  <si>
    <t>已包含在土地取得成本中</t>
  </si>
  <si>
    <t>售价</t>
  </si>
  <si>
    <t>正常</t>
  </si>
  <si>
    <t>正常</t>
    <phoneticPr fontId="32" type="noConversion"/>
  </si>
  <si>
    <t>办公</t>
    <phoneticPr fontId="32" type="noConversion"/>
  </si>
  <si>
    <t>40-50（含）</t>
  </si>
  <si>
    <t>一般</t>
  </si>
  <si>
    <t>高教综合大楼</t>
    <phoneticPr fontId="143" type="noConversion"/>
  </si>
  <si>
    <t>青年创业大厦</t>
    <phoneticPr fontId="143" type="noConversion"/>
  </si>
  <si>
    <t>珠江摩派</t>
    <phoneticPr fontId="143" type="noConversion"/>
  </si>
  <si>
    <t>较好</t>
    <phoneticPr fontId="32" type="noConversion"/>
  </si>
  <si>
    <t>七通</t>
    <phoneticPr fontId="32" type="noConversion"/>
  </si>
  <si>
    <t>中区</t>
    <phoneticPr fontId="32" type="noConversion"/>
  </si>
  <si>
    <t>中区</t>
    <phoneticPr fontId="32" type="noConversion"/>
  </si>
  <si>
    <t>快速路</t>
    <phoneticPr fontId="32" type="noConversion"/>
  </si>
  <si>
    <t>次干道</t>
    <phoneticPr fontId="32" type="noConversion"/>
  </si>
  <si>
    <t>写字楼</t>
    <phoneticPr fontId="32" type="noConversion"/>
  </si>
  <si>
    <t>钢混</t>
    <phoneticPr fontId="32" type="noConversion"/>
  </si>
  <si>
    <t>精装</t>
    <phoneticPr fontId="32" type="noConversion"/>
  </si>
  <si>
    <t>甲级</t>
    <phoneticPr fontId="32" type="noConversion"/>
  </si>
  <si>
    <t>专业</t>
    <phoneticPr fontId="32" type="noConversion"/>
  </si>
  <si>
    <t>七通</t>
    <phoneticPr fontId="32" type="noConversion"/>
  </si>
  <si>
    <t>五通</t>
    <phoneticPr fontId="32" type="noConversion"/>
  </si>
  <si>
    <t>标准</t>
    <phoneticPr fontId="32" type="noConversion"/>
  </si>
  <si>
    <t>高区</t>
    <phoneticPr fontId="32" type="noConversion"/>
  </si>
  <si>
    <t>高区</t>
    <phoneticPr fontId="32" type="noConversion"/>
  </si>
  <si>
    <t>低区</t>
    <phoneticPr fontId="32" type="noConversion"/>
  </si>
  <si>
    <t>现房</t>
  </si>
  <si>
    <t>比较法-办公</t>
  </si>
  <si>
    <t>正常</t>
    <phoneticPr fontId="31" type="noConversion"/>
  </si>
  <si>
    <t>商业</t>
    <phoneticPr fontId="31" type="noConversion"/>
  </si>
  <si>
    <t>30-40（含）</t>
  </si>
  <si>
    <t>较好</t>
    <phoneticPr fontId="31" type="noConversion"/>
  </si>
  <si>
    <t>七通</t>
    <phoneticPr fontId="31" type="noConversion"/>
  </si>
  <si>
    <t>写字楼底商</t>
    <phoneticPr fontId="31" type="noConversion"/>
  </si>
  <si>
    <t>恒大城</t>
    <phoneticPr fontId="143" type="noConversion"/>
  </si>
  <si>
    <t>高教园</t>
    <phoneticPr fontId="143" type="noConversion"/>
  </si>
  <si>
    <t>一般</t>
    <phoneticPr fontId="31" type="noConversion"/>
  </si>
  <si>
    <t>单面</t>
    <phoneticPr fontId="31" type="noConversion"/>
  </si>
  <si>
    <t>较大</t>
    <phoneticPr fontId="31" type="noConversion"/>
  </si>
  <si>
    <t>大</t>
    <phoneticPr fontId="31" type="noConversion"/>
  </si>
  <si>
    <t>较小</t>
    <phoneticPr fontId="31" type="noConversion"/>
  </si>
  <si>
    <t>小</t>
    <phoneticPr fontId="31" type="noConversion"/>
  </si>
  <si>
    <t>住宅底商</t>
    <phoneticPr fontId="31" type="noConversion"/>
  </si>
  <si>
    <t>住宅底商</t>
    <phoneticPr fontId="31" type="noConversion"/>
  </si>
  <si>
    <t>商业底商</t>
    <phoneticPr fontId="31" type="noConversion"/>
  </si>
  <si>
    <t>商业底商</t>
    <phoneticPr fontId="31" type="noConversion"/>
  </si>
  <si>
    <t>写字楼底商</t>
    <phoneticPr fontId="31" type="noConversion"/>
  </si>
  <si>
    <t>住宅底商</t>
    <phoneticPr fontId="31" type="noConversion"/>
  </si>
  <si>
    <t>钢混</t>
    <phoneticPr fontId="31" type="noConversion"/>
  </si>
  <si>
    <t>钢混</t>
    <phoneticPr fontId="31" type="noConversion"/>
  </si>
  <si>
    <t>精装</t>
    <phoneticPr fontId="31" type="noConversion"/>
  </si>
  <si>
    <t>标准</t>
    <phoneticPr fontId="31" type="noConversion"/>
  </si>
  <si>
    <t>吴薇</t>
  </si>
  <si>
    <t>郑燚</t>
  </si>
  <si>
    <t>面积</t>
    <phoneticPr fontId="3" type="noConversion"/>
  </si>
  <si>
    <t>面积占比</t>
    <phoneticPr fontId="3" type="noConversion"/>
  </si>
  <si>
    <t>租金</t>
    <phoneticPr fontId="3" type="noConversion"/>
  </si>
  <si>
    <t>楼层系数</t>
    <phoneticPr fontId="3" type="noConversion"/>
  </si>
  <si>
    <t>典型户型修正</t>
  </si>
  <si>
    <t>典型户型修正</t>
    <phoneticPr fontId="16" type="noConversion"/>
  </si>
  <si>
    <t>毛坯</t>
    <phoneticPr fontId="31" type="noConversion"/>
  </si>
  <si>
    <t>普装</t>
    <phoneticPr fontId="31" type="noConversion"/>
  </si>
  <si>
    <t>普装</t>
    <phoneticPr fontId="31" type="noConversion"/>
  </si>
  <si>
    <t>精装</t>
    <phoneticPr fontId="31" type="noConversion"/>
  </si>
  <si>
    <t>普装</t>
    <phoneticPr fontId="31" type="noConversion"/>
  </si>
  <si>
    <t>简装</t>
    <phoneticPr fontId="31" type="noConversion"/>
  </si>
  <si>
    <t>毛坯</t>
    <phoneticPr fontId="31" type="noConversion"/>
  </si>
  <si>
    <t>毛坯</t>
    <phoneticPr fontId="32" type="noConversion"/>
  </si>
  <si>
    <t>普装</t>
    <phoneticPr fontId="32" type="noConversion"/>
  </si>
  <si>
    <t>普装</t>
    <phoneticPr fontId="32" type="noConversion"/>
  </si>
  <si>
    <t>精装</t>
    <phoneticPr fontId="32" type="noConversion"/>
  </si>
  <si>
    <t>普装</t>
    <phoneticPr fontId="32" type="noConversion"/>
  </si>
  <si>
    <t>简装</t>
    <phoneticPr fontId="32" type="noConversion"/>
  </si>
  <si>
    <t>毛坯</t>
    <phoneticPr fontId="32" type="noConversion"/>
  </si>
  <si>
    <t>高速路</t>
  </si>
  <si>
    <t>高速路</t>
    <phoneticPr fontId="32" type="noConversion"/>
  </si>
  <si>
    <t>主干道</t>
    <phoneticPr fontId="32" type="noConversion"/>
  </si>
  <si>
    <t>次干道</t>
    <phoneticPr fontId="32" type="noConversion"/>
  </si>
  <si>
    <t>支路</t>
    <phoneticPr fontId="32" type="noConversion"/>
  </si>
  <si>
    <t>七通</t>
    <phoneticPr fontId="32" type="noConversion"/>
  </si>
  <si>
    <t>六通</t>
    <phoneticPr fontId="32" type="noConversion"/>
  </si>
  <si>
    <t>五通</t>
  </si>
  <si>
    <t>五通</t>
    <phoneticPr fontId="32" type="noConversion"/>
  </si>
  <si>
    <t>七通</t>
    <phoneticPr fontId="31" type="noConversion"/>
  </si>
  <si>
    <t>六通</t>
    <phoneticPr fontId="31" type="noConversion"/>
  </si>
  <si>
    <t>五通</t>
    <phoneticPr fontId="31" type="noConversion"/>
  </si>
  <si>
    <t>房号</t>
  </si>
  <si>
    <t>系统房号</t>
  </si>
  <si>
    <t>备案房号</t>
  </si>
  <si>
    <t>实测建筑面积</t>
  </si>
  <si>
    <t>BJYLXCSY-G1-101</t>
  </si>
  <si>
    <t>1-32</t>
  </si>
  <si>
    <t>BJYLXCSY-G1-102</t>
  </si>
  <si>
    <t>1-33</t>
  </si>
  <si>
    <t>BJYLXCSY-G1-103</t>
  </si>
  <si>
    <t>1-34</t>
  </si>
  <si>
    <t>BJYLXCSY-G1-104</t>
  </si>
  <si>
    <t>1-1</t>
  </si>
  <si>
    <t>BJYLXCSY-G1-105</t>
  </si>
  <si>
    <t>1-2</t>
  </si>
  <si>
    <t>BJYLXCSY-G1-106</t>
  </si>
  <si>
    <t>1-3</t>
  </si>
  <si>
    <t>BJYLXCSY-G1-107</t>
  </si>
  <si>
    <t>1-4</t>
  </si>
  <si>
    <t>BJYLXCSY-G1-108</t>
  </si>
  <si>
    <t>1-5</t>
  </si>
  <si>
    <t>BJYLXCSY-G1-109</t>
  </si>
  <si>
    <t>1-6</t>
  </si>
  <si>
    <t>BJYLXCSY-G1-110</t>
  </si>
  <si>
    <t>1-7</t>
  </si>
  <si>
    <t>BJYLXCSY-G1-111</t>
  </si>
  <si>
    <t>1-8</t>
  </si>
  <si>
    <t>BJYLXCSY-G1-112</t>
  </si>
  <si>
    <t>1-9</t>
  </si>
  <si>
    <t>BJYLXCSY-G1-113</t>
  </si>
  <si>
    <t>1-10</t>
  </si>
  <si>
    <t>BJYLXCSY-G1-114</t>
  </si>
  <si>
    <t>1-11</t>
  </si>
  <si>
    <t>BJYLXCSY-G1-115</t>
  </si>
  <si>
    <t>1-12</t>
  </si>
  <si>
    <t>BJYLXCSY-G1-116</t>
  </si>
  <si>
    <t>1-13</t>
  </si>
  <si>
    <t>BJYLXCSY-G1-117</t>
  </si>
  <si>
    <t>1-14</t>
  </si>
  <si>
    <t>BJYLXCSY-G1-118</t>
  </si>
  <si>
    <t>1-15</t>
  </si>
  <si>
    <t>BJYLXCSY-G1-119</t>
  </si>
  <si>
    <t>1-16</t>
  </si>
  <si>
    <t>BJYLXCSY-G1-120</t>
  </si>
  <si>
    <t>1-17</t>
  </si>
  <si>
    <t>BJYLXCSY-G1-121</t>
  </si>
  <si>
    <t>1-18</t>
  </si>
  <si>
    <t>BJYLXCSY-G1-122</t>
  </si>
  <si>
    <t>1-19</t>
  </si>
  <si>
    <t>BJYLXCSY-G1-123</t>
  </si>
  <si>
    <t>1-20</t>
  </si>
  <si>
    <t>BJYLXCSY-G1-124</t>
  </si>
  <si>
    <t>1-21</t>
  </si>
  <si>
    <t>BJYLXCSY-G1-125</t>
  </si>
  <si>
    <t>1-22</t>
  </si>
  <si>
    <t>BJYLXCSY-G1-126</t>
  </si>
  <si>
    <t>1-23</t>
  </si>
  <si>
    <t>BJYLXCSY-G1-127</t>
  </si>
  <si>
    <t>141</t>
  </si>
  <si>
    <t>BJYLXCSY-G1-128</t>
  </si>
  <si>
    <t>140</t>
  </si>
  <si>
    <t>BJYLXCSY-G1-129</t>
  </si>
  <si>
    <t>1-24</t>
  </si>
  <si>
    <t>BJYLXCSY-G1-130</t>
  </si>
  <si>
    <t>1-25</t>
  </si>
  <si>
    <t>BJYLXCSY-G1-131</t>
  </si>
  <si>
    <t>1-26</t>
  </si>
  <si>
    <t>BJYLXCSY-G1-133</t>
  </si>
  <si>
    <t>139</t>
  </si>
  <si>
    <t>BJYLXCSY-G1-134</t>
  </si>
  <si>
    <t>138</t>
  </si>
  <si>
    <t>BJYLXCSY-G1-135</t>
  </si>
  <si>
    <t>137</t>
  </si>
  <si>
    <t>BJYLXCSY-G1-136</t>
  </si>
  <si>
    <t>1-28</t>
  </si>
  <si>
    <t>BJYLXCSY-G1-137</t>
  </si>
  <si>
    <t>1-29</t>
  </si>
  <si>
    <t>BJYLXCSY-G1-138</t>
  </si>
  <si>
    <t>136</t>
  </si>
  <si>
    <t>BJYLXCSY-G1-139</t>
  </si>
  <si>
    <t>135</t>
  </si>
  <si>
    <t>BJYLXCSY-G1-140</t>
  </si>
  <si>
    <t>1-30</t>
  </si>
  <si>
    <t>BJYLXCSY-G1-141</t>
  </si>
  <si>
    <t>1-31</t>
  </si>
  <si>
    <t>BJYLXCSY-G1-201</t>
  </si>
  <si>
    <t>BJYLXCSY-G1-202</t>
  </si>
  <si>
    <t>BJYLXCSY-G1-203</t>
  </si>
  <si>
    <t>BJYLXCSY-G1-204</t>
  </si>
  <si>
    <t>BJYLXCSY-G1-205</t>
  </si>
  <si>
    <t>BJYLXCSY-G1-206</t>
  </si>
  <si>
    <t>BJYLXCSY-G1-207</t>
  </si>
  <si>
    <t>BJYLXCSY-G1-208</t>
  </si>
  <si>
    <t>BJYLXCSY-G1-209</t>
  </si>
  <si>
    <t>BJYLXCSY-G1-210</t>
  </si>
  <si>
    <t>BJYLXCSY-G1-211</t>
  </si>
  <si>
    <t>BJYLXCSY-G1-212</t>
  </si>
  <si>
    <t>BJYLXCSY-G1-213</t>
  </si>
  <si>
    <t>BJYLXCSY-G1-214</t>
  </si>
  <si>
    <t>BJYLXCSY-G1-215</t>
  </si>
  <si>
    <t>BJYLXCSY-G1-216</t>
  </si>
  <si>
    <t>BJYLXCSY-G1-217</t>
  </si>
  <si>
    <t>BJYLXCSY-G1-219</t>
  </si>
  <si>
    <t>BJYLXCSY-G1-221</t>
  </si>
  <si>
    <t>BJYLXCSY-G1-224</t>
  </si>
  <si>
    <t>BJYLXCSY-G1-225</t>
  </si>
  <si>
    <t>BJYLXCSY-G1-226</t>
  </si>
  <si>
    <t>BJYLXCSY-G1-301</t>
  </si>
  <si>
    <t>BJYLXCSY-G1-302</t>
  </si>
  <si>
    <t>BJYLXCSY-G1-303</t>
  </si>
  <si>
    <t>BJYLXCSY-G1-304</t>
  </si>
  <si>
    <t>BJYLXCSY-G1-305</t>
  </si>
  <si>
    <t>BJYLXCSY-G1-306</t>
  </si>
  <si>
    <t>BJYLXCSY-G1-307</t>
  </si>
  <si>
    <t>BJYLXCSY-G1-308</t>
  </si>
  <si>
    <t>BJYLXCSY-G1-309</t>
  </si>
  <si>
    <t>BJYLXCSY-G1-310</t>
  </si>
  <si>
    <t>BJYLXCSY-G1-311</t>
  </si>
  <si>
    <t>BJYLXCSY-G1-312</t>
  </si>
  <si>
    <t>BJYLXCSY-G1-313</t>
  </si>
  <si>
    <t>BJYLXCSY-G1-314</t>
  </si>
  <si>
    <t>BJYLXCSY-G1-315</t>
  </si>
  <si>
    <t>BJYLXCSY-G1-316</t>
  </si>
  <si>
    <t>BJYLXCSY-G1-317</t>
  </si>
  <si>
    <t>公寓</t>
  </si>
  <si>
    <t>公寓</t>
    <phoneticPr fontId="3" type="noConversion"/>
  </si>
  <si>
    <t>是</t>
  </si>
  <si>
    <t>公寓</t>
    <phoneticPr fontId="7" type="noConversion"/>
  </si>
  <si>
    <t>收益法-公寓</t>
  </si>
  <si>
    <t>收益法-公寓</t>
    <phoneticPr fontId="16" type="noConversion"/>
  </si>
  <si>
    <t>现状用途</t>
    <phoneticPr fontId="143" type="noConversion"/>
  </si>
  <si>
    <t>公寓</t>
    <phoneticPr fontId="143" type="noConversion"/>
  </si>
  <si>
    <t>办公</t>
    <phoneticPr fontId="143" type="noConversion"/>
  </si>
  <si>
    <t>比较法-公寓</t>
  </si>
  <si>
    <t>比较法-公寓</t>
    <phoneticPr fontId="16" type="noConversion"/>
  </si>
  <si>
    <t>公寓</t>
    <phoneticPr fontId="32" type="noConversion"/>
  </si>
  <si>
    <t>办公</t>
    <phoneticPr fontId="143" type="noConversion"/>
  </si>
  <si>
    <t>毛坯</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</si>
</sst>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80" fillId="2" borderId="2" xfId="0" applyFont="1" applyFill="1" applyBorder="1" applyAlignment="1" applyProtection="1">
      <alignment horizontal="center" vertical="center" wrapText="1"/>
      <protection locked="0"/>
    </xf>
    <xf numFmtId="0" fontId="99" fillId="0" borderId="0" xfId="0" applyFont="1">
      <alignment vertical="center"/>
    </xf>
    <xf numFmtId="177" fontId="80" fillId="0" borderId="1" xfId="1" applyNumberFormat="1" applyFont="1" applyFill="1" applyBorder="1" applyAlignment="1" applyProtection="1">
      <alignment vertical="center"/>
      <protection locked="0" hidden="1"/>
    </xf>
    <xf numFmtId="179" fontId="0" fillId="0" borderId="0" xfId="0" applyNumberFormat="1">
      <alignment vertical="center"/>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137" fillId="2" borderId="4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0" fontId="80" fillId="6" borderId="0" xfId="0" applyFont="1" applyFill="1" applyAlignment="1" applyProtection="1">
      <alignment horizontal="center" vertical="center"/>
      <protection locked="0"/>
    </xf>
    <xf numFmtId="0" fontId="80" fillId="6" borderId="0" xfId="0" applyFont="1" applyFill="1" applyAlignment="1" applyProtection="1">
      <alignment vertical="center"/>
      <protection locked="0"/>
    </xf>
    <xf numFmtId="0" fontId="98" fillId="0" borderId="44" xfId="0" applyNumberFormat="1" applyFont="1" applyFill="1" applyBorder="1" applyAlignment="1" applyProtection="1">
      <alignment horizontal="center" vertical="center" wrapText="1"/>
      <protection locked="0"/>
    </xf>
    <xf numFmtId="0" fontId="98" fillId="17" borderId="23" xfId="0" applyNumberFormat="1" applyFont="1" applyFill="1" applyBorder="1" applyAlignment="1" applyProtection="1">
      <alignment horizontal="center" vertical="center" wrapText="1"/>
      <protection locked="0"/>
    </xf>
    <xf numFmtId="49" fontId="98" fillId="17" borderId="23" xfId="0" applyNumberFormat="1" applyFont="1" applyFill="1" applyBorder="1" applyAlignment="1" applyProtection="1">
      <alignment horizontal="center" vertical="center" wrapText="1"/>
      <protection locked="0"/>
    </xf>
    <xf numFmtId="0" fontId="47" fillId="17" borderId="37" xfId="0" applyNumberFormat="1" applyFont="1" applyFill="1" applyBorder="1" applyAlignment="1" applyProtection="1">
      <alignment horizontal="center" vertical="center" wrapText="1"/>
      <protection locked="0"/>
    </xf>
    <xf numFmtId="0" fontId="144" fillId="0" borderId="1" xfId="0" applyFont="1" applyFill="1" applyBorder="1" applyAlignment="1">
      <alignment horizontal="center" vertical="center" wrapText="1"/>
    </xf>
    <xf numFmtId="0" fontId="84" fillId="0" borderId="1" xfId="0" applyFont="1" applyBorder="1" applyAlignment="1">
      <alignment horizontal="center" vertical="center"/>
    </xf>
    <xf numFmtId="0" fontId="0" fillId="0" borderId="1" xfId="0" applyNumberFormat="1" applyFont="1" applyFill="1" applyBorder="1" applyAlignment="1" applyProtection="1">
      <alignment horizontal="center" vertical="center" shrinkToFit="1"/>
    </xf>
    <xf numFmtId="49" fontId="99" fillId="0" borderId="1" xfId="0" applyNumberFormat="1" applyFont="1" applyFill="1" applyBorder="1" applyAlignment="1">
      <alignment horizontal="center" vertical="center"/>
    </xf>
    <xf numFmtId="0" fontId="19" fillId="0" borderId="1" xfId="0" applyNumberFormat="1" applyFont="1" applyFill="1" applyBorder="1" applyAlignment="1" applyProtection="1">
      <alignment horizontal="center" vertical="center" shrinkToFit="1"/>
    </xf>
    <xf numFmtId="0" fontId="50" fillId="0" borderId="23" xfId="0" applyNumberFormat="1" applyFont="1" applyFill="1" applyBorder="1" applyAlignment="1" applyProtection="1">
      <alignment horizontal="center" vertical="center" wrapText="1"/>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179" fontId="99" fillId="0" borderId="0" xfId="0" applyNumberFormat="1"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4">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9022</xdr:colOff>
      <xdr:row>23</xdr:row>
      <xdr:rowOff>161412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028572" cy="4104762"/>
        </a:xfrm>
        <a:prstGeom prst="rect">
          <a:avLst/>
        </a:prstGeom>
      </xdr:spPr>
    </xdr:pic>
    <xdr:clientData/>
  </xdr:twoCellAnchor>
  <xdr:twoCellAnchor editAs="oneCell">
    <xdr:from>
      <xdr:col>5</xdr:col>
      <xdr:colOff>533400</xdr:colOff>
      <xdr:row>0</xdr:row>
      <xdr:rowOff>0</xdr:rowOff>
    </xdr:from>
    <xdr:to>
      <xdr:col>11</xdr:col>
      <xdr:colOff>237648</xdr:colOff>
      <xdr:row>22</xdr:row>
      <xdr:rowOff>123338</xdr:rowOff>
    </xdr:to>
    <xdr:pic>
      <xdr:nvPicPr>
        <xdr:cNvPr id="3" name="图片 2"/>
        <xdr:cNvPicPr>
          <a:picLocks noChangeAspect="1"/>
        </xdr:cNvPicPr>
      </xdr:nvPicPr>
      <xdr:blipFill>
        <a:blip xmlns:r="http://schemas.openxmlformats.org/officeDocument/2006/relationships" r:embed="rId2"/>
        <a:stretch>
          <a:fillRect/>
        </a:stretch>
      </xdr:blipFill>
      <xdr:spPr>
        <a:xfrm>
          <a:off x="3962400" y="0"/>
          <a:ext cx="3819048" cy="3895238"/>
        </a:xfrm>
        <a:prstGeom prst="rect">
          <a:avLst/>
        </a:prstGeom>
      </xdr:spPr>
    </xdr:pic>
    <xdr:clientData/>
  </xdr:twoCellAnchor>
  <xdr:twoCellAnchor editAs="oneCell">
    <xdr:from>
      <xdr:col>11</xdr:col>
      <xdr:colOff>180975</xdr:colOff>
      <xdr:row>0</xdr:row>
      <xdr:rowOff>0</xdr:rowOff>
    </xdr:from>
    <xdr:to>
      <xdr:col>16</xdr:col>
      <xdr:colOff>532928</xdr:colOff>
      <xdr:row>21</xdr:row>
      <xdr:rowOff>94788</xdr:rowOff>
    </xdr:to>
    <xdr:pic>
      <xdr:nvPicPr>
        <xdr:cNvPr id="4" name="图片 3"/>
        <xdr:cNvPicPr>
          <a:picLocks noChangeAspect="1"/>
        </xdr:cNvPicPr>
      </xdr:nvPicPr>
      <xdr:blipFill>
        <a:blip xmlns:r="http://schemas.openxmlformats.org/officeDocument/2006/relationships" r:embed="rId3"/>
        <a:stretch>
          <a:fillRect/>
        </a:stretch>
      </xdr:blipFill>
      <xdr:spPr>
        <a:xfrm>
          <a:off x="7724775" y="0"/>
          <a:ext cx="3780953" cy="3695238"/>
        </a:xfrm>
        <a:prstGeom prst="rect">
          <a:avLst/>
        </a:prstGeom>
      </xdr:spPr>
    </xdr:pic>
    <xdr:clientData/>
  </xdr:twoCellAnchor>
  <xdr:twoCellAnchor editAs="oneCell">
    <xdr:from>
      <xdr:col>0</xdr:col>
      <xdr:colOff>0</xdr:colOff>
      <xdr:row>30</xdr:row>
      <xdr:rowOff>1</xdr:rowOff>
    </xdr:from>
    <xdr:to>
      <xdr:col>6</xdr:col>
      <xdr:colOff>224858</xdr:colOff>
      <xdr:row>52</xdr:row>
      <xdr:rowOff>95250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143501"/>
          <a:ext cx="4930208" cy="3867149"/>
        </a:xfrm>
        <a:prstGeom prst="rect">
          <a:avLst/>
        </a:prstGeom>
      </xdr:spPr>
    </xdr:pic>
    <xdr:clientData/>
  </xdr:twoCellAnchor>
  <xdr:twoCellAnchor editAs="oneCell">
    <xdr:from>
      <xdr:col>6</xdr:col>
      <xdr:colOff>428625</xdr:colOff>
      <xdr:row>25</xdr:row>
      <xdr:rowOff>57150</xdr:rowOff>
    </xdr:from>
    <xdr:to>
      <xdr:col>13</xdr:col>
      <xdr:colOff>523263</xdr:colOff>
      <xdr:row>42</xdr:row>
      <xdr:rowOff>142500</xdr:rowOff>
    </xdr:to>
    <xdr:pic>
      <xdr:nvPicPr>
        <xdr:cNvPr id="6" name="图片 5"/>
        <xdr:cNvPicPr>
          <a:picLocks noChangeAspect="1"/>
        </xdr:cNvPicPr>
      </xdr:nvPicPr>
      <xdr:blipFill>
        <a:blip xmlns:r="http://schemas.openxmlformats.org/officeDocument/2006/relationships" r:embed="rId5"/>
        <a:stretch>
          <a:fillRect/>
        </a:stretch>
      </xdr:blipFill>
      <xdr:spPr>
        <a:xfrm>
          <a:off x="5133975" y="4343400"/>
          <a:ext cx="4895238" cy="3000000"/>
        </a:xfrm>
        <a:prstGeom prst="rect">
          <a:avLst/>
        </a:prstGeom>
      </xdr:spPr>
    </xdr:pic>
    <xdr:clientData/>
  </xdr:twoCellAnchor>
  <xdr:twoCellAnchor editAs="oneCell">
    <xdr:from>
      <xdr:col>6</xdr:col>
      <xdr:colOff>352425</xdr:colOff>
      <xdr:row>42</xdr:row>
      <xdr:rowOff>47625</xdr:rowOff>
    </xdr:from>
    <xdr:to>
      <xdr:col>13</xdr:col>
      <xdr:colOff>589921</xdr:colOff>
      <xdr:row>59</xdr:row>
      <xdr:rowOff>85356</xdr:rowOff>
    </xdr:to>
    <xdr:pic>
      <xdr:nvPicPr>
        <xdr:cNvPr id="7" name="图片 6"/>
        <xdr:cNvPicPr>
          <a:picLocks noChangeAspect="1"/>
        </xdr:cNvPicPr>
      </xdr:nvPicPr>
      <xdr:blipFill>
        <a:blip xmlns:r="http://schemas.openxmlformats.org/officeDocument/2006/relationships" r:embed="rId6"/>
        <a:stretch>
          <a:fillRect/>
        </a:stretch>
      </xdr:blipFill>
      <xdr:spPr>
        <a:xfrm>
          <a:off x="5057775" y="7248525"/>
          <a:ext cx="5038096" cy="29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5" customWidth="1"/>
    <col min="2" max="2" width="81" style="1602" customWidth="1"/>
    <col min="3" max="16384" width="9" style="1600"/>
  </cols>
  <sheetData>
    <row r="1" spans="1:2" s="1588" customFormat="1" ht="16.5" thickBot="1">
      <c r="A1" s="1587" t="s">
        <v>1215</v>
      </c>
      <c r="B1" s="1586" t="s">
        <v>1294</v>
      </c>
    </row>
    <row r="2" spans="1:2" s="1591" customFormat="1" ht="15" thickTop="1">
      <c r="A2" s="1589" t="s">
        <v>1216</v>
      </c>
      <c r="B2" s="1590" t="str">
        <f>'预评函-封皮'!B37:I37</f>
        <v>北京市房地产市场价值预评估</v>
      </c>
    </row>
    <row r="3" spans="1:2" s="1594" customFormat="1">
      <c r="A3" s="1592" t="s">
        <v>1217</v>
      </c>
      <c r="B3" s="1593">
        <f>'预评函-封皮'!B40</f>
        <v>0</v>
      </c>
    </row>
    <row r="4" spans="1:2" s="1594" customFormat="1">
      <c r="A4" s="1592" t="s">
        <v>1218</v>
      </c>
      <c r="B4" s="1593" t="str">
        <f ca="1">'预评函-封皮'!B46</f>
        <v>吴薇（注册号：1419970001)、郑燚（注册号：1120070131)</v>
      </c>
    </row>
    <row r="5" spans="1:2" s="1588" customFormat="1" ht="15" thickBot="1">
      <c r="A5" s="1595" t="s">
        <v>1219</v>
      </c>
      <c r="B5" s="1596" t="str">
        <f>'预评函-封皮'!B49</f>
        <v>康正预评字号</v>
      </c>
    </row>
    <row r="6" spans="1:2" s="1591" customFormat="1" ht="15" thickTop="1">
      <c r="A6" s="1589" t="s">
        <v>1220</v>
      </c>
      <c r="B6" s="1590" t="str">
        <f>'预评函-1'!A4</f>
        <v>受贵公司委托，我公司对北京市房地产市场价值进行了预评估。</v>
      </c>
    </row>
    <row r="7" spans="1:2" s="1594" customFormat="1">
      <c r="A7" s="1592" t="s">
        <v>1260</v>
      </c>
      <c r="B7" s="1593" t="str">
        <f>'预评函-1'!A7</f>
        <v>估价对象为北京市房地产，为所有。根据《国有土地使用证》[]，估价对象（分摊）出让国有建设用地使用权面积为21654.11平方米，建筑面积为66657.51平方米。</v>
      </c>
    </row>
    <row r="8" spans="1:2" s="1594" customFormat="1">
      <c r="A8" s="1592" t="s">
        <v>1261</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1262</v>
      </c>
      <c r="B9" s="1593" t="str">
        <f>'预评函-1'!A10</f>
        <v>估价对象为北京市房地产,属开发建设的，该项目尚在开发建设中。根据《国有土地使用证》[]，估价对象（分摊）出让国有建设用地使用权面积为21654.11平方米，规划建筑面积为66657.51平方米。</v>
      </c>
    </row>
    <row r="10" spans="1:2" s="1594" customFormat="1">
      <c r="A10" s="1592" t="s">
        <v>1263</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1221</v>
      </c>
      <c r="B11" s="1593" t="str">
        <f>'预评函-1'!A13</f>
        <v>为估价委托人了解估价对象房地产市场价值提供参考依据。</v>
      </c>
    </row>
    <row r="12" spans="1:2" s="1594" customFormat="1">
      <c r="A12" s="1592" t="s">
        <v>1222</v>
      </c>
      <c r="B12" s="1593" t="str">
        <f>'预评函-1'!A15</f>
        <v>2019年4月15日</v>
      </c>
    </row>
    <row r="13" spans="1:2" s="1594" customFormat="1">
      <c r="A13" s="1592" t="s">
        <v>1223</v>
      </c>
      <c r="B13" s="1593" t="str">
        <f>'预评函-1'!A18</f>
        <v>本次估价的“房地产价值”是指在正常市场情况下，在价值时点2019年4月15日，估价对象规划用途为，土地取得方式为出让，出让国有建设用地使用权剩余土地使用年限为，假定未设立法定优先受偿款下的房地产市场价值。</v>
      </c>
    </row>
    <row r="14" spans="1:2" s="1594" customFormat="1">
      <c r="A14" s="1592" t="s">
        <v>1224</v>
      </c>
      <c r="B14" s="1593"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1225</v>
      </c>
      <c r="B15" s="1593" t="str">
        <f>'预评函-1'!A20</f>
        <v>——</v>
      </c>
    </row>
    <row r="16" spans="1:2" s="1594" customFormat="1">
      <c r="A16" s="1592" t="s">
        <v>1226</v>
      </c>
      <c r="B16" s="1593" t="str">
        <f>'预评函-1'!A21</f>
        <v>——</v>
      </c>
    </row>
    <row r="17" spans="1:2" s="1594" customFormat="1">
      <c r="A17" s="1592" t="s">
        <v>1227</v>
      </c>
      <c r="B17" s="1593" t="str">
        <f>'预评函-1'!A22</f>
        <v>——</v>
      </c>
    </row>
    <row r="18" spans="1:2" s="1588" customFormat="1" ht="15" thickBot="1">
      <c r="A18" s="1595" t="s">
        <v>1228</v>
      </c>
      <c r="B18" s="1596" t="str">
        <f>'预评函-1'!A24</f>
        <v>本次评估采用的主估价方法为比较法和收益法。</v>
      </c>
    </row>
    <row r="19" spans="1:2" s="1591" customFormat="1" ht="15" thickTop="1">
      <c r="A19" s="1589" t="s">
        <v>1229</v>
      </c>
      <c r="B19" s="159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4" customFormat="1">
      <c r="A20" s="1592" t="s">
        <v>1230</v>
      </c>
      <c r="B20" s="1593">
        <f ca="1">'预评函-2'!D5</f>
        <v>74484</v>
      </c>
    </row>
    <row r="21" spans="1:2" s="1594" customFormat="1">
      <c r="A21" s="1592" t="s">
        <v>1231</v>
      </c>
      <c r="B21" s="1593">
        <f ca="1">'预评函-2'!D7</f>
        <v>23417</v>
      </c>
    </row>
    <row r="22" spans="1:2" s="1594" customFormat="1">
      <c r="A22" s="1592" t="s">
        <v>1232</v>
      </c>
      <c r="B22" s="1593" t="str">
        <f ca="1">'预评函-2'!D6</f>
        <v>柒亿肆仟肆佰捌拾肆万元整</v>
      </c>
    </row>
    <row r="23" spans="1:2" s="1594" customFormat="1">
      <c r="A23" s="1592" t="s">
        <v>1283</v>
      </c>
      <c r="B23" s="1593" t="str">
        <f>'预评函-2'!B8</f>
        <v>2.估价师知悉的法定优先受偿款</v>
      </c>
    </row>
    <row r="24" spans="1:2" s="1594" customFormat="1">
      <c r="A24" s="1592" t="s">
        <v>1289</v>
      </c>
      <c r="B24" s="1593">
        <f>'预评函-2'!D8</f>
        <v>0</v>
      </c>
    </row>
    <row r="25" spans="1:2" s="1594" customFormat="1">
      <c r="A25" s="1592" t="s">
        <v>1233</v>
      </c>
      <c r="B25" s="1593" t="str">
        <f>'预评函-2'!D9</f>
        <v>零元整</v>
      </c>
    </row>
    <row r="26" spans="1:2" s="1594" customFormat="1">
      <c r="A26" s="1592" t="s">
        <v>1234</v>
      </c>
      <c r="B26" s="1593">
        <f>'预评函-2'!D10</f>
        <v>0</v>
      </c>
    </row>
    <row r="27" spans="1:2" s="1594" customFormat="1">
      <c r="A27" s="1592" t="s">
        <v>1235</v>
      </c>
      <c r="B27" s="1593">
        <f>'预评函-2'!D11</f>
        <v>0</v>
      </c>
    </row>
    <row r="28" spans="1:2" s="1594" customFormat="1">
      <c r="A28" s="1592" t="s">
        <v>1236</v>
      </c>
      <c r="B28" s="1593">
        <f>'预评函-2'!D12</f>
        <v>0</v>
      </c>
    </row>
    <row r="29" spans="1:2" s="1594" customFormat="1">
      <c r="A29" s="1592" t="s">
        <v>1287</v>
      </c>
      <c r="B29" s="1593" t="str">
        <f>'预评函-2'!B13</f>
        <v>3.房地产抵押价值</v>
      </c>
    </row>
    <row r="30" spans="1:2" s="1594" customFormat="1">
      <c r="A30" s="1592" t="s">
        <v>1288</v>
      </c>
      <c r="B30" s="1593">
        <f ca="1">'预评函-2'!D13</f>
        <v>74484</v>
      </c>
    </row>
    <row r="31" spans="1:2" s="1594" customFormat="1">
      <c r="A31" s="1592" t="s">
        <v>1270</v>
      </c>
      <c r="B31" s="1593">
        <f ca="1">'预评函-2'!D15</f>
        <v>11174</v>
      </c>
    </row>
    <row r="32" spans="1:2" s="1594" customFormat="1">
      <c r="A32" s="1592" t="s">
        <v>1237</v>
      </c>
      <c r="B32" s="1593" t="str">
        <f ca="1">'预评函-2'!D14</f>
        <v>柒亿肆仟肆佰捌拾肆万元整</v>
      </c>
    </row>
    <row r="33" spans="1:2" s="1594" customFormat="1">
      <c r="A33" s="1592" t="s">
        <v>1272</v>
      </c>
      <c r="B33" s="1593" t="str">
        <f>'预评函-2'!B16</f>
        <v>——</v>
      </c>
    </row>
    <row r="34" spans="1:2" s="1594" customFormat="1">
      <c r="A34" s="1592" t="s">
        <v>1290</v>
      </c>
      <c r="B34" s="1593" t="str">
        <f>'预评函-2'!D16</f>
        <v>——</v>
      </c>
    </row>
    <row r="35" spans="1:2" s="1594" customFormat="1">
      <c r="A35" s="1592" t="s">
        <v>1271</v>
      </c>
      <c r="B35" s="1593" t="str">
        <f>'预评函-2'!D18</f>
        <v>——</v>
      </c>
    </row>
    <row r="36" spans="1:2" s="1594" customFormat="1">
      <c r="A36" s="1592" t="s">
        <v>1238</v>
      </c>
      <c r="B36" s="1593" t="e">
        <f>'预评函-2'!D17</f>
        <v>#VALUE!</v>
      </c>
    </row>
    <row r="37" spans="1:2" s="1594" customFormat="1">
      <c r="A37" s="1592" t="s">
        <v>1273</v>
      </c>
      <c r="B37" s="1593" t="str">
        <f>'预评函-2'!B19</f>
        <v>——</v>
      </c>
    </row>
    <row r="38" spans="1:2" s="1594" customFormat="1">
      <c r="A38" s="1592" t="s">
        <v>1291</v>
      </c>
      <c r="B38" s="1593" t="str">
        <f>'预评函-2'!D19</f>
        <v>——</v>
      </c>
    </row>
    <row r="39" spans="1:2" s="1594" customFormat="1">
      <c r="A39" s="1592" t="s">
        <v>1239</v>
      </c>
      <c r="B39" s="1593" t="str">
        <f>'预评函-2'!D21</f>
        <v>——</v>
      </c>
    </row>
    <row r="40" spans="1:2" s="1594" customFormat="1">
      <c r="A40" s="1592" t="s">
        <v>1240</v>
      </c>
      <c r="B40" s="1593" t="e">
        <f>'预评函-2'!D20</f>
        <v>#VALUE!</v>
      </c>
    </row>
    <row r="41" spans="1:2" s="1594" customFormat="1">
      <c r="A41" s="1592" t="s">
        <v>1286</v>
      </c>
      <c r="B41" s="1593" t="str">
        <f>'预评函-3'!A4</f>
        <v>北京市房地产</v>
      </c>
    </row>
    <row r="42" spans="1:2" s="1594" customFormat="1">
      <c r="A42" s="1592" t="s">
        <v>1284</v>
      </c>
      <c r="B42" s="1593" t="str">
        <f>'预评函-3'!B2</f>
        <v>建筑面积</v>
      </c>
    </row>
    <row r="43" spans="1:2" s="1594" customFormat="1">
      <c r="A43" s="1592" t="s">
        <v>1285</v>
      </c>
      <c r="B43" s="1593">
        <f>'预评函-3'!B4</f>
        <v>66657.509999999995</v>
      </c>
    </row>
    <row r="44" spans="1:2" s="1594" customFormat="1">
      <c r="A44" s="1592" t="s">
        <v>1269</v>
      </c>
      <c r="B44" s="1593" t="str">
        <f>'预评函-3'!C2</f>
        <v>(分摊)土地面积</v>
      </c>
    </row>
    <row r="45" spans="1:2" s="1594" customFormat="1">
      <c r="A45" s="1592" t="s">
        <v>1241</v>
      </c>
      <c r="B45" s="1593">
        <f>'预评函-3'!C4</f>
        <v>21654.11</v>
      </c>
    </row>
    <row r="46" spans="1:2" s="1594" customFormat="1">
      <c r="A46" s="1592" t="s">
        <v>1267</v>
      </c>
      <c r="B46" s="1593" t="str">
        <f>'预评函-3'!D2</f>
        <v>出让国有建设用地使用权价值</v>
      </c>
    </row>
    <row r="47" spans="1:2" s="1594" customFormat="1">
      <c r="A47" s="1592" t="s">
        <v>1242</v>
      </c>
      <c r="B47" s="1593" t="e">
        <f ca="1">'预评函-3'!D4</f>
        <v>#REF!</v>
      </c>
    </row>
    <row r="48" spans="1:2" s="1594" customFormat="1">
      <c r="A48" s="1592" t="s">
        <v>1243</v>
      </c>
      <c r="B48" s="1593" t="e">
        <f ca="1">'预评函-3'!E4</f>
        <v>#REF!</v>
      </c>
    </row>
    <row r="49" spans="1:2" s="1594" customFormat="1">
      <c r="A49" s="1592" t="s">
        <v>1244</v>
      </c>
      <c r="B49" s="1593" t="e">
        <f ca="1">'预评函-3'!D5</f>
        <v>#REF!</v>
      </c>
    </row>
    <row r="50" spans="1:2" s="1594" customFormat="1">
      <c r="A50" s="1592" t="s">
        <v>1268</v>
      </c>
      <c r="B50" s="1593" t="str">
        <f>'预评函-3'!F2</f>
        <v>在建建筑物价值</v>
      </c>
    </row>
    <row r="51" spans="1:2" s="1594" customFormat="1">
      <c r="A51" s="1592" t="s">
        <v>1245</v>
      </c>
      <c r="B51" s="1593" t="e">
        <f ca="1">'预评函-3'!F4</f>
        <v>#REF!</v>
      </c>
    </row>
    <row r="52" spans="1:2" s="1594" customFormat="1">
      <c r="A52" s="1592" t="s">
        <v>1246</v>
      </c>
      <c r="B52" s="1593" t="e">
        <f ca="1">'预评函-3'!G4</f>
        <v>#REF!</v>
      </c>
    </row>
    <row r="53" spans="1:2" s="1594" customFormat="1">
      <c r="A53" s="1592" t="s">
        <v>1274</v>
      </c>
      <c r="B53" s="1593" t="e">
        <f ca="1">'预评函-3'!F5</f>
        <v>#REF!</v>
      </c>
    </row>
    <row r="54" spans="1:2" s="1594" customFormat="1">
      <c r="A54" s="1592" t="s">
        <v>1292</v>
      </c>
      <c r="B54" s="1593" t="str">
        <f>'预评函-3'!A8</f>
        <v/>
      </c>
    </row>
    <row r="55" spans="1:2" s="1594" customFormat="1">
      <c r="A55" s="1592" t="s">
        <v>1275</v>
      </c>
      <c r="B55" s="1593" t="str">
        <f>'预评函-3'!A10</f>
        <v/>
      </c>
    </row>
    <row r="56" spans="1:2" s="1594" customFormat="1">
      <c r="A56" s="1592" t="s">
        <v>1276</v>
      </c>
      <c r="B56" s="1593" t="str">
        <f>'预评函-3'!A12</f>
        <v/>
      </c>
    </row>
    <row r="57" spans="1:2" s="1588" customFormat="1" ht="15" thickBot="1">
      <c r="A57" s="1595" t="s">
        <v>1293</v>
      </c>
      <c r="B57" s="1596" t="str">
        <f>'预评函-3'!A6</f>
        <v/>
      </c>
    </row>
    <row r="58" spans="1:2" s="1591" customFormat="1" ht="15" thickTop="1">
      <c r="A58" s="1589" t="s">
        <v>1247</v>
      </c>
      <c r="B58" s="1590" t="str">
        <f>'预评函-4'!A12</f>
        <v>2.本次评估设定估价对象房地产权属无争议，未被查封或者以其他形式限制其房地产权利，未设定抵押权等他项权利，不涉及第三方权利义务。</v>
      </c>
    </row>
    <row r="59" spans="1:2" s="1594" customFormat="1">
      <c r="A59" s="1592" t="s">
        <v>1248</v>
      </c>
      <c r="B59" s="1593" t="str">
        <f>'预评函-4'!A13</f>
        <v>——</v>
      </c>
    </row>
    <row r="60" spans="1:2" s="1594" customFormat="1">
      <c r="A60" s="1592" t="s">
        <v>1249</v>
      </c>
      <c r="B60" s="1593" t="str">
        <f>'预评函-4'!A14</f>
        <v>——</v>
      </c>
    </row>
    <row r="61" spans="1:2" s="1594" customFormat="1">
      <c r="A61" s="1592" t="s">
        <v>1250</v>
      </c>
      <c r="B61" s="1593" t="str">
        <f>'预评函-4'!A15</f>
        <v>——</v>
      </c>
    </row>
    <row r="62" spans="1:2" s="1594" customFormat="1">
      <c r="A62" s="1592" t="s">
        <v>1251</v>
      </c>
      <c r="B62" s="1593" t="str">
        <f>'预评函-4'!A16</f>
        <v>（2）根据《工程款支付情况说明》，截至价值时点，估价对象不存在应付未付工程款项。（只要没有施工方盖章的，均“设定”进行表述）</v>
      </c>
    </row>
    <row r="63" spans="1:2" s="1594" customFormat="1">
      <c r="A63" s="1592" t="s">
        <v>1252</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1264</v>
      </c>
      <c r="B64" s="1593" t="str">
        <f>'预评函-4'!A18</f>
        <v>——</v>
      </c>
    </row>
    <row r="65" spans="1:2" s="1594" customFormat="1">
      <c r="A65" s="1592" t="s">
        <v>1253</v>
      </c>
      <c r="B65" s="159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1254</v>
      </c>
      <c r="B66" s="1593" t="str">
        <f>'预评函-4'!A20</f>
        <v>——</v>
      </c>
    </row>
    <row r="67" spans="1:2" s="1594" customFormat="1">
      <c r="A67" s="1592" t="s">
        <v>1265</v>
      </c>
      <c r="B67" s="1593" t="str">
        <f>'预评函-4'!A21</f>
        <v>——</v>
      </c>
    </row>
    <row r="68" spans="1:2" s="1594" customFormat="1">
      <c r="A68" s="1592" t="s">
        <v>1266</v>
      </c>
      <c r="B68" s="1593" t="str">
        <f>'预评函-4'!A22</f>
        <v>8.其他需特殊说明事项：无（注意调整序号）</v>
      </c>
    </row>
    <row r="69" spans="1:2" s="1588" customFormat="1" ht="15" thickBot="1">
      <c r="A69" s="1595" t="s">
        <v>1255</v>
      </c>
      <c r="B69" s="1597">
        <f>'预评函-4'!C31</f>
        <v>42551</v>
      </c>
    </row>
    <row r="70" spans="1:2" ht="15" thickTop="1">
      <c r="A70" s="1598" t="s">
        <v>1256</v>
      </c>
      <c r="B70" s="1599" t="str">
        <f>'预评函-4'!A4</f>
        <v>吴薇</v>
      </c>
    </row>
    <row r="71" spans="1:2">
      <c r="A71" s="1592" t="s">
        <v>1257</v>
      </c>
      <c r="B71" s="1593">
        <f ca="1">'预评函-4'!B4</f>
        <v>1419970001</v>
      </c>
    </row>
    <row r="72" spans="1:2">
      <c r="A72" s="1592" t="s">
        <v>1258</v>
      </c>
      <c r="B72" s="1601" t="str">
        <f>'预评函-4'!A5</f>
        <v>郑燚</v>
      </c>
    </row>
    <row r="73" spans="1:2" s="1588" customFormat="1" ht="15" thickBot="1">
      <c r="A73" s="1595" t="s">
        <v>1259</v>
      </c>
      <c r="B73" s="1596">
        <f ca="1">'预评函-4'!B5</f>
        <v>1120070131</v>
      </c>
    </row>
    <row r="74" spans="1:2" ht="15" thickTop="1">
      <c r="A74" s="1585" t="s">
        <v>1295</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1" sqref="X21"/>
    </sheetView>
  </sheetViews>
  <sheetFormatPr defaultColWidth="9"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1686</v>
      </c>
      <c r="C1" s="2007" t="s">
        <v>759</v>
      </c>
      <c r="D1" s="2008" t="s">
        <v>1687</v>
      </c>
      <c r="E1" s="2008" t="s">
        <v>1688</v>
      </c>
      <c r="F1" s="2008" t="s">
        <v>1689</v>
      </c>
      <c r="G1" s="2008" t="s">
        <v>1690</v>
      </c>
      <c r="H1" s="2008" t="s">
        <v>1691</v>
      </c>
      <c r="I1" s="2008" t="s">
        <v>1692</v>
      </c>
      <c r="J1" s="2008" t="s">
        <v>1693</v>
      </c>
      <c r="K1" s="2008" t="s">
        <v>1694</v>
      </c>
      <c r="L1" s="2008" t="s">
        <v>1695</v>
      </c>
      <c r="M1" s="2008" t="s">
        <v>1696</v>
      </c>
      <c r="N1" s="2008" t="s">
        <v>1697</v>
      </c>
      <c r="O1" s="2008" t="s">
        <v>1698</v>
      </c>
      <c r="P1" s="2009" t="s">
        <v>753</v>
      </c>
      <c r="Q1" s="2009" t="s">
        <v>1141</v>
      </c>
      <c r="R1" s="2008" t="s">
        <v>1135</v>
      </c>
      <c r="S1" s="2008" t="s">
        <v>1699</v>
      </c>
      <c r="T1" s="2010" t="s">
        <v>1700</v>
      </c>
      <c r="U1" s="2008" t="s">
        <v>1701</v>
      </c>
      <c r="V1" s="2008" t="s">
        <v>1702</v>
      </c>
      <c r="W1" s="2008" t="s">
        <v>755</v>
      </c>
    </row>
    <row r="2" spans="1:23">
      <c r="A2" s="2012" t="s">
        <v>22</v>
      </c>
      <c r="B2" s="2012" t="s">
        <v>1703</v>
      </c>
      <c r="C2" s="2013" t="s">
        <v>760</v>
      </c>
      <c r="D2" s="2014" t="s">
        <v>1704</v>
      </c>
      <c r="E2" s="2014" t="s">
        <v>1705</v>
      </c>
      <c r="F2" s="2014" t="s">
        <v>1706</v>
      </c>
      <c r="G2" s="2014">
        <v>40</v>
      </c>
      <c r="H2" s="2014" t="s">
        <v>1706</v>
      </c>
      <c r="I2" s="2014" t="s">
        <v>1707</v>
      </c>
      <c r="J2" s="2014" t="s">
        <v>1708</v>
      </c>
      <c r="K2" s="2014" t="s">
        <v>1709</v>
      </c>
      <c r="L2" s="2014" t="s">
        <v>1709</v>
      </c>
      <c r="M2" s="2014" t="s">
        <v>1709</v>
      </c>
      <c r="N2" s="2014" t="s">
        <v>1709</v>
      </c>
      <c r="O2" s="2014" t="s">
        <v>1709</v>
      </c>
      <c r="P2" s="2014" t="s">
        <v>1709</v>
      </c>
      <c r="Q2" s="2014" t="s">
        <v>1709</v>
      </c>
      <c r="R2" s="2014" t="s">
        <v>1137</v>
      </c>
      <c r="S2" s="2014" t="s">
        <v>1709</v>
      </c>
      <c r="T2" s="2014" t="s">
        <v>1710</v>
      </c>
      <c r="U2" s="2014" t="s">
        <v>1709</v>
      </c>
      <c r="V2" s="2014" t="s">
        <v>1711</v>
      </c>
      <c r="W2" s="2014" t="s">
        <v>1709</v>
      </c>
    </row>
    <row r="3" spans="1:23">
      <c r="A3" s="2012" t="s">
        <v>1712</v>
      </c>
      <c r="B3" s="2015" t="s">
        <v>1142</v>
      </c>
      <c r="C3" s="2016" t="s">
        <v>761</v>
      </c>
      <c r="D3" s="2014" t="s">
        <v>1713</v>
      </c>
      <c r="E3" s="2014" t="s">
        <v>16</v>
      </c>
      <c r="F3" s="2014" t="s">
        <v>1714</v>
      </c>
      <c r="G3" s="2014">
        <v>50</v>
      </c>
      <c r="H3" s="2014" t="s">
        <v>1714</v>
      </c>
      <c r="I3" s="2014" t="s">
        <v>1715</v>
      </c>
      <c r="J3" s="2014" t="s">
        <v>1716</v>
      </c>
      <c r="K3" s="2014" t="s">
        <v>1717</v>
      </c>
      <c r="L3" s="2014" t="s">
        <v>1717</v>
      </c>
      <c r="M3" s="2014" t="s">
        <v>1717</v>
      </c>
      <c r="N3" s="2014" t="s">
        <v>1717</v>
      </c>
      <c r="O3" s="2014" t="s">
        <v>1717</v>
      </c>
      <c r="P3" s="2014" t="s">
        <v>1717</v>
      </c>
      <c r="Q3" s="2014" t="s">
        <v>1717</v>
      </c>
      <c r="R3" s="2014" t="s">
        <v>1136</v>
      </c>
      <c r="S3" s="2014" t="s">
        <v>1717</v>
      </c>
      <c r="T3" s="2014" t="s">
        <v>1718</v>
      </c>
      <c r="U3" s="2014" t="s">
        <v>1717</v>
      </c>
      <c r="V3" s="2014" t="s">
        <v>1719</v>
      </c>
      <c r="W3" s="2014" t="s">
        <v>1717</v>
      </c>
    </row>
    <row r="4" spans="1:23">
      <c r="A4" s="2012" t="s">
        <v>1720</v>
      </c>
      <c r="B4" s="2012" t="s">
        <v>1721</v>
      </c>
      <c r="C4" s="2013" t="s">
        <v>762</v>
      </c>
      <c r="D4" s="2014" t="s">
        <v>865</v>
      </c>
      <c r="E4" s="2014" t="s">
        <v>1722</v>
      </c>
      <c r="F4" s="2014" t="s">
        <v>1723</v>
      </c>
      <c r="G4" s="2014">
        <v>70</v>
      </c>
      <c r="H4" s="2014" t="s">
        <v>1723</v>
      </c>
      <c r="I4" s="2014" t="s">
        <v>1724</v>
      </c>
      <c r="K4" s="2014" t="s">
        <v>1725</v>
      </c>
      <c r="L4" s="2014" t="s">
        <v>1725</v>
      </c>
      <c r="M4" s="2014" t="s">
        <v>1725</v>
      </c>
      <c r="N4" s="2014" t="s">
        <v>1725</v>
      </c>
      <c r="O4" s="2014" t="s">
        <v>1725</v>
      </c>
      <c r="P4" s="2014" t="s">
        <v>1725</v>
      </c>
      <c r="Q4" s="2014" t="s">
        <v>1725</v>
      </c>
      <c r="R4" s="2014" t="s">
        <v>1138</v>
      </c>
      <c r="S4" s="2014" t="s">
        <v>1725</v>
      </c>
      <c r="T4" s="2014" t="s">
        <v>1726</v>
      </c>
      <c r="U4" s="2014" t="s">
        <v>1725</v>
      </c>
      <c r="W4" s="2014" t="s">
        <v>1725</v>
      </c>
    </row>
    <row r="5" spans="1:23">
      <c r="A5" s="2012" t="s">
        <v>1727</v>
      </c>
      <c r="B5" s="2012" t="s">
        <v>1728</v>
      </c>
      <c r="C5" s="2013" t="s">
        <v>763</v>
      </c>
      <c r="F5" s="2014" t="s">
        <v>1729</v>
      </c>
      <c r="H5" s="2014" t="s">
        <v>1730</v>
      </c>
      <c r="I5" s="2014" t="s">
        <v>1731</v>
      </c>
      <c r="K5" s="2014" t="s">
        <v>1732</v>
      </c>
      <c r="L5" s="2014" t="s">
        <v>1732</v>
      </c>
      <c r="M5" s="2014" t="s">
        <v>1732</v>
      </c>
      <c r="N5" s="2014" t="s">
        <v>1732</v>
      </c>
      <c r="O5" s="2014" t="s">
        <v>1732</v>
      </c>
      <c r="P5" s="2014" t="s">
        <v>1732</v>
      </c>
      <c r="Q5" s="2014" t="s">
        <v>1732</v>
      </c>
      <c r="R5" s="2014" t="s">
        <v>1139</v>
      </c>
      <c r="S5" s="2014" t="s">
        <v>1732</v>
      </c>
      <c r="T5" s="2014" t="s">
        <v>1733</v>
      </c>
      <c r="U5" s="2014" t="s">
        <v>1732</v>
      </c>
      <c r="W5" s="2014" t="s">
        <v>1732</v>
      </c>
    </row>
    <row r="6" spans="1:23">
      <c r="A6" s="2012" t="s">
        <v>1734</v>
      </c>
      <c r="B6" s="2015" t="s">
        <v>1143</v>
      </c>
      <c r="C6" s="2018" t="s">
        <v>30</v>
      </c>
      <c r="F6" s="2014" t="s">
        <v>1730</v>
      </c>
      <c r="H6" s="2014" t="s">
        <v>1735</v>
      </c>
      <c r="I6" s="2014" t="s">
        <v>1736</v>
      </c>
      <c r="K6" s="2014" t="s">
        <v>1737</v>
      </c>
      <c r="L6" s="2014" t="s">
        <v>1737</v>
      </c>
      <c r="M6" s="2014" t="s">
        <v>1737</v>
      </c>
      <c r="N6" s="2014" t="s">
        <v>1737</v>
      </c>
      <c r="O6" s="2014" t="s">
        <v>1737</v>
      </c>
      <c r="P6" s="2014" t="s">
        <v>1737</v>
      </c>
      <c r="Q6" s="2014" t="s">
        <v>1737</v>
      </c>
      <c r="R6" s="2014" t="s">
        <v>1140</v>
      </c>
      <c r="S6" s="2014" t="s">
        <v>1737</v>
      </c>
      <c r="T6" s="2014"/>
      <c r="U6" s="2014" t="s">
        <v>1737</v>
      </c>
      <c r="W6" s="2014" t="s">
        <v>1737</v>
      </c>
    </row>
    <row r="7" spans="1:23">
      <c r="A7" s="2012" t="s">
        <v>1738</v>
      </c>
      <c r="B7" s="2015" t="s">
        <v>1144</v>
      </c>
      <c r="C7" s="2013" t="s">
        <v>31</v>
      </c>
      <c r="F7" s="2014" t="s">
        <v>1739</v>
      </c>
      <c r="H7" s="2014" t="s">
        <v>1740</v>
      </c>
      <c r="I7" s="2014" t="s">
        <v>1741</v>
      </c>
    </row>
    <row r="8" spans="1:23">
      <c r="A8" s="2012" t="s">
        <v>1742</v>
      </c>
      <c r="B8" s="2012" t="s">
        <v>1743</v>
      </c>
      <c r="C8" s="2013" t="s">
        <v>764</v>
      </c>
      <c r="F8" s="2014" t="s">
        <v>1744</v>
      </c>
      <c r="H8" s="2014"/>
      <c r="I8" s="2014" t="s">
        <v>1745</v>
      </c>
    </row>
    <row r="9" spans="1:23">
      <c r="A9" s="2012" t="s">
        <v>1746</v>
      </c>
      <c r="B9" s="2012" t="s">
        <v>1747</v>
      </c>
      <c r="C9" s="2013" t="s">
        <v>765</v>
      </c>
      <c r="F9" s="2014" t="s">
        <v>1748</v>
      </c>
      <c r="H9" s="2014"/>
    </row>
    <row r="10" spans="1:23">
      <c r="A10" s="2012" t="s">
        <v>1749</v>
      </c>
      <c r="B10" s="2012" t="s">
        <v>1750</v>
      </c>
      <c r="C10" s="2013" t="s">
        <v>766</v>
      </c>
      <c r="F10" s="2014" t="s">
        <v>16</v>
      </c>
    </row>
    <row r="11" spans="1:23">
      <c r="A11" s="2012" t="s">
        <v>1751</v>
      </c>
      <c r="B11" s="2012" t="s">
        <v>1752</v>
      </c>
      <c r="C11" s="2013" t="s">
        <v>767</v>
      </c>
    </row>
    <row r="12" spans="1:23">
      <c r="A12" s="2012" t="s">
        <v>1753</v>
      </c>
      <c r="B12" s="2012" t="s">
        <v>1754</v>
      </c>
      <c r="C12" s="2013" t="s">
        <v>768</v>
      </c>
    </row>
    <row r="13" spans="1:23">
      <c r="A13" s="2012" t="s">
        <v>1755</v>
      </c>
      <c r="B13" s="2012" t="s">
        <v>1756</v>
      </c>
      <c r="C13" s="2013" t="s">
        <v>769</v>
      </c>
    </row>
    <row r="14" spans="1:23">
      <c r="A14" s="2012" t="s">
        <v>1757</v>
      </c>
      <c r="B14" s="2012" t="s">
        <v>1758</v>
      </c>
      <c r="C14" s="2014" t="s">
        <v>16</v>
      </c>
    </row>
    <row r="15" spans="1:23">
      <c r="A15" s="2012" t="s">
        <v>1759</v>
      </c>
      <c r="B15" s="2012" t="s">
        <v>1760</v>
      </c>
      <c r="C15" s="2013"/>
    </row>
    <row r="16" spans="1:23">
      <c r="A16" s="2012" t="s">
        <v>1761</v>
      </c>
      <c r="B16" s="2012" t="s">
        <v>756</v>
      </c>
      <c r="C16" s="2013"/>
    </row>
    <row r="17" spans="1:3">
      <c r="A17" s="2012" t="s">
        <v>1762</v>
      </c>
      <c r="B17" s="2012" t="s">
        <v>3070</v>
      </c>
      <c r="C17" s="2013"/>
    </row>
    <row r="18" spans="1:3">
      <c r="A18" s="2012" t="s">
        <v>1763</v>
      </c>
      <c r="B18" s="2012" t="s">
        <v>3157</v>
      </c>
      <c r="C18" s="2013"/>
    </row>
    <row r="19" spans="1:3">
      <c r="A19" s="2012" t="s">
        <v>1764</v>
      </c>
      <c r="B19" s="2012" t="s">
        <v>3312</v>
      </c>
      <c r="C19" s="2013"/>
    </row>
    <row r="20" spans="1:3">
      <c r="A20" s="2012" t="s">
        <v>1765</v>
      </c>
      <c r="B20" s="2012" t="s">
        <v>3317</v>
      </c>
      <c r="C20" s="2013"/>
    </row>
    <row r="21" spans="1:3">
      <c r="A21" s="2012" t="s">
        <v>1766</v>
      </c>
      <c r="B21" s="2012" t="s">
        <v>757</v>
      </c>
      <c r="C21" s="2013"/>
    </row>
    <row r="22" spans="1:3">
      <c r="A22" s="2012" t="s">
        <v>1767</v>
      </c>
      <c r="B22" s="2012" t="s">
        <v>757</v>
      </c>
      <c r="C22" s="2013"/>
    </row>
    <row r="23" spans="1:3">
      <c r="A23" s="2012" t="s">
        <v>1768</v>
      </c>
      <c r="B23" s="2012" t="s">
        <v>757</v>
      </c>
      <c r="C23" s="2013"/>
    </row>
    <row r="24" spans="1:3">
      <c r="A24" s="2012" t="s">
        <v>1769</v>
      </c>
      <c r="B24" s="2012" t="s">
        <v>757</v>
      </c>
      <c r="C24" s="2013"/>
    </row>
    <row r="25" spans="1:3">
      <c r="A25" s="2012" t="s">
        <v>1770</v>
      </c>
      <c r="B25" s="2012" t="s">
        <v>757</v>
      </c>
      <c r="C25" s="2013"/>
    </row>
    <row r="26" spans="1:3">
      <c r="A26" s="2012" t="s">
        <v>1771</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79"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79"/>
      <c r="B54" s="2020" t="s">
        <v>861</v>
      </c>
      <c r="C54" s="2017" t="s">
        <v>1277</v>
      </c>
    </row>
    <row r="55" spans="1:4">
      <c r="A55" s="3079"/>
      <c r="B55" s="2020" t="s">
        <v>862</v>
      </c>
      <c r="C55" s="2017" t="s">
        <v>1278</v>
      </c>
    </row>
    <row r="56" spans="1:4">
      <c r="A56" s="3079"/>
      <c r="B56" s="2020" t="s">
        <v>863</v>
      </c>
      <c r="C56" s="2017" t="s">
        <v>1282</v>
      </c>
    </row>
    <row r="57" spans="1:4">
      <c r="A57" s="3079"/>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4" sqref="H24"/>
    </sheetView>
  </sheetViews>
  <sheetFormatPr defaultColWidth="10" defaultRowHeight="18" customHeight="1"/>
  <cols>
    <col min="1" max="1" width="14.875" style="2030" customWidth="1"/>
    <col min="2" max="2" width="10" style="2030" customWidth="1"/>
    <col min="3" max="3" width="11.5" style="2030" customWidth="1"/>
    <col min="4" max="4" width="11.625" style="2030" customWidth="1"/>
    <col min="5"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1772</v>
      </c>
      <c r="B1" s="3080" t="str">
        <f>IF(B10="北京市","北京市",C10)&amp;F10&amp;IF(结果表!G1="在建","出让国有建设用地使用权及在建建筑物",IF(结果表!G1="土地","出让国有建设用地使用权",))&amp;B9&amp;"预评估"</f>
        <v>北京市房地产市场价值预评估</v>
      </c>
      <c r="C1" s="3081"/>
      <c r="D1" s="3081"/>
      <c r="E1" s="3081"/>
      <c r="F1" s="3081"/>
      <c r="G1" s="3081"/>
      <c r="H1" s="3081"/>
      <c r="I1" s="3082"/>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24" t="s">
        <v>1773</v>
      </c>
      <c r="B2" s="1040"/>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北京市房地产</v>
      </c>
    </row>
    <row r="3" spans="1:19" ht="18" customHeight="1">
      <c r="A3" s="2033" t="s">
        <v>1774</v>
      </c>
      <c r="B3" s="2034"/>
      <c r="C3" s="2035" t="s">
        <v>1775</v>
      </c>
      <c r="D3" s="2034">
        <v>43570</v>
      </c>
      <c r="E3" s="2024"/>
      <c r="F3" s="2024"/>
      <c r="G3" s="2024"/>
      <c r="H3" s="2024"/>
      <c r="I3" s="2024"/>
      <c r="J3" s="2024"/>
      <c r="K3" s="2025"/>
      <c r="L3" s="2026"/>
      <c r="M3" s="2026"/>
      <c r="N3" s="2027"/>
      <c r="O3" s="2028"/>
      <c r="P3" s="2027"/>
      <c r="Q3" s="2027"/>
      <c r="R3" s="2027"/>
      <c r="S3" s="2029"/>
    </row>
    <row r="4" spans="1:19" ht="18" customHeight="1" thickBot="1">
      <c r="A4" s="2036" t="s">
        <v>1776</v>
      </c>
      <c r="B4" s="2037" t="s">
        <v>3150</v>
      </c>
      <c r="C4" s="1038">
        <f ca="1">SUMIF(注册房地产估价师,B4,估价师及机构信息!B3:B24)</f>
        <v>1419970001</v>
      </c>
      <c r="D4" s="2037" t="s">
        <v>3151</v>
      </c>
      <c r="E4" s="1039">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吴薇（注册号：1419970001)、郑燚（注册号：1120070131)</v>
      </c>
      <c r="L4" s="2026"/>
      <c r="M4" s="2026"/>
      <c r="N4" s="2027"/>
      <c r="O4" s="2028"/>
      <c r="P4" s="2027"/>
      <c r="Q4" s="2027"/>
      <c r="R4" s="2027"/>
      <c r="S4" s="2029"/>
    </row>
    <row r="5" spans="1:19" ht="18" customHeight="1" thickTop="1">
      <c r="A5" s="2042" t="s">
        <v>1777</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1778</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1779</v>
      </c>
      <c r="B7" s="2051"/>
      <c r="C7" s="2048"/>
      <c r="D7" s="2049"/>
      <c r="E7" s="2032"/>
      <c r="F7" s="2040"/>
      <c r="G7" s="2040"/>
      <c r="H7" s="2040"/>
      <c r="I7" s="2040"/>
      <c r="J7" s="2040"/>
      <c r="K7" s="2052"/>
      <c r="L7" s="2026"/>
      <c r="M7" s="2026"/>
      <c r="N7" s="2027"/>
      <c r="O7" s="2028"/>
      <c r="P7" s="2027"/>
      <c r="Q7" s="2027"/>
      <c r="R7" s="2027"/>
    </row>
    <row r="8" spans="1:19" ht="18" customHeight="1">
      <c r="A8" s="2046" t="s">
        <v>1780</v>
      </c>
      <c r="B8" s="2053" t="s">
        <v>3053</v>
      </c>
      <c r="C8" s="2054"/>
      <c r="D8" s="3083" t="s">
        <v>1781</v>
      </c>
      <c r="E8" s="2055"/>
      <c r="F8" s="2056"/>
      <c r="G8" s="2024"/>
      <c r="H8" s="2024"/>
      <c r="I8" s="2024"/>
      <c r="J8" s="2040"/>
      <c r="K8" s="2041"/>
      <c r="L8" s="2026"/>
      <c r="M8" s="2026"/>
      <c r="N8" s="2027"/>
      <c r="O8" s="2028"/>
      <c r="P8" s="2027"/>
      <c r="Q8" s="2027"/>
      <c r="R8" s="2027"/>
    </row>
    <row r="9" spans="1:19" ht="18" customHeight="1" thickBot="1">
      <c r="A9" s="2038" t="s">
        <v>1782</v>
      </c>
      <c r="B9" s="2057" t="s">
        <v>3054</v>
      </c>
      <c r="C9" s="2058"/>
      <c r="D9" s="3084"/>
      <c r="E9" s="2057"/>
      <c r="F9" s="2059"/>
      <c r="G9" s="2060"/>
      <c r="H9" s="2060"/>
      <c r="I9" s="2060"/>
      <c r="J9" s="2040"/>
      <c r="K9" s="2052"/>
      <c r="L9" s="2026"/>
      <c r="M9" s="2026"/>
      <c r="N9" s="2027"/>
      <c r="O9" s="2028"/>
      <c r="P9" s="2027"/>
      <c r="Q9" s="2027"/>
      <c r="R9" s="2027"/>
    </row>
    <row r="10" spans="1:19" ht="18" customHeight="1" thickTop="1">
      <c r="A10" s="2061" t="s">
        <v>1783</v>
      </c>
      <c r="B10" s="2062" t="s">
        <v>3052</v>
      </c>
      <c r="C10" s="2063"/>
      <c r="D10" s="2045"/>
      <c r="E10" s="2064" t="s">
        <v>1784</v>
      </c>
      <c r="F10" s="2065"/>
      <c r="G10" s="2066"/>
      <c r="H10" s="2067"/>
      <c r="I10" s="2045"/>
      <c r="J10" s="2040"/>
      <c r="K10" s="2052"/>
      <c r="L10" s="2026"/>
      <c r="M10" s="2026"/>
      <c r="N10" s="2027"/>
      <c r="O10" s="2028"/>
      <c r="P10" s="2027"/>
      <c r="Q10" s="2027"/>
      <c r="R10" s="2027"/>
    </row>
    <row r="11" spans="1:19" ht="18" customHeight="1">
      <c r="A11" s="2068" t="s">
        <v>1785</v>
      </c>
      <c r="B11" s="2069" t="s">
        <v>3051</v>
      </c>
      <c r="C11" s="2070"/>
      <c r="D11" s="2071"/>
      <c r="E11" s="2040"/>
      <c r="F11" s="2040"/>
      <c r="G11" s="2040"/>
      <c r="H11" s="2040"/>
      <c r="I11" s="2040"/>
      <c r="J11" s="2040"/>
      <c r="K11" s="2052"/>
      <c r="L11" s="2026"/>
      <c r="M11" s="2026"/>
      <c r="N11" s="2027"/>
      <c r="O11" s="2028"/>
      <c r="P11" s="2027"/>
      <c r="Q11" s="2027"/>
      <c r="R11" s="2027"/>
    </row>
    <row r="12" spans="1:19" ht="18" customHeight="1">
      <c r="A12" s="2072" t="s">
        <v>1786</v>
      </c>
      <c r="B12" s="2069" t="s">
        <v>3050</v>
      </c>
      <c r="C12" s="2073" t="s">
        <v>1787</v>
      </c>
      <c r="D12" s="2074" t="s">
        <v>1788</v>
      </c>
      <c r="E12" s="2074" t="s">
        <v>1789</v>
      </c>
      <c r="F12" s="2074" t="s">
        <v>1790</v>
      </c>
      <c r="G12" s="2074" t="s">
        <v>1791</v>
      </c>
      <c r="H12" s="2074" t="s">
        <v>1792</v>
      </c>
      <c r="I12" s="2074" t="s">
        <v>1793</v>
      </c>
      <c r="J12" s="2040"/>
      <c r="K12" s="2052"/>
      <c r="L12" s="2026"/>
      <c r="M12" s="2026"/>
      <c r="N12" s="2027"/>
      <c r="O12" s="2028"/>
      <c r="P12" s="2027"/>
      <c r="Q12" s="2027"/>
      <c r="R12" s="2027"/>
    </row>
    <row r="13" spans="1:19" ht="18" customHeight="1">
      <c r="A13" s="2075"/>
      <c r="B13" s="2076"/>
      <c r="C13" s="2077" t="s">
        <v>1794</v>
      </c>
      <c r="D13" s="2078"/>
      <c r="E13" s="2078">
        <v>56227</v>
      </c>
      <c r="F13" s="2078">
        <v>59879</v>
      </c>
      <c r="G13" s="2078"/>
      <c r="H13" s="2078"/>
      <c r="I13" s="1048"/>
      <c r="J13" s="2040"/>
      <c r="K13" s="2052"/>
      <c r="L13" s="2026"/>
      <c r="M13" s="2026"/>
      <c r="N13" s="2027"/>
      <c r="O13" s="2028"/>
      <c r="P13" s="2027"/>
      <c r="Q13" s="2027"/>
      <c r="R13" s="2027"/>
    </row>
    <row r="14" spans="1:19" ht="18" customHeight="1">
      <c r="A14" s="2075"/>
      <c r="B14" s="2076"/>
      <c r="C14" s="2077" t="s">
        <v>1795</v>
      </c>
      <c r="D14" s="1051"/>
      <c r="E14" s="1051">
        <v>40</v>
      </c>
      <c r="F14" s="1051">
        <v>50</v>
      </c>
      <c r="G14" s="1051"/>
      <c r="H14" s="1051"/>
      <c r="I14" s="1051"/>
      <c r="J14" s="2040"/>
      <c r="K14" s="2079"/>
      <c r="L14" s="2026"/>
      <c r="M14" s="2026"/>
      <c r="N14" s="2027"/>
      <c r="O14" s="2028"/>
      <c r="P14" s="2027"/>
      <c r="Q14" s="2027"/>
      <c r="R14" s="2027"/>
    </row>
    <row r="15" spans="1:19" ht="18" customHeight="1">
      <c r="A15" s="2061"/>
      <c r="B15" s="2080"/>
      <c r="C15" s="2077" t="s">
        <v>1796</v>
      </c>
      <c r="D15" s="1050" t="str">
        <f>IF(B12="出让",IF(D13="","",ROUNDDOWN(MIN((D13-$D$3)/365,D14),2)),D14)</f>
        <v/>
      </c>
      <c r="E15" s="1050">
        <f>IF(B12="出让",IF(E13="","",ROUNDDOWN(MIN((E13-$D$3)/365,E14),2)),E14)</f>
        <v>34.67</v>
      </c>
      <c r="F15" s="1050">
        <f>IF(B12="出让",IF(F13="","",ROUNDDOWN(MIN((F13-$D$3)/365,F14),2)),F14)</f>
        <v>44.68</v>
      </c>
      <c r="G15" s="1050" t="str">
        <f>IF(B12="出让",IF(G13="","",ROUNDDOWN(MIN((G13-$D$3)/365,G14),2)),G14)</f>
        <v/>
      </c>
      <c r="H15" s="1050" t="str">
        <f>IF(B12="出让",IF(H13="","",ROUNDDOWN(MIN((H13-$D$3)/365,H14),2)),H14)</f>
        <v/>
      </c>
      <c r="I15" s="1050" t="str">
        <f>IF(B12="出让",IF(I13="","",ROUNDDOWN(MIN((I13-$D$3)/365,I14),2)),I14)</f>
        <v/>
      </c>
      <c r="J15" s="2040"/>
      <c r="K15" s="2081"/>
      <c r="L15" s="2082"/>
      <c r="M15" s="2082"/>
      <c r="N15" s="2083"/>
      <c r="O15" s="2082"/>
      <c r="P15" s="2083"/>
      <c r="Q15" s="2027"/>
      <c r="R15" s="2027"/>
    </row>
    <row r="16" spans="1:19" ht="30.75" customHeight="1">
      <c r="A16" s="2064" t="s">
        <v>1797</v>
      </c>
      <c r="B16" s="3090"/>
      <c r="C16" s="3091"/>
      <c r="D16" s="3092"/>
      <c r="E16" s="2084" t="s">
        <v>1798</v>
      </c>
      <c r="F16" s="3093"/>
      <c r="G16" s="3094"/>
      <c r="H16" s="3094"/>
      <c r="I16" s="3095"/>
      <c r="J16" s="2027"/>
      <c r="K16" s="2081"/>
      <c r="L16" s="2082"/>
      <c r="M16" s="2082"/>
      <c r="N16" s="2083"/>
      <c r="O16" s="2082"/>
      <c r="P16" s="2083"/>
      <c r="Q16" s="2027"/>
      <c r="R16" s="2027"/>
    </row>
    <row r="17" spans="1:22" ht="18" customHeight="1">
      <c r="A17" s="2085" t="s">
        <v>1799</v>
      </c>
      <c r="B17" s="2033" t="s">
        <v>1800</v>
      </c>
      <c r="C17" s="1055">
        <f>'数据-汇总表'!E3</f>
        <v>66657.509999999995</v>
      </c>
      <c r="D17" s="2086" t="s">
        <v>1801</v>
      </c>
      <c r="E17" s="3096" t="s">
        <v>1802</v>
      </c>
      <c r="F17" s="3097"/>
      <c r="G17" s="3097"/>
      <c r="H17" s="3097"/>
      <c r="I17" s="3098"/>
      <c r="J17" s="2027"/>
      <c r="K17" s="2087"/>
      <c r="L17" s="2082"/>
      <c r="M17" s="2082"/>
      <c r="N17" s="2083"/>
      <c r="O17" s="2082"/>
      <c r="P17" s="2083"/>
      <c r="Q17" s="2027"/>
      <c r="R17" s="2027"/>
      <c r="S17" s="2027"/>
      <c r="T17" s="2027"/>
      <c r="U17" s="2027"/>
      <c r="V17" s="2027"/>
    </row>
    <row r="18" spans="1:22" ht="36" customHeight="1" thickBot="1">
      <c r="A18" s="2088" t="s">
        <v>1803</v>
      </c>
      <c r="B18" s="2036" t="s">
        <v>1804</v>
      </c>
      <c r="C18" s="1445">
        <f>'数据-汇总表'!D3</f>
        <v>21654.11</v>
      </c>
      <c r="D18" s="2089" t="s">
        <v>1801</v>
      </c>
      <c r="E18" s="3099" t="s">
        <v>1805</v>
      </c>
      <c r="F18" s="3100"/>
      <c r="G18" s="3100"/>
      <c r="H18" s="3100"/>
      <c r="I18" s="3101"/>
      <c r="J18" s="2027"/>
      <c r="K18" s="2087"/>
      <c r="L18" s="2082"/>
      <c r="M18" s="2082"/>
      <c r="N18" s="2083"/>
      <c r="O18" s="2082"/>
      <c r="P18" s="2083"/>
      <c r="Q18" s="2027"/>
      <c r="R18" s="2027"/>
      <c r="S18" s="2027"/>
      <c r="T18" s="2027"/>
      <c r="U18" s="2027"/>
      <c r="V18" s="2027"/>
    </row>
    <row r="19" spans="1:22" ht="37.5" customHeight="1" thickTop="1" thickBot="1">
      <c r="A19" s="373" t="s">
        <v>1806</v>
      </c>
      <c r="B19" s="352" t="s">
        <v>1807</v>
      </c>
      <c r="C19" s="2090"/>
      <c r="D19" s="2091" t="s">
        <v>1808</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1809</v>
      </c>
      <c r="B20" s="3086" t="s">
        <v>1810</v>
      </c>
      <c r="C20" s="3087"/>
      <c r="D20" s="3088" t="s">
        <v>1811</v>
      </c>
      <c r="E20" s="3089"/>
      <c r="F20" s="2096" t="s">
        <v>1812</v>
      </c>
      <c r="G20" s="2040"/>
      <c r="H20" s="2040"/>
      <c r="I20" s="2040"/>
      <c r="J20" s="2040"/>
      <c r="K20" s="3085" t="s">
        <v>1813</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1814</v>
      </c>
      <c r="C21" s="2098" t="s">
        <v>1815</v>
      </c>
      <c r="D21" s="2099" t="s">
        <v>1816</v>
      </c>
      <c r="E21" s="2100" t="s">
        <v>1815</v>
      </c>
      <c r="F21" s="2101"/>
      <c r="G21" s="2040"/>
      <c r="H21" s="2040"/>
      <c r="I21" s="2040"/>
      <c r="J21" s="2040"/>
      <c r="K21" s="3085"/>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1817</v>
      </c>
      <c r="C22" s="2098" t="s">
        <v>1818</v>
      </c>
      <c r="D22" s="2024"/>
      <c r="E22" s="2024"/>
      <c r="F22" s="2103"/>
      <c r="G22" s="2040"/>
      <c r="H22" s="2040"/>
      <c r="I22" s="2040"/>
      <c r="J22" s="2040"/>
      <c r="K22" s="3085"/>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1819</v>
      </c>
      <c r="B23" s="183" t="s">
        <v>1820</v>
      </c>
      <c r="C23" s="2105"/>
      <c r="D23" s="2106" t="s">
        <v>1820</v>
      </c>
      <c r="E23" s="2107"/>
      <c r="F23" s="2103"/>
      <c r="G23" s="2040"/>
      <c r="H23" s="2040"/>
      <c r="I23" s="2040"/>
      <c r="J23" s="2040"/>
      <c r="K23" s="2108"/>
      <c r="L23" s="746"/>
      <c r="M23" s="2026"/>
      <c r="N23" s="2083"/>
      <c r="O23" s="2082"/>
      <c r="P23" s="2083"/>
      <c r="Q23" s="2027"/>
      <c r="R23" s="2027"/>
      <c r="S23" s="2027"/>
      <c r="T23" s="2027"/>
      <c r="U23" s="2027"/>
      <c r="V23" s="2027"/>
    </row>
    <row r="24" spans="1:22" ht="18" customHeight="1">
      <c r="A24" s="2109"/>
      <c r="B24" s="183" t="s">
        <v>1821</v>
      </c>
      <c r="C24" s="2110"/>
      <c r="D24" s="2104" t="s">
        <v>1821</v>
      </c>
      <c r="E24" s="2111"/>
      <c r="F24" s="2103"/>
      <c r="G24" s="2040"/>
      <c r="H24" s="2040"/>
      <c r="I24" s="2040"/>
      <c r="J24" s="2040"/>
      <c r="K24" s="2108"/>
      <c r="L24" s="746"/>
      <c r="M24" s="2026"/>
      <c r="N24" s="2083"/>
      <c r="O24" s="2082"/>
      <c r="P24" s="2083"/>
      <c r="Q24" s="2027"/>
      <c r="R24" s="2027"/>
      <c r="S24" s="2027"/>
      <c r="T24" s="2027"/>
      <c r="U24" s="2027"/>
      <c r="V24" s="2027"/>
    </row>
    <row r="25" spans="1:22" ht="18" customHeight="1">
      <c r="A25" s="2109"/>
      <c r="B25" s="183" t="s">
        <v>1822</v>
      </c>
      <c r="C25" s="2110"/>
      <c r="D25" s="2104" t="s">
        <v>1822</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1823</v>
      </c>
      <c r="C26" s="2114"/>
      <c r="D26" s="2115" t="s">
        <v>1824</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103" t="s">
        <v>1825</v>
      </c>
      <c r="B27" s="2061" t="s">
        <v>1826</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103"/>
      <c r="B28" s="2033" t="s">
        <v>1827</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103"/>
      <c r="B29" s="2033" t="s">
        <v>1828</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104"/>
      <c r="B30" s="2033" t="s">
        <v>1829</v>
      </c>
      <c r="C30" s="3105"/>
      <c r="D30" s="3106"/>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107" t="s">
        <v>1830</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108"/>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108"/>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1831</v>
      </c>
      <c r="B34" s="2132" t="s">
        <v>3083</v>
      </c>
      <c r="C34" s="2132" t="s">
        <v>3084</v>
      </c>
      <c r="D34" s="2132" t="s">
        <v>3085</v>
      </c>
      <c r="E34" s="2132" t="s">
        <v>3086</v>
      </c>
      <c r="F34" s="2132" t="s">
        <v>3087</v>
      </c>
      <c r="G34" s="2132" t="s">
        <v>3088</v>
      </c>
      <c r="H34" s="2132" t="s">
        <v>3089</v>
      </c>
      <c r="I34" s="2040"/>
      <c r="J34" s="2040"/>
      <c r="K34" s="1793">
        <f>COUNTIF(B34:H34,"——")</f>
        <v>0</v>
      </c>
      <c r="L34" s="2073" t="s">
        <v>1832</v>
      </c>
      <c r="M34" s="2073" t="s">
        <v>1833</v>
      </c>
      <c r="N34" s="2073" t="s">
        <v>1834</v>
      </c>
      <c r="O34" s="2073" t="s">
        <v>1835</v>
      </c>
      <c r="P34" s="2073" t="s">
        <v>1836</v>
      </c>
      <c r="Q34" s="2073" t="s">
        <v>1837</v>
      </c>
      <c r="R34" s="2073" t="s">
        <v>1838</v>
      </c>
      <c r="S34" s="3102" t="s">
        <v>1839</v>
      </c>
      <c r="T34" s="2133" t="str">
        <f>NUMBERSTRING(7-K34,1)&amp;"通"</f>
        <v>七通</v>
      </c>
      <c r="U34" s="2027"/>
      <c r="V34" s="2027"/>
    </row>
    <row r="35" spans="1:22" ht="18" customHeight="1">
      <c r="A35" s="2134"/>
      <c r="B35" s="3109" t="s">
        <v>1840</v>
      </c>
      <c r="C35" s="3109"/>
      <c r="D35" s="3109"/>
      <c r="E35" s="3109"/>
      <c r="F35" s="2135">
        <f>C10</f>
        <v>0</v>
      </c>
      <c r="G35" s="2040"/>
      <c r="H35" s="2040"/>
      <c r="I35" s="2040"/>
      <c r="J35" s="2040"/>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102"/>
      <c r="T35" s="48" t="str">
        <f>IF(T34="一通",L35,IF(T34="二通",M35,IF(T34="三通",N35,IF(T34="四通",O35,IF(T34="五通",P35,IF(T34="六通",Q35,R35))))))</f>
        <v>通路、通电、通讯、通上水、通下水、通热、燃气</v>
      </c>
      <c r="U35" s="2027"/>
      <c r="V35" s="2027"/>
    </row>
    <row r="36" spans="1:22" ht="18" customHeight="1">
      <c r="A36" s="2136"/>
      <c r="B36" s="2135" t="s">
        <v>1841</v>
      </c>
      <c r="C36" s="2135" t="s">
        <v>1842</v>
      </c>
      <c r="D36" s="2135" t="s">
        <v>1843</v>
      </c>
      <c r="E36" s="2135" t="s">
        <v>1844</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1845</v>
      </c>
      <c r="B37" s="2139"/>
      <c r="C37" s="2139" t="s">
        <v>528</v>
      </c>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1846</v>
      </c>
      <c r="B38" s="2141"/>
      <c r="C38" s="2141" t="s">
        <v>412</v>
      </c>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1847</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1848</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1849</v>
      </c>
      <c r="B42" s="1793" t="s">
        <v>1850</v>
      </c>
      <c r="C42" s="1793" t="s">
        <v>1851</v>
      </c>
      <c r="D42" s="1793" t="s">
        <v>1852</v>
      </c>
      <c r="E42" s="1793" t="s">
        <v>1853</v>
      </c>
      <c r="F42" s="1793" t="s">
        <v>1854</v>
      </c>
      <c r="G42" s="1793" t="s">
        <v>1855</v>
      </c>
      <c r="H42" s="1793" t="s">
        <v>1856</v>
      </c>
      <c r="I42" s="1793" t="s">
        <v>1857</v>
      </c>
      <c r="J42" s="2151" t="s">
        <v>1858</v>
      </c>
      <c r="K42" s="2074" t="s">
        <v>1859</v>
      </c>
      <c r="L42" s="2074" t="s">
        <v>1860</v>
      </c>
      <c r="M42" s="2074" t="s">
        <v>1861</v>
      </c>
      <c r="N42" s="1793" t="s">
        <v>1862</v>
      </c>
      <c r="O42" s="1793" t="s">
        <v>1863</v>
      </c>
      <c r="P42" s="1793" t="s">
        <v>1864</v>
      </c>
      <c r="Q42" s="2073" t="s">
        <v>1865</v>
      </c>
      <c r="R42" s="2073" t="s">
        <v>1866</v>
      </c>
      <c r="S42" s="2027"/>
      <c r="T42" s="2027"/>
      <c r="U42" s="2027"/>
      <c r="V42" s="2027"/>
    </row>
    <row r="43" spans="1:22" s="2156" customFormat="1" ht="18" customHeight="1">
      <c r="A43" s="2152"/>
      <c r="B43" s="1273"/>
      <c r="C43" s="1273"/>
      <c r="D43" s="1273"/>
      <c r="E43" s="1273"/>
      <c r="F43" s="1273"/>
      <c r="G43" s="1273"/>
      <c r="H43" s="9"/>
      <c r="I43" s="9"/>
      <c r="J43" s="2153"/>
      <c r="K43" s="2154"/>
      <c r="L43" s="2154"/>
      <c r="M43" s="9"/>
      <c r="N43" s="1273"/>
      <c r="O43" s="9"/>
      <c r="P43" s="1273"/>
      <c r="Q43" s="1273"/>
      <c r="R43" s="1273"/>
      <c r="S43" s="2155"/>
      <c r="T43" s="2155"/>
      <c r="U43" s="2155"/>
      <c r="V43" s="2155"/>
    </row>
    <row r="44" spans="1:22" s="2156" customFormat="1" ht="18" customHeight="1">
      <c r="A44" s="2152"/>
      <c r="B44" s="2152"/>
      <c r="C44" s="1273"/>
      <c r="D44" s="1273"/>
      <c r="E44" s="1273"/>
      <c r="F44" s="1273"/>
      <c r="G44" s="1273"/>
      <c r="H44" s="9"/>
      <c r="I44" s="9"/>
      <c r="J44" s="2153"/>
      <c r="K44" s="2154"/>
      <c r="L44" s="2154"/>
      <c r="M44" s="9"/>
      <c r="N44" s="1273"/>
      <c r="O44" s="9"/>
      <c r="P44" s="1273"/>
      <c r="Q44" s="1273"/>
      <c r="R44" s="1273"/>
      <c r="S44" s="2155"/>
      <c r="T44" s="2155"/>
      <c r="U44" s="2155"/>
      <c r="V44" s="2155"/>
    </row>
    <row r="45" spans="1:22" s="2156" customFormat="1" ht="18" customHeight="1">
      <c r="A45" s="2152"/>
      <c r="B45" s="2152"/>
      <c r="C45" s="1273"/>
      <c r="D45" s="1273"/>
      <c r="E45" s="1273"/>
      <c r="F45" s="1273"/>
      <c r="G45" s="1273"/>
      <c r="H45" s="9"/>
      <c r="I45" s="9"/>
      <c r="J45" s="2153"/>
      <c r="K45" s="2154"/>
      <c r="L45" s="2154"/>
      <c r="M45" s="9"/>
      <c r="N45" s="1273"/>
      <c r="O45" s="9"/>
      <c r="P45" s="1273"/>
      <c r="Q45" s="1273"/>
      <c r="R45" s="1273"/>
      <c r="S45" s="2155"/>
      <c r="T45" s="2155"/>
      <c r="U45" s="2155"/>
      <c r="V45" s="2155"/>
    </row>
    <row r="46" spans="1:22" s="2156" customFormat="1" ht="18" customHeight="1">
      <c r="A46" s="2152"/>
      <c r="B46" s="2152"/>
      <c r="C46" s="1273"/>
      <c r="D46" s="1273"/>
      <c r="E46" s="1273"/>
      <c r="F46" s="1273"/>
      <c r="G46" s="1273"/>
      <c r="H46" s="9"/>
      <c r="I46" s="9"/>
      <c r="J46" s="2153"/>
      <c r="K46" s="2154"/>
      <c r="L46" s="2154"/>
      <c r="M46" s="9"/>
      <c r="N46" s="1273"/>
      <c r="O46" s="9"/>
      <c r="P46" s="1273"/>
      <c r="Q46" s="1273"/>
      <c r="R46" s="1273"/>
      <c r="S46" s="2155"/>
      <c r="T46" s="2155"/>
      <c r="U46" s="2155"/>
      <c r="V46" s="2155"/>
    </row>
    <row r="47" spans="1:22" s="2156" customFormat="1" ht="18" customHeight="1">
      <c r="A47" s="2152"/>
      <c r="B47" s="2152"/>
      <c r="C47" s="1273"/>
      <c r="D47" s="1273"/>
      <c r="E47" s="1273"/>
      <c r="F47" s="1273"/>
      <c r="G47" s="1273"/>
      <c r="H47" s="9"/>
      <c r="I47" s="9"/>
      <c r="J47" s="2153"/>
      <c r="K47" s="2154"/>
      <c r="L47" s="2154"/>
      <c r="M47" s="9"/>
      <c r="N47" s="1273"/>
      <c r="O47" s="9"/>
      <c r="P47" s="1273"/>
      <c r="Q47" s="1273"/>
      <c r="R47" s="1273"/>
      <c r="S47" s="2155"/>
      <c r="T47" s="2155"/>
      <c r="U47" s="2155"/>
      <c r="V47" s="2155"/>
    </row>
    <row r="48" spans="1:22" s="2156" customFormat="1" ht="18" customHeight="1">
      <c r="A48" s="2152"/>
      <c r="B48" s="2152"/>
      <c r="C48" s="1273"/>
      <c r="D48" s="1273"/>
      <c r="E48" s="1273"/>
      <c r="F48" s="1273"/>
      <c r="G48" s="1273"/>
      <c r="H48" s="9"/>
      <c r="I48" s="9"/>
      <c r="J48" s="2153"/>
      <c r="K48" s="2154"/>
      <c r="L48" s="2154"/>
      <c r="M48" s="9"/>
      <c r="N48" s="1273"/>
      <c r="O48" s="9"/>
      <c r="P48" s="1273"/>
      <c r="Q48" s="1273"/>
      <c r="R48" s="1273"/>
      <c r="S48" s="2155"/>
      <c r="T48" s="2155"/>
      <c r="U48" s="2155"/>
      <c r="V48" s="2155"/>
    </row>
    <row r="49" spans="1:22" s="2156" customFormat="1" ht="18" customHeight="1">
      <c r="A49" s="2152"/>
      <c r="B49" s="2152"/>
      <c r="C49" s="1273"/>
      <c r="D49" s="1273"/>
      <c r="E49" s="1273"/>
      <c r="F49" s="1273"/>
      <c r="G49" s="1273"/>
      <c r="H49" s="9"/>
      <c r="I49" s="9"/>
      <c r="J49" s="2153"/>
      <c r="K49" s="2154"/>
      <c r="L49" s="2154"/>
      <c r="M49" s="9"/>
      <c r="N49" s="1273"/>
      <c r="O49" s="9"/>
      <c r="P49" s="1273"/>
      <c r="Q49" s="1273"/>
      <c r="R49" s="1273"/>
      <c r="S49" s="2155"/>
      <c r="T49" s="2155"/>
      <c r="U49" s="2155"/>
      <c r="V49" s="2155"/>
    </row>
    <row r="50" spans="1:22" s="2156" customFormat="1" ht="18" customHeight="1">
      <c r="A50" s="2152"/>
      <c r="B50" s="2152"/>
      <c r="C50" s="1273"/>
      <c r="D50" s="1273"/>
      <c r="E50" s="1273"/>
      <c r="F50" s="1273"/>
      <c r="G50" s="1273"/>
      <c r="H50" s="9"/>
      <c r="I50" s="9"/>
      <c r="J50" s="2153"/>
      <c r="K50" s="2154"/>
      <c r="L50" s="2154"/>
      <c r="M50" s="9"/>
      <c r="N50" s="1273"/>
      <c r="O50" s="9"/>
      <c r="P50" s="1273"/>
      <c r="Q50" s="1273"/>
      <c r="R50" s="1273"/>
      <c r="S50" s="2155"/>
      <c r="T50" s="2155"/>
      <c r="U50" s="2155"/>
      <c r="V50" s="2155"/>
    </row>
    <row r="51" spans="1:22" s="2156" customFormat="1" ht="18" customHeight="1">
      <c r="A51" s="2152"/>
      <c r="B51" s="2152"/>
      <c r="C51" s="1273"/>
      <c r="D51" s="1273"/>
      <c r="E51" s="1273"/>
      <c r="F51" s="1273"/>
      <c r="G51" s="1273"/>
      <c r="H51" s="9"/>
      <c r="I51" s="9"/>
      <c r="J51" s="2153"/>
      <c r="K51" s="2154"/>
      <c r="L51" s="2154"/>
      <c r="M51" s="9"/>
      <c r="N51" s="1273"/>
      <c r="O51" s="9"/>
      <c r="P51" s="1273"/>
      <c r="Q51" s="1273"/>
      <c r="R51" s="1273"/>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1867</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1868</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1869</v>
      </c>
      <c r="B2" s="11" t="s">
        <v>1870</v>
      </c>
      <c r="C2" s="11" t="s">
        <v>1871</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0" t="s">
        <v>1872</v>
      </c>
      <c r="AZ2" s="1271" t="s">
        <v>1873</v>
      </c>
      <c r="BA2" s="11" t="s">
        <v>1874</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f>48024.2*G5/147832.12</f>
        <v>21654.114083881093</v>
      </c>
      <c r="B3" s="14">
        <f>IF(C3="否",G5-AT5,G5)</f>
        <v>66657.509999999995</v>
      </c>
      <c r="C3" s="2167" t="s">
        <v>1875</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2"/>
      <c r="AZ3" s="1273"/>
      <c r="BA3" s="1274"/>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1876</v>
      </c>
      <c r="B5" s="1801"/>
      <c r="C5" s="1801"/>
      <c r="D5" s="1804"/>
      <c r="E5" s="16" t="s">
        <v>1</v>
      </c>
      <c r="F5" s="16">
        <f>SUM(F13:F587)</f>
        <v>0</v>
      </c>
      <c r="G5" s="16">
        <f>SUM(G13:G587)</f>
        <v>66657.509999999995</v>
      </c>
      <c r="H5" s="16">
        <f t="shared" ref="H5:AT5" si="0">SUM(H13:H656)</f>
        <v>66657.509999999995</v>
      </c>
      <c r="I5" s="16">
        <f t="shared" si="0"/>
        <v>18643.309999999998</v>
      </c>
      <c r="J5" s="16">
        <f t="shared" si="0"/>
        <v>0</v>
      </c>
      <c r="K5" s="16">
        <f t="shared" si="0"/>
        <v>31807.97</v>
      </c>
      <c r="L5" s="16">
        <f t="shared" si="0"/>
        <v>0</v>
      </c>
      <c r="M5" s="16">
        <f t="shared" si="0"/>
        <v>16206.23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1876</v>
      </c>
      <c r="AW5" s="1801"/>
      <c r="AX5" s="1801"/>
      <c r="AY5" s="17" t="s">
        <v>3</v>
      </c>
      <c r="AZ5" s="18">
        <f t="shared" ref="AZ5:BT5" si="1">SUM(AZ13:AZ656)</f>
        <v>66657.509999999995</v>
      </c>
      <c r="BA5" s="18">
        <f t="shared" si="1"/>
        <v>66657.509999999995</v>
      </c>
      <c r="BB5" s="18">
        <f t="shared" si="1"/>
        <v>18643.309999999998</v>
      </c>
      <c r="BC5" s="18">
        <f t="shared" si="1"/>
        <v>31807.97</v>
      </c>
      <c r="BD5" s="18">
        <f t="shared" si="1"/>
        <v>16206.23</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1877</v>
      </c>
      <c r="B6" s="2173"/>
      <c r="C6" s="2173"/>
      <c r="D6" s="2174"/>
      <c r="E6" s="16">
        <f>H6+AC6+AT6</f>
        <v>21654.12</v>
      </c>
      <c r="F6" s="16" t="s">
        <v>1</v>
      </c>
      <c r="G6" s="16" t="s">
        <v>2</v>
      </c>
      <c r="H6" s="20">
        <f>SUMIF(I$12:AB$12,"总值",I6:AB6)</f>
        <v>21654.12</v>
      </c>
      <c r="I6" s="16">
        <f t="shared" ref="I6:AB6" si="2">ROUND($A$3*I5/$B$3,2)</f>
        <v>6056.4</v>
      </c>
      <c r="J6" s="16">
        <f t="shared" si="2"/>
        <v>0</v>
      </c>
      <c r="K6" s="16">
        <f t="shared" si="2"/>
        <v>10333.02</v>
      </c>
      <c r="L6" s="16">
        <f t="shared" si="2"/>
        <v>0</v>
      </c>
      <c r="M6" s="16">
        <f t="shared" si="2"/>
        <v>5264.7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1877</v>
      </c>
      <c r="AW6" s="2173"/>
      <c r="AX6" s="2173"/>
      <c r="AY6" s="21">
        <f>IF(AY3&gt;0,AY3,ROUND($A$3*AZ5/$B$3,2))</f>
        <v>21654.11</v>
      </c>
      <c r="AZ6" s="16" t="s">
        <v>3</v>
      </c>
      <c r="BA6" s="16">
        <f>ROUND($AY$6*BA5/$AZ$5,2)</f>
        <v>21654.11</v>
      </c>
      <c r="BB6" s="16">
        <f>ROUND($AY$6*BB5/$AZ$5,2)</f>
        <v>6056.4</v>
      </c>
      <c r="BC6" s="16">
        <f t="shared" ref="BC6:BH6" si="4">ROUND($AY$6*BC5/$AZ$5,2)</f>
        <v>10333.02</v>
      </c>
      <c r="BD6" s="16">
        <f t="shared" si="4"/>
        <v>5264.7</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1878</v>
      </c>
      <c r="B7" s="2108" t="s">
        <v>1879</v>
      </c>
      <c r="C7" s="2108" t="s">
        <v>1880</v>
      </c>
      <c r="D7" s="2108" t="s">
        <v>1881</v>
      </c>
      <c r="E7" s="2108" t="s">
        <v>1882</v>
      </c>
      <c r="F7" s="2108" t="s">
        <v>1883</v>
      </c>
      <c r="G7" s="2177" t="s">
        <v>1884</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4"/>
      <c r="AU7" s="2178" t="s">
        <v>1885</v>
      </c>
      <c r="AV7" s="23" t="s">
        <v>1886</v>
      </c>
      <c r="AW7" s="2165" t="s">
        <v>1887</v>
      </c>
      <c r="AX7" s="23" t="s">
        <v>1880</v>
      </c>
      <c r="AY7" s="1801" t="s">
        <v>1888</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1889</v>
      </c>
      <c r="H8" s="2183" t="s">
        <v>1890</v>
      </c>
      <c r="I8" s="2184"/>
      <c r="J8" s="1816"/>
      <c r="K8" s="1816"/>
      <c r="L8" s="1816"/>
      <c r="M8" s="1816"/>
      <c r="N8" s="1816"/>
      <c r="O8" s="1816"/>
      <c r="P8" s="1816"/>
      <c r="Q8" s="1816"/>
      <c r="R8" s="1816"/>
      <c r="S8" s="1816"/>
      <c r="T8" s="1816"/>
      <c r="U8" s="1816"/>
      <c r="V8" s="2185"/>
      <c r="W8" s="1816"/>
      <c r="X8" s="1816"/>
      <c r="Y8" s="1816"/>
      <c r="Z8" s="1816"/>
      <c r="AA8" s="2185"/>
      <c r="AB8" s="2186"/>
      <c r="AC8" s="982" t="s">
        <v>1891</v>
      </c>
      <c r="AD8" s="2187"/>
      <c r="AE8" s="2179"/>
      <c r="AF8" s="1816"/>
      <c r="AG8" s="1816"/>
      <c r="AH8" s="1816"/>
      <c r="AI8" s="1816"/>
      <c r="AJ8" s="1816"/>
      <c r="AK8" s="1816"/>
      <c r="AL8" s="1816"/>
      <c r="AM8" s="1816"/>
      <c r="AN8" s="1816"/>
      <c r="AO8" s="1816"/>
      <c r="AP8" s="1816"/>
      <c r="AQ8" s="1816"/>
      <c r="AR8" s="1816"/>
      <c r="AS8" s="1816"/>
      <c r="AT8" s="1293" t="s">
        <v>1892</v>
      </c>
      <c r="AU8" s="2181" t="s">
        <v>1893</v>
      </c>
      <c r="AV8" s="1293"/>
      <c r="AW8" s="2164"/>
      <c r="AX8" s="1293"/>
      <c r="AY8" s="2165" t="s">
        <v>1894</v>
      </c>
      <c r="AZ8" s="1815" t="s">
        <v>1895</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8" customFormat="1" ht="12.75">
      <c r="A9" s="2181"/>
      <c r="B9" s="2181"/>
      <c r="C9" s="2181"/>
      <c r="D9" s="2181"/>
      <c r="E9" s="2181"/>
      <c r="F9" s="2181"/>
      <c r="G9" s="1293"/>
      <c r="H9" s="2189" t="s">
        <v>1896</v>
      </c>
      <c r="I9" s="2190" t="s">
        <v>3059</v>
      </c>
      <c r="J9" s="982"/>
      <c r="K9" s="2190" t="s">
        <v>3059</v>
      </c>
      <c r="L9" s="982"/>
      <c r="M9" s="2190" t="s">
        <v>3059</v>
      </c>
      <c r="N9" s="982"/>
      <c r="O9" s="2190"/>
      <c r="P9" s="982"/>
      <c r="Q9" s="2190"/>
      <c r="R9" s="982"/>
      <c r="S9" s="2190"/>
      <c r="T9" s="982"/>
      <c r="U9" s="2190"/>
      <c r="V9" s="982"/>
      <c r="W9" s="2190"/>
      <c r="X9" s="2191"/>
      <c r="Y9" s="2190"/>
      <c r="Z9" s="982"/>
      <c r="AA9" s="2190"/>
      <c r="AB9" s="982"/>
      <c r="AC9" s="2182" t="s">
        <v>1896</v>
      </c>
      <c r="AD9" s="15" t="s">
        <v>1897</v>
      </c>
      <c r="AE9" s="1299"/>
      <c r="AF9" s="15" t="s">
        <v>1898</v>
      </c>
      <c r="AG9" s="1299"/>
      <c r="AH9" s="15" t="s">
        <v>1897</v>
      </c>
      <c r="AI9" s="1299"/>
      <c r="AJ9" s="15" t="s">
        <v>1898</v>
      </c>
      <c r="AK9" s="1299"/>
      <c r="AL9" s="15" t="s">
        <v>1897</v>
      </c>
      <c r="AM9" s="1299"/>
      <c r="AN9" s="15" t="s">
        <v>1898</v>
      </c>
      <c r="AO9" s="1299"/>
      <c r="AP9" s="15" t="s">
        <v>1897</v>
      </c>
      <c r="AQ9" s="1299"/>
      <c r="AR9" s="15" t="s">
        <v>1898</v>
      </c>
      <c r="AS9" s="2192"/>
      <c r="AT9" s="2181"/>
      <c r="AU9" s="2181" t="s">
        <v>1899</v>
      </c>
      <c r="AV9" s="1293"/>
      <c r="AW9" s="2164"/>
      <c r="AX9" s="1293"/>
      <c r="AY9" s="28"/>
      <c r="AZ9" s="28" t="s">
        <v>1889</v>
      </c>
      <c r="BA9" s="2193" t="s">
        <v>1900</v>
      </c>
      <c r="BB9" s="2194"/>
      <c r="BC9" s="1339"/>
      <c r="BD9" s="1339"/>
      <c r="BE9" s="1339"/>
      <c r="BF9" s="1339"/>
      <c r="BG9" s="1339"/>
      <c r="BH9" s="1339"/>
      <c r="BI9" s="1339"/>
      <c r="BJ9" s="1339"/>
      <c r="BK9" s="2195"/>
      <c r="BL9" s="15" t="s">
        <v>1901</v>
      </c>
      <c r="BM9" s="1816"/>
      <c r="BN9" s="2184"/>
      <c r="BO9" s="1816"/>
      <c r="BP9" s="1816"/>
      <c r="BQ9" s="1816"/>
      <c r="BR9" s="1816"/>
      <c r="BS9" s="1816"/>
      <c r="BT9" s="26"/>
    </row>
    <row r="10" spans="1:72" s="2188" customFormat="1" ht="12.75">
      <c r="A10" s="2181"/>
      <c r="B10" s="2181"/>
      <c r="C10" s="2181"/>
      <c r="D10" s="2181"/>
      <c r="E10" s="2181"/>
      <c r="F10" s="2181"/>
      <c r="G10" s="1293"/>
      <c r="H10" s="28"/>
      <c r="I10" s="2190" t="s">
        <v>1373</v>
      </c>
      <c r="J10" s="982"/>
      <c r="K10" s="2196" t="s">
        <v>27</v>
      </c>
      <c r="L10" s="982"/>
      <c r="M10" s="2196" t="s">
        <v>27</v>
      </c>
      <c r="N10" s="982"/>
      <c r="O10" s="2196"/>
      <c r="P10" s="982"/>
      <c r="Q10" s="2196"/>
      <c r="R10" s="982"/>
      <c r="S10" s="2196"/>
      <c r="T10" s="982"/>
      <c r="U10" s="2196"/>
      <c r="V10" s="982"/>
      <c r="W10" s="2196"/>
      <c r="X10" s="982"/>
      <c r="Y10" s="2196"/>
      <c r="Z10" s="982"/>
      <c r="AA10" s="2196"/>
      <c r="AB10" s="982"/>
      <c r="AC10" s="1293"/>
      <c r="AD10" s="15" t="s">
        <v>1902</v>
      </c>
      <c r="AE10" s="2197"/>
      <c r="AF10" s="15" t="s">
        <v>1902</v>
      </c>
      <c r="AG10" s="2197"/>
      <c r="AH10" s="15" t="s">
        <v>1903</v>
      </c>
      <c r="AI10" s="2197"/>
      <c r="AJ10" s="15" t="s">
        <v>1903</v>
      </c>
      <c r="AK10" s="2197"/>
      <c r="AL10" s="15" t="s">
        <v>1904</v>
      </c>
      <c r="AM10" s="1299"/>
      <c r="AN10" s="15" t="s">
        <v>1904</v>
      </c>
      <c r="AO10" s="1299"/>
      <c r="AP10" s="15" t="s">
        <v>1905</v>
      </c>
      <c r="AQ10" s="1299"/>
      <c r="AR10" s="15" t="s">
        <v>1905</v>
      </c>
      <c r="AS10" s="1299"/>
      <c r="AT10" s="2181"/>
      <c r="AU10" s="2181"/>
      <c r="AV10" s="1293"/>
      <c r="AW10" s="2164"/>
      <c r="AX10" s="1293"/>
      <c r="AY10" s="28"/>
      <c r="AZ10" s="28"/>
      <c r="BA10" s="2198" t="s">
        <v>1896</v>
      </c>
      <c r="BB10" s="2199" t="str">
        <f>I9</f>
        <v>地上</v>
      </c>
      <c r="BC10" s="29" t="str">
        <f>K9</f>
        <v>地上</v>
      </c>
      <c r="BD10" s="29" t="str">
        <f>M9</f>
        <v>地上</v>
      </c>
      <c r="BE10" s="29">
        <f>O9</f>
        <v>0</v>
      </c>
      <c r="BF10" s="29">
        <f>Q9</f>
        <v>0</v>
      </c>
      <c r="BG10" s="29">
        <f>S9</f>
        <v>0</v>
      </c>
      <c r="BH10" s="29">
        <f>U9</f>
        <v>0</v>
      </c>
      <c r="BI10" s="29">
        <f>W9</f>
        <v>0</v>
      </c>
      <c r="BJ10" s="29">
        <f>Y9</f>
        <v>0</v>
      </c>
      <c r="BK10" s="29">
        <f>AA9</f>
        <v>0</v>
      </c>
      <c r="BL10" s="25" t="s">
        <v>1896</v>
      </c>
      <c r="BM10" s="1815" t="str">
        <f>AD9</f>
        <v>地上</v>
      </c>
      <c r="BN10" s="29" t="str">
        <f>AF9</f>
        <v>地下</v>
      </c>
      <c r="BO10" s="1815" t="str">
        <f>AH9</f>
        <v>地上</v>
      </c>
      <c r="BP10" s="29" t="str">
        <f>AJ9</f>
        <v>地下</v>
      </c>
      <c r="BQ10" s="1815" t="str">
        <f>AL9</f>
        <v>地上</v>
      </c>
      <c r="BR10" s="29" t="str">
        <f>AN9</f>
        <v>地下</v>
      </c>
      <c r="BS10" s="1815" t="str">
        <f>AP9</f>
        <v>地上</v>
      </c>
      <c r="BT10" s="2200" t="str">
        <f>AR9</f>
        <v>地下</v>
      </c>
    </row>
    <row r="11" spans="1:72" s="2188" customFormat="1" ht="12.75">
      <c r="A11" s="2181"/>
      <c r="B11" s="2181"/>
      <c r="C11" s="2181"/>
      <c r="D11" s="2181"/>
      <c r="E11" s="2181"/>
      <c r="F11" s="2181"/>
      <c r="G11" s="1293"/>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3"/>
      <c r="AD11" s="2203" t="s">
        <v>1906</v>
      </c>
      <c r="AE11" s="1817"/>
      <c r="AF11" s="2203" t="s">
        <v>1906</v>
      </c>
      <c r="AG11" s="1817"/>
      <c r="AH11" s="2203" t="s">
        <v>1907</v>
      </c>
      <c r="AI11" s="2204"/>
      <c r="AJ11" s="2203" t="s">
        <v>1907</v>
      </c>
      <c r="AK11" s="1817"/>
      <c r="AL11" s="1815"/>
      <c r="AM11" s="1817"/>
      <c r="AN11" s="1815"/>
      <c r="AO11" s="1817"/>
      <c r="AP11" s="1815"/>
      <c r="AQ11" s="1817"/>
      <c r="AR11" s="1815"/>
      <c r="AS11" s="1817"/>
      <c r="AT11" s="2164"/>
      <c r="AU11" s="2181"/>
      <c r="AV11" s="1293"/>
      <c r="AW11" s="2164"/>
      <c r="AX11" s="1293"/>
      <c r="AY11" s="28"/>
      <c r="AZ11" s="28"/>
      <c r="BA11" s="28"/>
      <c r="BB11" s="2186" t="str">
        <f>I10</f>
        <v>商业</v>
      </c>
      <c r="BC11" s="2186" t="str">
        <f>K10</f>
        <v>办公</v>
      </c>
      <c r="BD11" s="2186" t="str">
        <f>M10</f>
        <v>办公</v>
      </c>
      <c r="BE11" s="2186">
        <f>O10</f>
        <v>0</v>
      </c>
      <c r="BF11" s="2186">
        <f>Q10</f>
        <v>0</v>
      </c>
      <c r="BG11" s="2186">
        <f>S10</f>
        <v>0</v>
      </c>
      <c r="BH11" s="2186">
        <f>U10</f>
        <v>0</v>
      </c>
      <c r="BI11" s="2186">
        <f>W10</f>
        <v>0</v>
      </c>
      <c r="BJ11" s="2186">
        <f>Y10</f>
        <v>0</v>
      </c>
      <c r="BK11" s="2186">
        <f>AA10</f>
        <v>0</v>
      </c>
      <c r="BL11" s="1293"/>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4"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0" t="s">
        <v>1909</v>
      </c>
      <c r="W12" s="11" t="s">
        <v>1908</v>
      </c>
      <c r="X12" s="11" t="s">
        <v>1909</v>
      </c>
      <c r="Y12" s="11" t="s">
        <v>1908</v>
      </c>
      <c r="Z12" s="11" t="s">
        <v>1909</v>
      </c>
      <c r="AA12" s="11" t="s">
        <v>1908</v>
      </c>
      <c r="AB12" s="11" t="s">
        <v>1909</v>
      </c>
      <c r="AC12" s="2208"/>
      <c r="AD12" s="1804"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6" t="s">
        <v>1909</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3"/>
      <c r="BM12" s="1815" t="str">
        <f>AD11</f>
        <v>（住宅）</v>
      </c>
      <c r="BN12" s="1815" t="str">
        <f>AF11</f>
        <v>（住宅）</v>
      </c>
      <c r="BO12" s="24" t="str">
        <f>AH11</f>
        <v>（住宅、计出让金）</v>
      </c>
      <c r="BP12" s="24" t="str">
        <f>AJ11</f>
        <v>（住宅、计出让金）</v>
      </c>
      <c r="BQ12" s="24">
        <f>AL11</f>
        <v>0</v>
      </c>
      <c r="BR12" s="24">
        <f>AN11</f>
        <v>0</v>
      </c>
      <c r="BS12" s="25">
        <f>AP11</f>
        <v>0</v>
      </c>
      <c r="BT12" s="2205">
        <f>AR11</f>
        <v>0</v>
      </c>
    </row>
    <row r="13" spans="1:72" s="2166" customFormat="1" ht="12.75">
      <c r="A13" s="1273"/>
      <c r="B13" s="1273"/>
      <c r="C13" s="2964" t="s">
        <v>3055</v>
      </c>
      <c r="D13" s="2966" t="s">
        <v>3057</v>
      </c>
      <c r="E13" s="16">
        <f>IF($C$3="是",ROUND($A$3*G13/$B$3,2),ROUND($A$3*(G13-AT13)/$B$3,2))</f>
        <v>6056.4</v>
      </c>
      <c r="F13" s="32"/>
      <c r="G13" s="33">
        <f>H13+AC13+AT13</f>
        <v>18643.309999999998</v>
      </c>
      <c r="H13" s="20">
        <f>SUMIF(I$12:AB$12,"总值",I13:AB13)</f>
        <v>18643.309999999998</v>
      </c>
      <c r="I13" s="2213">
        <f>面积!B4+面积!B5+面积!B6</f>
        <v>18643.309999999998</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商业</v>
      </c>
      <c r="AY13" s="1804">
        <f>ROUND($AY$6*AZ13/$AZ$5,2)</f>
        <v>6056.4</v>
      </c>
      <c r="AZ13" s="16">
        <f>BA13+BL13</f>
        <v>18643.309999999998</v>
      </c>
      <c r="BA13" s="16">
        <f>SUM(BB13:BK13)</f>
        <v>18643.309999999998</v>
      </c>
      <c r="BB13" s="16">
        <f>IF($D13="是",I13-J13,0)</f>
        <v>18643.309999999998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3"/>
      <c r="B14" s="1273"/>
      <c r="C14" s="2965" t="s">
        <v>3056</v>
      </c>
      <c r="D14" s="2966" t="s">
        <v>3058</v>
      </c>
      <c r="E14" s="16">
        <f>IF($C$3="是",ROUND($A$3*G14/$B$3,2),ROUND($A$3*(G14-AT14)/$B$3,2))</f>
        <v>10333.02</v>
      </c>
      <c r="F14" s="32"/>
      <c r="G14" s="33">
        <f>H14+AC14+AT14</f>
        <v>31807.97</v>
      </c>
      <c r="H14" s="20">
        <f>SUMIF(I$12:AB$12,"总值",I14:AB14)</f>
        <v>31807.97</v>
      </c>
      <c r="I14" s="2213"/>
      <c r="J14" s="2213"/>
      <c r="K14" s="2213">
        <f>面积!B1+面积!B2</f>
        <v>31807.97</v>
      </c>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办公</v>
      </c>
      <c r="AY14" s="1804">
        <f>ROUND($AY$6*AZ14/$AZ$5,2)</f>
        <v>10333.02</v>
      </c>
      <c r="AZ14" s="16">
        <f>BA14+BL14</f>
        <v>31807.97</v>
      </c>
      <c r="BA14" s="16">
        <f>SUM(BB14:BK14)</f>
        <v>31807.97</v>
      </c>
      <c r="BB14" s="16">
        <f>IF($D14="是",I14-J14,0)</f>
        <v>0</v>
      </c>
      <c r="BC14" s="16">
        <f>IF($D14="是",K14-L14,0)</f>
        <v>31807.97</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3"/>
      <c r="B15" s="1273"/>
      <c r="C15" s="2965" t="s">
        <v>3308</v>
      </c>
      <c r="D15" s="2212" t="s">
        <v>3309</v>
      </c>
      <c r="E15" s="16">
        <f>IF($C$3="是",ROUND($A$3*G15/$B$3,2),ROUND($A$3*(G15-AT15)/$B$3,2))</f>
        <v>5264.7</v>
      </c>
      <c r="F15" s="32"/>
      <c r="G15" s="33">
        <f>H15+AC15+AT15</f>
        <v>16206.23</v>
      </c>
      <c r="H15" s="20">
        <f>SUMIF(I$12:AB$12,"总值",I15:AB15)</f>
        <v>16206.23</v>
      </c>
      <c r="I15" s="2213"/>
      <c r="J15" s="2213"/>
      <c r="K15" s="2213"/>
      <c r="L15" s="2213"/>
      <c r="M15" s="2213">
        <f>面积!B3</f>
        <v>16206.23</v>
      </c>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t="str">
        <f t="shared" si="6"/>
        <v>公寓</v>
      </c>
      <c r="AY15" s="1804">
        <f>ROUND($AY$6*AZ15/$AZ$5,2)</f>
        <v>5264.7</v>
      </c>
      <c r="AZ15" s="16">
        <f>BA15+BL15</f>
        <v>16206.23</v>
      </c>
      <c r="BA15" s="16">
        <f>SUM(BB15:BK15)</f>
        <v>16206.23</v>
      </c>
      <c r="BB15" s="16">
        <f>IF($D15="是",I15-J15,0)</f>
        <v>0</v>
      </c>
      <c r="BC15" s="16">
        <f>IF($D15="是",K15-L15,0)</f>
        <v>0</v>
      </c>
      <c r="BD15" s="16">
        <f>IF($D15="是",M15-N15,0)</f>
        <v>16206.23</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3"/>
      <c r="B16" s="1273"/>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3"/>
      <c r="B17" s="1273"/>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0" t="s">
        <v>0</v>
      </c>
      <c r="B1" s="3110" t="s">
        <v>4</v>
      </c>
      <c r="C1" s="3110" t="s">
        <v>5</v>
      </c>
      <c r="D1" s="3111" t="s">
        <v>53</v>
      </c>
      <c r="E1" s="3111" t="s">
        <v>54</v>
      </c>
      <c r="F1" s="3111"/>
      <c r="G1" s="3111"/>
      <c r="H1" s="3111"/>
      <c r="I1" s="3111"/>
      <c r="J1" s="3111"/>
      <c r="K1" s="3111"/>
      <c r="L1" s="3111"/>
      <c r="M1" s="3111"/>
    </row>
    <row r="2" spans="1:13" ht="27" customHeight="1">
      <c r="A2" s="3110"/>
      <c r="B2" s="3110"/>
      <c r="C2" s="3110"/>
      <c r="D2" s="3111"/>
      <c r="E2" s="3111" t="s">
        <v>37</v>
      </c>
      <c r="F2" s="3111" t="s">
        <v>38</v>
      </c>
      <c r="G2" s="3111"/>
      <c r="H2" s="3111"/>
      <c r="I2" s="3111"/>
      <c r="J2" s="3111" t="s">
        <v>39</v>
      </c>
      <c r="K2" s="3111"/>
      <c r="L2" s="3111"/>
      <c r="M2" s="3111"/>
    </row>
    <row r="3" spans="1:13" ht="28.5">
      <c r="A3" s="3110"/>
      <c r="B3" s="3110"/>
      <c r="C3" s="3110"/>
      <c r="D3" s="3111"/>
      <c r="E3" s="311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1" t="s">
        <v>55</v>
      </c>
      <c r="B9" s="3111"/>
      <c r="C9" s="311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5" sqref="G35"/>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1935</v>
      </c>
      <c r="B1" s="1393"/>
      <c r="C1" s="1393"/>
      <c r="D1" s="1393"/>
      <c r="E1" s="1393"/>
      <c r="F1" s="1393"/>
      <c r="G1" s="1393"/>
      <c r="H1" s="1393"/>
      <c r="I1" s="1393"/>
      <c r="J1" s="1393"/>
      <c r="K1" s="1393"/>
      <c r="L1" s="1393"/>
      <c r="M1" s="1393"/>
      <c r="N1" s="1393"/>
      <c r="O1" s="1393"/>
      <c r="P1" s="1393"/>
    </row>
    <row r="2" spans="1:16" ht="15">
      <c r="A2" s="3121" t="s">
        <v>1936</v>
      </c>
      <c r="B2" s="3121"/>
      <c r="C2" s="3121"/>
      <c r="D2" s="968" t="s">
        <v>1912</v>
      </c>
      <c r="E2" s="2226" t="s">
        <v>1913</v>
      </c>
      <c r="F2" s="1393"/>
      <c r="G2" s="2227"/>
      <c r="H2" s="2228"/>
      <c r="I2" s="2229" t="s">
        <v>1937</v>
      </c>
      <c r="J2" s="1393"/>
      <c r="K2" s="1393"/>
      <c r="L2" s="1393"/>
      <c r="M2" s="1393"/>
      <c r="N2" s="1428"/>
      <c r="O2" s="1393"/>
      <c r="P2" s="1393"/>
    </row>
    <row r="3" spans="1:16" ht="15.75" thickBot="1">
      <c r="A3" s="3122" t="s">
        <v>1910</v>
      </c>
      <c r="B3" s="3122"/>
      <c r="C3" s="3122"/>
      <c r="D3" s="46">
        <f>'数据-基础表'!AY6</f>
        <v>21654.11</v>
      </c>
      <c r="E3" s="46">
        <f>'数据-基础表'!AZ5</f>
        <v>66657.509999999995</v>
      </c>
      <c r="F3" s="1393"/>
      <c r="G3" s="1400"/>
      <c r="H3" s="1248" t="s">
        <v>1911</v>
      </c>
      <c r="I3" s="55">
        <f>ROUND('数据-基础表'!B3/'数据-基础表'!A3,2)</f>
        <v>3.08</v>
      </c>
      <c r="J3" s="1393"/>
      <c r="K3" s="1393"/>
      <c r="L3" s="1393"/>
      <c r="M3" s="1393"/>
      <c r="N3" s="1428"/>
      <c r="O3" s="1393"/>
      <c r="P3" s="1393"/>
    </row>
    <row r="4" spans="1:16" ht="15">
      <c r="A4" s="3123"/>
      <c r="B4" s="3124"/>
      <c r="C4" s="3125"/>
      <c r="D4" s="2230" t="s">
        <v>1912</v>
      </c>
      <c r="E4" s="2231" t="s">
        <v>1913</v>
      </c>
      <c r="F4" s="1393"/>
      <c r="G4" s="2232" t="s">
        <v>1938</v>
      </c>
      <c r="H4" s="1248" t="s">
        <v>1918</v>
      </c>
      <c r="I4" s="55">
        <f>ROUND(SUMIF('数据-基础表'!I9:AS9,"地上",'数据-基础表'!I5:AS5)/'数据-基础表'!A3,2)</f>
        <v>3.08</v>
      </c>
      <c r="J4" s="1393"/>
      <c r="K4" s="1393"/>
      <c r="L4" s="1393"/>
      <c r="M4" s="1393"/>
      <c r="N4" s="1428"/>
      <c r="O4" s="1393"/>
      <c r="P4" s="1393"/>
    </row>
    <row r="5" spans="1:16">
      <c r="A5" s="47" t="s">
        <v>1914</v>
      </c>
      <c r="B5" s="3126" t="s">
        <v>1915</v>
      </c>
      <c r="C5" s="3126"/>
      <c r="D5" s="48">
        <f>ROUND($D$3*E5/$E$3,2)</f>
        <v>0</v>
      </c>
      <c r="E5" s="49">
        <f>SUMIF('数据-基础表'!$11:$11,"住宅",'数据-基础表'!$5:$5)</f>
        <v>0</v>
      </c>
      <c r="F5" s="1393"/>
      <c r="G5" s="1400"/>
      <c r="H5" s="1248" t="s">
        <v>1911</v>
      </c>
      <c r="I5" s="55">
        <f>ROUND(E31/D31,2)</f>
        <v>3.08</v>
      </c>
      <c r="J5" s="1393"/>
      <c r="K5" s="1393"/>
      <c r="L5" s="1393"/>
      <c r="M5" s="1393"/>
      <c r="N5" s="1393"/>
      <c r="O5" s="1393"/>
      <c r="P5" s="1393"/>
    </row>
    <row r="6" spans="1:16" ht="15" thickBot="1">
      <c r="A6" s="2233"/>
      <c r="B6" s="3126" t="s">
        <v>1916</v>
      </c>
      <c r="C6" s="3126"/>
      <c r="D6" s="48">
        <f>ROUND($D$3*E6/$E$3,2)</f>
        <v>21654.11</v>
      </c>
      <c r="E6" s="49">
        <f>E3-E5</f>
        <v>66657.509999999995</v>
      </c>
      <c r="F6" s="1393"/>
      <c r="G6" s="2234" t="s">
        <v>1917</v>
      </c>
      <c r="H6" s="1400" t="s">
        <v>1918</v>
      </c>
      <c r="I6" s="940">
        <f>ROUND(F31/D31,2)</f>
        <v>3.08</v>
      </c>
      <c r="J6" s="1393"/>
      <c r="K6" s="1393"/>
      <c r="L6" s="1393"/>
      <c r="M6" s="1393"/>
      <c r="N6" s="1393"/>
      <c r="O6" s="1393"/>
      <c r="P6" s="1393"/>
    </row>
    <row r="7" spans="1:16" ht="15">
      <c r="A7" s="3118"/>
      <c r="B7" s="3119"/>
      <c r="C7" s="3120"/>
      <c r="D7" s="2230" t="s">
        <v>1912</v>
      </c>
      <c r="E7" s="2235" t="s">
        <v>1919</v>
      </c>
      <c r="F7" s="1393"/>
      <c r="G7" s="2227" t="s">
        <v>1920</v>
      </c>
      <c r="H7" s="64"/>
      <c r="I7" s="420">
        <v>3.08</v>
      </c>
      <c r="J7" s="1393"/>
      <c r="K7" s="1393"/>
      <c r="L7" s="1393"/>
      <c r="M7" s="1393"/>
      <c r="N7" s="1393"/>
      <c r="O7" s="1393"/>
      <c r="P7" s="1393"/>
    </row>
    <row r="8" spans="1:16">
      <c r="A8" s="47" t="s">
        <v>1921</v>
      </c>
      <c r="B8" s="50" t="s">
        <v>1922</v>
      </c>
      <c r="C8" s="48" t="s">
        <v>1923</v>
      </c>
      <c r="D8" s="48">
        <f t="shared" ref="D8:D15" si="0">ROUND($D$3*E8/$E$3,2)</f>
        <v>21654.11</v>
      </c>
      <c r="E8" s="51">
        <f>SUMIF('数据-基础表'!BB10:BK10,"地上",'数据-基础表'!BB5:BK5)</f>
        <v>66657.509999999995</v>
      </c>
      <c r="F8" s="1393"/>
      <c r="G8" s="2236"/>
      <c r="H8" s="2236"/>
      <c r="I8" s="1393"/>
      <c r="J8" s="1393"/>
      <c r="K8" s="1393"/>
      <c r="L8" s="1393"/>
      <c r="M8" s="1393"/>
      <c r="N8" s="1393"/>
      <c r="O8" s="1393"/>
      <c r="P8" s="1393"/>
    </row>
    <row r="9" spans="1:16">
      <c r="A9" s="2237"/>
      <c r="B9" s="2238"/>
      <c r="C9" s="48" t="s">
        <v>1924</v>
      </c>
      <c r="D9" s="48">
        <f t="shared" si="0"/>
        <v>0</v>
      </c>
      <c r="E9" s="52">
        <v>0</v>
      </c>
      <c r="F9" s="1393"/>
      <c r="G9" s="2236"/>
      <c r="H9" s="2236"/>
      <c r="I9" s="1393"/>
      <c r="J9" s="1393"/>
      <c r="K9" s="1393"/>
      <c r="L9" s="1393"/>
      <c r="M9" s="1393"/>
      <c r="N9" s="1393"/>
      <c r="O9" s="1393"/>
      <c r="P9" s="1393"/>
    </row>
    <row r="10" spans="1:16">
      <c r="A10" s="2237"/>
      <c r="B10" s="2238"/>
      <c r="C10" s="48" t="s">
        <v>1933</v>
      </c>
      <c r="D10" s="48">
        <f t="shared" si="0"/>
        <v>0</v>
      </c>
      <c r="E10" s="51">
        <f>SUMPRODUCT(('数据-基础表'!BB10:BK10="地下")*('数据-基础表'!BB11:BK11="商业")*('数据-基础表'!BB5:BK5))</f>
        <v>0</v>
      </c>
      <c r="F10" s="1393"/>
      <c r="G10" s="2236"/>
      <c r="H10" s="2236"/>
      <c r="I10" s="1393"/>
      <c r="J10" s="1393"/>
      <c r="K10" s="1393"/>
      <c r="L10" s="1393"/>
      <c r="M10" s="1393"/>
      <c r="N10" s="1393"/>
      <c r="O10" s="1393"/>
      <c r="P10" s="1393"/>
    </row>
    <row r="11" spans="1:16">
      <c r="A11" s="2237"/>
      <c r="B11" s="2238"/>
      <c r="C11" s="48" t="s">
        <v>1925</v>
      </c>
      <c r="D11" s="48">
        <f t="shared" si="0"/>
        <v>0</v>
      </c>
      <c r="E11" s="51">
        <f>SUMPRODUCT(('数据-基础表'!BB10:BK10="地下")*('数据-基础表'!BB11:BK11="办公")*('数据-基础表'!BB5:BK5))+'数据-基础表'!BP5</f>
        <v>0</v>
      </c>
      <c r="F11" s="1393"/>
      <c r="G11" s="2236"/>
      <c r="H11" s="2236"/>
      <c r="I11" s="1393"/>
      <c r="J11" s="1393"/>
      <c r="K11" s="1393"/>
      <c r="L11" s="1393"/>
      <c r="M11" s="1393"/>
      <c r="N11" s="1393"/>
      <c r="O11" s="1393"/>
      <c r="P11" s="1393"/>
    </row>
    <row r="12" spans="1:16">
      <c r="A12" s="2237"/>
      <c r="B12" s="2238"/>
      <c r="C12" s="48" t="s">
        <v>1926</v>
      </c>
      <c r="D12" s="48">
        <f t="shared" si="0"/>
        <v>0</v>
      </c>
      <c r="E12" s="51">
        <f>SUMPRODUCT(('数据-基础表'!BB10:BK10="地下")*('数据-基础表'!BB11:BK11="仓储")*('数据-基础表'!BB5:BK5))</f>
        <v>0</v>
      </c>
      <c r="F12" s="1393"/>
      <c r="G12" s="2236"/>
      <c r="H12" s="2236"/>
      <c r="I12" s="1393"/>
      <c r="J12" s="1393"/>
      <c r="K12" s="1393"/>
      <c r="L12" s="1393"/>
      <c r="M12" s="1393"/>
      <c r="N12" s="1393"/>
      <c r="O12" s="1393"/>
      <c r="P12" s="1393"/>
    </row>
    <row r="13" spans="1:16">
      <c r="A13" s="2237"/>
      <c r="B13" s="2238"/>
      <c r="C13" s="48" t="s">
        <v>1927</v>
      </c>
      <c r="D13" s="48">
        <f t="shared" si="0"/>
        <v>0</v>
      </c>
      <c r="E13" s="51">
        <f>SUMPRODUCT(('数据-基础表'!BB10:BK10="地下")*('数据-基础表'!BB11:BK11="车库")*('数据-基础表'!BB5:BK5))</f>
        <v>0</v>
      </c>
      <c r="F13" s="1393"/>
      <c r="G13" s="2236"/>
      <c r="H13" s="2236"/>
      <c r="I13" s="1393"/>
      <c r="J13" s="1393"/>
      <c r="K13" s="1393"/>
      <c r="L13" s="1393"/>
      <c r="M13" s="1393"/>
      <c r="N13" s="1393"/>
      <c r="O13" s="1393"/>
      <c r="P13" s="1393"/>
    </row>
    <row r="14" spans="1:16">
      <c r="A14" s="2237"/>
      <c r="B14" s="2238"/>
      <c r="C14" s="48" t="s">
        <v>1939</v>
      </c>
      <c r="D14" s="48">
        <f t="shared" si="0"/>
        <v>0</v>
      </c>
      <c r="E14" s="51">
        <f>SUMPRODUCT(('数据-基础表'!BB10:BK10="地下")*('数据-基础表'!BB11:BK11="车库—商业")*('数据-基础表'!BB5:BK5))</f>
        <v>0</v>
      </c>
      <c r="F14" s="1393"/>
      <c r="G14" s="2236"/>
      <c r="H14" s="2236"/>
      <c r="I14" s="1393"/>
      <c r="J14" s="1393"/>
      <c r="K14" s="1393"/>
      <c r="L14" s="1393"/>
      <c r="M14" s="1393"/>
      <c r="N14" s="1393"/>
      <c r="O14" s="1393"/>
      <c r="P14" s="1393"/>
    </row>
    <row r="15" spans="1:16" ht="15" thickBot="1">
      <c r="A15" s="2237"/>
      <c r="B15" s="2238"/>
      <c r="C15" s="48" t="s">
        <v>1934</v>
      </c>
      <c r="D15" s="48">
        <f t="shared" si="0"/>
        <v>0</v>
      </c>
      <c r="E15" s="51">
        <f>SUMPRODUCT(('数据-基础表'!BB10:BK10="地下")*('数据-基础表'!BB11:BK11="车库—办公")*('数据-基础表'!BB5:BK5))</f>
        <v>0</v>
      </c>
      <c r="F15" s="1393"/>
      <c r="G15" s="2236"/>
      <c r="H15" s="2236"/>
      <c r="I15" s="1393"/>
      <c r="J15" s="1393"/>
      <c r="K15" s="1393"/>
      <c r="L15" s="1393"/>
      <c r="M15" s="1393"/>
      <c r="N15" s="1393"/>
      <c r="O15" s="1393"/>
      <c r="P15" s="1393"/>
    </row>
    <row r="16" spans="1:16" ht="15.75" thickBot="1">
      <c r="A16" s="2233"/>
      <c r="B16" s="2238"/>
      <c r="C16" s="50" t="s">
        <v>1928</v>
      </c>
      <c r="D16" s="50">
        <f>SUM(D8:D15)</f>
        <v>21654.11</v>
      </c>
      <c r="E16" s="53">
        <f>SUM(E8:E15)</f>
        <v>66657.509999999995</v>
      </c>
      <c r="F16" s="1393"/>
      <c r="G16" s="2236"/>
      <c r="H16" s="2239" t="s">
        <v>1940</v>
      </c>
      <c r="I16" s="2240"/>
      <c r="J16" s="1393"/>
      <c r="K16" s="3115" t="s">
        <v>1940</v>
      </c>
      <c r="L16" s="3116"/>
      <c r="M16" s="3116"/>
      <c r="N16" s="3116"/>
      <c r="O16" s="3116"/>
      <c r="P16" s="3117"/>
    </row>
    <row r="17" spans="1:19" ht="15">
      <c r="A17" s="2241" t="s">
        <v>1941</v>
      </c>
      <c r="B17" s="2242" t="s">
        <v>1942</v>
      </c>
      <c r="C17" s="2243" t="s">
        <v>1943</v>
      </c>
      <c r="D17" s="2244" t="s">
        <v>1931</v>
      </c>
      <c r="E17" s="2245" t="s">
        <v>1932</v>
      </c>
      <c r="F17" s="2246"/>
      <c r="G17" s="2247"/>
      <c r="H17" s="2248" t="s">
        <v>1944</v>
      </c>
      <c r="I17" s="2249" t="s">
        <v>1929</v>
      </c>
      <c r="J17" s="1393"/>
      <c r="K17" s="3112" t="s">
        <v>1945</v>
      </c>
      <c r="L17" s="3113"/>
      <c r="M17" s="3114"/>
      <c r="N17" s="3112" t="s">
        <v>1946</v>
      </c>
      <c r="O17" s="3113"/>
      <c r="P17" s="3114"/>
      <c r="R17" s="2227" t="s">
        <v>1947</v>
      </c>
      <c r="S17" s="64"/>
    </row>
    <row r="18" spans="1:19" ht="15">
      <c r="A18" s="2237"/>
      <c r="B18" s="2250"/>
      <c r="C18" s="2251"/>
      <c r="D18" s="2252"/>
      <c r="E18" s="2253" t="s">
        <v>1948</v>
      </c>
      <c r="F18" s="2254" t="s">
        <v>1949</v>
      </c>
      <c r="G18" s="2255" t="s">
        <v>1950</v>
      </c>
      <c r="H18" s="1263" t="s">
        <v>1951</v>
      </c>
      <c r="I18" s="2256" t="s">
        <v>1952</v>
      </c>
      <c r="J18" s="1393"/>
      <c r="K18" s="1263" t="s">
        <v>1953</v>
      </c>
      <c r="L18" s="2257" t="s">
        <v>1954</v>
      </c>
      <c r="M18" s="1047" t="s">
        <v>1955</v>
      </c>
      <c r="N18" s="1263" t="s">
        <v>1953</v>
      </c>
      <c r="O18" s="2257" t="s">
        <v>1954</v>
      </c>
      <c r="P18" s="1047" t="s">
        <v>1955</v>
      </c>
      <c r="R18" s="1248" t="s">
        <v>1956</v>
      </c>
      <c r="S18" s="1248" t="s">
        <v>1957</v>
      </c>
    </row>
    <row r="19" spans="1:19">
      <c r="A19" s="2258"/>
      <c r="B19" s="50" t="s">
        <v>1930</v>
      </c>
      <c r="C19" s="2968" t="s">
        <v>3066</v>
      </c>
      <c r="D19" s="48">
        <f>ROUND($D$3*E19/$E$3,2)</f>
        <v>6056.4</v>
      </c>
      <c r="E19" s="56">
        <f t="shared" ref="E19:E26" si="1">SUM(F19:G19)</f>
        <v>18643.309999999998</v>
      </c>
      <c r="F19" s="57">
        <f>'数据-基础表'!I13</f>
        <v>18643.309999999998</v>
      </c>
      <c r="G19" s="58"/>
      <c r="H19" s="721">
        <f>ROUND($D$3*I19/$E$3,2)</f>
        <v>0</v>
      </c>
      <c r="I19" s="51">
        <f t="shared" ref="I19:I26" si="2">IF($I$17="自定义",P19,M19)</f>
        <v>0</v>
      </c>
      <c r="J19" s="1393"/>
      <c r="K19" s="1392">
        <f t="shared" ref="K19:K26" si="3">ROUND(E$28*E19/E$27,2)</f>
        <v>0</v>
      </c>
      <c r="L19" s="1248">
        <f t="shared" ref="L19:L26" si="4">ROUND(IF(COUNTIF(C19,"*住宅*")&gt;0,E$29*E19/E$32,0),2)</f>
        <v>0</v>
      </c>
      <c r="M19" s="1404">
        <f>K19+L19</f>
        <v>0</v>
      </c>
      <c r="N19" s="2259"/>
      <c r="O19" s="2260"/>
      <c r="P19" s="1404">
        <f>N19+O19</f>
        <v>0</v>
      </c>
      <c r="R19" s="1248">
        <f t="shared" ref="R19:S26" si="5">D19+H19</f>
        <v>6056.4</v>
      </c>
      <c r="S19" s="1249">
        <f t="shared" si="5"/>
        <v>18643.309999999998</v>
      </c>
    </row>
    <row r="20" spans="1:19">
      <c r="A20" s="2261"/>
      <c r="B20" s="50" t="s">
        <v>1958</v>
      </c>
      <c r="C20" s="2968" t="s">
        <v>3067</v>
      </c>
      <c r="D20" s="48">
        <f t="shared" ref="D20:D26" si="6">ROUND($D$3*E20/$E$3,2)</f>
        <v>10333.02</v>
      </c>
      <c r="E20" s="56">
        <f t="shared" si="1"/>
        <v>31807.97</v>
      </c>
      <c r="F20" s="57">
        <f>'数据-基础表'!K14</f>
        <v>31807.97</v>
      </c>
      <c r="G20" s="58"/>
      <c r="H20" s="721">
        <f t="shared" ref="H20:H26" si="7">ROUND($D$3*I20/$E$3,2)</f>
        <v>0</v>
      </c>
      <c r="I20" s="51">
        <f t="shared" si="2"/>
        <v>0</v>
      </c>
      <c r="J20" s="1393"/>
      <c r="K20" s="1392">
        <f t="shared" si="3"/>
        <v>0</v>
      </c>
      <c r="L20" s="1248">
        <f t="shared" si="4"/>
        <v>0</v>
      </c>
      <c r="M20" s="1404">
        <f t="shared" ref="M20:M26" si="8">K20+L20</f>
        <v>0</v>
      </c>
      <c r="N20" s="2259"/>
      <c r="O20" s="2260"/>
      <c r="P20" s="1404">
        <f t="shared" ref="P20:P26" si="9">N20+O20</f>
        <v>0</v>
      </c>
      <c r="R20" s="1248">
        <f t="shared" si="5"/>
        <v>10333.02</v>
      </c>
      <c r="S20" s="1249">
        <f t="shared" si="5"/>
        <v>31807.97</v>
      </c>
    </row>
    <row r="21" spans="1:19">
      <c r="A21" s="2261"/>
      <c r="B21" s="50" t="s">
        <v>1958</v>
      </c>
      <c r="C21" s="2968" t="s">
        <v>3310</v>
      </c>
      <c r="D21" s="48">
        <f t="shared" si="6"/>
        <v>5264.7</v>
      </c>
      <c r="E21" s="56">
        <f t="shared" si="1"/>
        <v>16206.23</v>
      </c>
      <c r="F21" s="57">
        <f>'数据-基础表'!M15</f>
        <v>16206.23</v>
      </c>
      <c r="G21" s="58"/>
      <c r="H21" s="721">
        <f t="shared" si="7"/>
        <v>0</v>
      </c>
      <c r="I21" s="51">
        <f t="shared" si="2"/>
        <v>0</v>
      </c>
      <c r="J21" s="1393"/>
      <c r="K21" s="1392">
        <f t="shared" si="3"/>
        <v>0</v>
      </c>
      <c r="L21" s="1248">
        <f t="shared" si="4"/>
        <v>0</v>
      </c>
      <c r="M21" s="1404">
        <f t="shared" si="8"/>
        <v>0</v>
      </c>
      <c r="N21" s="2259"/>
      <c r="O21" s="2260"/>
      <c r="P21" s="1404">
        <f t="shared" si="9"/>
        <v>0</v>
      </c>
      <c r="R21" s="1248">
        <f t="shared" si="5"/>
        <v>5264.7</v>
      </c>
      <c r="S21" s="1249">
        <f t="shared" si="5"/>
        <v>16206.23</v>
      </c>
    </row>
    <row r="22" spans="1:19">
      <c r="A22" s="2261"/>
      <c r="B22" s="50" t="s">
        <v>1958</v>
      </c>
      <c r="C22" s="60"/>
      <c r="D22" s="48">
        <f t="shared" si="6"/>
        <v>0</v>
      </c>
      <c r="E22" s="56">
        <f t="shared" si="1"/>
        <v>0</v>
      </c>
      <c r="F22" s="61"/>
      <c r="G22" s="62"/>
      <c r="H22" s="721">
        <f t="shared" si="7"/>
        <v>0</v>
      </c>
      <c r="I22" s="51">
        <f t="shared" si="2"/>
        <v>0</v>
      </c>
      <c r="J22" s="1393"/>
      <c r="K22" s="1392">
        <f t="shared" si="3"/>
        <v>0</v>
      </c>
      <c r="L22" s="1248">
        <f t="shared" si="4"/>
        <v>0</v>
      </c>
      <c r="M22" s="1404">
        <f t="shared" si="8"/>
        <v>0</v>
      </c>
      <c r="N22" s="2259"/>
      <c r="O22" s="2260"/>
      <c r="P22" s="1404">
        <f t="shared" si="9"/>
        <v>0</v>
      </c>
      <c r="R22" s="1248">
        <f t="shared" si="5"/>
        <v>0</v>
      </c>
      <c r="S22" s="1249">
        <f t="shared" si="5"/>
        <v>0</v>
      </c>
    </row>
    <row r="23" spans="1:19">
      <c r="A23" s="2261"/>
      <c r="B23" s="50" t="s">
        <v>1958</v>
      </c>
      <c r="C23" s="60"/>
      <c r="D23" s="48">
        <f>ROUND($D$3*E23/$E$3,2)</f>
        <v>0</v>
      </c>
      <c r="E23" s="56">
        <f>SUM(F23:G23)</f>
        <v>0</v>
      </c>
      <c r="F23" s="61"/>
      <c r="G23" s="62"/>
      <c r="H23" s="721">
        <f>ROUND($D$3*I23/$E$3,2)</f>
        <v>0</v>
      </c>
      <c r="I23" s="51">
        <f t="shared" si="2"/>
        <v>0</v>
      </c>
      <c r="J23" s="1393"/>
      <c r="K23" s="1392">
        <f t="shared" si="3"/>
        <v>0</v>
      </c>
      <c r="L23" s="1248">
        <f t="shared" si="4"/>
        <v>0</v>
      </c>
      <c r="M23" s="1404">
        <f t="shared" si="8"/>
        <v>0</v>
      </c>
      <c r="N23" s="2259"/>
      <c r="O23" s="2260"/>
      <c r="P23" s="1404">
        <f t="shared" si="9"/>
        <v>0</v>
      </c>
      <c r="R23" s="1248">
        <f t="shared" si="5"/>
        <v>0</v>
      </c>
      <c r="S23" s="1249">
        <f t="shared" si="5"/>
        <v>0</v>
      </c>
    </row>
    <row r="24" spans="1:19">
      <c r="A24" s="2261"/>
      <c r="B24" s="50" t="s">
        <v>1958</v>
      </c>
      <c r="C24" s="60"/>
      <c r="D24" s="48">
        <f>ROUND($D$3*E24/$E$3,2)</f>
        <v>0</v>
      </c>
      <c r="E24" s="56">
        <f>SUM(F24:G24)</f>
        <v>0</v>
      </c>
      <c r="F24" s="61"/>
      <c r="G24" s="62"/>
      <c r="H24" s="721">
        <f>ROUND($D$3*I24/$E$3,2)</f>
        <v>0</v>
      </c>
      <c r="I24" s="51">
        <f t="shared" si="2"/>
        <v>0</v>
      </c>
      <c r="J24" s="1393"/>
      <c r="K24" s="1392">
        <f t="shared" si="3"/>
        <v>0</v>
      </c>
      <c r="L24" s="1248">
        <f t="shared" si="4"/>
        <v>0</v>
      </c>
      <c r="M24" s="1404">
        <f t="shared" si="8"/>
        <v>0</v>
      </c>
      <c r="N24" s="2259"/>
      <c r="O24" s="2260"/>
      <c r="P24" s="1404">
        <f t="shared" si="9"/>
        <v>0</v>
      </c>
      <c r="R24" s="1248">
        <f t="shared" si="5"/>
        <v>0</v>
      </c>
      <c r="S24" s="1249">
        <f t="shared" si="5"/>
        <v>0</v>
      </c>
    </row>
    <row r="25" spans="1:19">
      <c r="A25" s="2261"/>
      <c r="B25" s="50" t="s">
        <v>1958</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59"/>
      <c r="O25" s="2260"/>
      <c r="P25" s="1404">
        <f t="shared" si="9"/>
        <v>0</v>
      </c>
      <c r="R25" s="1248">
        <f t="shared" si="5"/>
        <v>0</v>
      </c>
      <c r="S25" s="1249">
        <f t="shared" si="5"/>
        <v>0</v>
      </c>
    </row>
    <row r="26" spans="1:19">
      <c r="A26" s="2261"/>
      <c r="B26" s="50" t="s">
        <v>1958</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2"/>
      <c r="O26" s="2263"/>
      <c r="P26" s="67">
        <f t="shared" si="9"/>
        <v>0</v>
      </c>
      <c r="R26" s="1248">
        <f t="shared" si="5"/>
        <v>0</v>
      </c>
      <c r="S26" s="1249">
        <f t="shared" si="5"/>
        <v>0</v>
      </c>
    </row>
    <row r="27" spans="1:19" ht="29.25" thickBot="1">
      <c r="A27" s="2261"/>
      <c r="B27" s="48"/>
      <c r="C27" s="2264" t="s">
        <v>1959</v>
      </c>
      <c r="D27" s="1394">
        <f>SUM(D19:D26)</f>
        <v>21654.12</v>
      </c>
      <c r="E27" s="1395">
        <f>IF(SUM(E19:E26)='数据-基础表'!BA5,SUM(E19:E26),IF(F27="地上面积有误","面积有误","地下面积有误"))</f>
        <v>66657.509999999995</v>
      </c>
      <c r="F27" s="1394">
        <f>IF(SUM(F19:F26)=E8,SUM(F19:F26),"地上面积有误")</f>
        <v>66657.509999999995</v>
      </c>
      <c r="G27" s="1396">
        <f>SUM(G19:G26)</f>
        <v>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t="str">
        <f>IF(SUM(R19:R26)=$D$3,SUM(R19:R26),SUM(R19:R26)&amp;"误差"&amp;ROUND(SUM(R19:R26)-$D$3,2))</f>
        <v>21654.12误差0.01</v>
      </c>
      <c r="S27" s="1248">
        <f>IF(SUM(S19:S26)=$E$3,SUM(S19:S26),SUM(S19:S26)&amp;"误差"&amp;ROUND(SUM(S19:S26)-E3,2))</f>
        <v>66657.509999999995</v>
      </c>
    </row>
    <row r="28" spans="1:19">
      <c r="A28" s="2261"/>
      <c r="B28" s="50" t="s">
        <v>1960</v>
      </c>
      <c r="C28" s="1260" t="s">
        <v>1961</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61"/>
      <c r="B29" s="50" t="s">
        <v>1960</v>
      </c>
      <c r="C29" s="2265" t="s">
        <v>1962</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1"/>
      <c r="B30" s="50"/>
      <c r="C30" s="2266" t="s">
        <v>1959</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7"/>
      <c r="B31" s="2268"/>
      <c r="C31" s="1008" t="s">
        <v>1963</v>
      </c>
      <c r="D31" s="727">
        <f>D27+D30</f>
        <v>21654.12</v>
      </c>
      <c r="E31" s="727">
        <f>E27+E30</f>
        <v>66657.509999999995</v>
      </c>
      <c r="F31" s="728">
        <f>F27+F30</f>
        <v>66657.509999999995</v>
      </c>
      <c r="G31" s="729">
        <f>G27+G30</f>
        <v>0</v>
      </c>
      <c r="H31" s="1393"/>
      <c r="I31" s="1393"/>
      <c r="J31" s="1393"/>
      <c r="K31" s="1393"/>
      <c r="L31" s="1393"/>
      <c r="M31" s="1393"/>
      <c r="N31" s="1393"/>
      <c r="O31" s="1393"/>
      <c r="P31" s="1393"/>
    </row>
    <row r="32" spans="1:19">
      <c r="A32" s="2232"/>
      <c r="B32" s="2232" t="s">
        <v>1964</v>
      </c>
      <c r="C32" s="2232"/>
      <c r="D32" s="2232"/>
      <c r="E32" s="1275">
        <f>SUMIF(C19:C26,"*住宅*",E19:E26)</f>
        <v>0</v>
      </c>
      <c r="F32" s="2232"/>
      <c r="G32" s="2232"/>
      <c r="H32" s="1393"/>
      <c r="I32" s="1393"/>
      <c r="J32" s="1393"/>
      <c r="K32" s="1393"/>
      <c r="L32" s="1393"/>
      <c r="M32" s="1393"/>
      <c r="N32" s="1393"/>
      <c r="O32" s="1393"/>
      <c r="P32" s="1393"/>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1" priority="1" stopIfTrue="1" operator="containsText" text="面积有误">
      <formula>NOT(ISERROR(SEARCH("面积有误",E27)))</formula>
    </cfRule>
    <cfRule type="cellIs" dxfId="190" priority="3" stopIfTrue="1" operator="equal">
      <formula>"地下面积有误"</formula>
    </cfRule>
  </conditionalFormatting>
  <conditionalFormatting sqref="F27">
    <cfRule type="cellIs" dxfId="18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M30" sqref="M30"/>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8"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1965</v>
      </c>
      <c r="B1" s="730"/>
      <c r="C1" s="1582"/>
      <c r="D1" s="2271"/>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29" customFormat="1" ht="15.75" thickBot="1">
      <c r="A2" s="2274" t="s">
        <v>1966</v>
      </c>
      <c r="B2" s="1267">
        <f>项目基本情况!D3</f>
        <v>43570</v>
      </c>
      <c r="C2" s="2275"/>
      <c r="D2" s="2276"/>
      <c r="E2" s="2275"/>
      <c r="F2" s="2275"/>
      <c r="G2" s="2275"/>
      <c r="H2" s="2275"/>
      <c r="I2" s="2275"/>
      <c r="J2" s="2275"/>
      <c r="K2" s="1428"/>
      <c r="L2" s="1428"/>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9" customFormat="1" ht="15" thickBot="1">
      <c r="A3" s="2027"/>
      <c r="B3" s="2278"/>
      <c r="C3" s="2275"/>
      <c r="D3" s="2276"/>
      <c r="E3" s="2275"/>
      <c r="F3" s="2275"/>
      <c r="G3" s="2275"/>
      <c r="H3" s="2275"/>
      <c r="I3" s="2275"/>
      <c r="J3" s="2275"/>
      <c r="K3" s="1428"/>
      <c r="L3" s="1428"/>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9" customFormat="1" ht="15" thickBot="1">
      <c r="A4" s="68" t="s">
        <v>1967</v>
      </c>
      <c r="B4" s="2279"/>
      <c r="C4" s="2280"/>
      <c r="D4" s="2281"/>
      <c r="E4" s="2280" t="s">
        <v>1968</v>
      </c>
      <c r="F4" s="2280"/>
      <c r="G4" s="2280"/>
      <c r="H4" s="2280"/>
      <c r="I4" s="2280"/>
      <c r="J4" s="2282"/>
      <c r="K4" s="2283"/>
      <c r="L4" s="2284"/>
      <c r="M4" s="2280"/>
      <c r="N4" s="2280" t="s">
        <v>1969</v>
      </c>
      <c r="O4" s="2280"/>
      <c r="P4" s="2280"/>
      <c r="Q4" s="2280"/>
      <c r="R4" s="2280"/>
      <c r="S4" s="2282"/>
      <c r="T4" s="2285" t="str">
        <f>'数据-汇总表'!I17</f>
        <v>按面积比例</v>
      </c>
      <c r="U4" s="2279" t="s">
        <v>1970</v>
      </c>
      <c r="V4" s="2280"/>
      <c r="W4" s="2280"/>
      <c r="X4" s="2280"/>
      <c r="Y4" s="2282"/>
      <c r="Z4" s="2243" t="s">
        <v>1971</v>
      </c>
      <c r="AA4" s="2243"/>
      <c r="AB4" s="2243"/>
      <c r="AC4" s="2243"/>
      <c r="AD4" s="2243"/>
      <c r="AE4" s="2241" t="s">
        <v>1972</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0" customFormat="1" ht="42">
      <c r="A5" s="2287" t="s">
        <v>1973</v>
      </c>
      <c r="B5" s="2288" t="s">
        <v>1974</v>
      </c>
      <c r="C5" s="2289" t="s">
        <v>1975</v>
      </c>
      <c r="D5" s="2290" t="s">
        <v>1976</v>
      </c>
      <c r="E5" s="1269" t="s">
        <v>1977</v>
      </c>
      <c r="F5" s="2291" t="s">
        <v>1978</v>
      </c>
      <c r="G5" s="1269" t="s">
        <v>1979</v>
      </c>
      <c r="H5" s="1269" t="s">
        <v>1980</v>
      </c>
      <c r="I5" s="1269" t="s">
        <v>1981</v>
      </c>
      <c r="J5" s="2292" t="s">
        <v>1982</v>
      </c>
      <c r="K5" s="2293" t="s">
        <v>1983</v>
      </c>
      <c r="L5" s="2294" t="s">
        <v>1984</v>
      </c>
      <c r="M5" s="2295" t="s">
        <v>1985</v>
      </c>
      <c r="N5" s="2296" t="s">
        <v>3068</v>
      </c>
      <c r="O5" s="2294" t="s">
        <v>1986</v>
      </c>
      <c r="P5" s="2297" t="s">
        <v>1987</v>
      </c>
      <c r="Q5" s="69" t="s">
        <v>1988</v>
      </c>
      <c r="R5" s="2298" t="s">
        <v>1989</v>
      </c>
      <c r="S5" s="2299" t="s">
        <v>1990</v>
      </c>
      <c r="T5" s="2300" t="s">
        <v>1991</v>
      </c>
      <c r="U5" s="1268" t="s">
        <v>1992</v>
      </c>
      <c r="V5" s="1269" t="s">
        <v>1993</v>
      </c>
      <c r="W5" s="1269" t="s">
        <v>1994</v>
      </c>
      <c r="X5" s="71"/>
      <c r="Y5" s="70" t="s">
        <v>1995</v>
      </c>
      <c r="Z5" s="2301" t="s">
        <v>1992</v>
      </c>
      <c r="AA5" s="1269" t="s">
        <v>1993</v>
      </c>
      <c r="AB5" s="1269" t="s">
        <v>1994</v>
      </c>
      <c r="AC5" s="71"/>
      <c r="AD5" s="71" t="s">
        <v>1995</v>
      </c>
      <c r="AE5" s="1268" t="s">
        <v>1996</v>
      </c>
      <c r="AF5" s="1269" t="s">
        <v>1997</v>
      </c>
      <c r="AG5" s="70" t="s">
        <v>1998</v>
      </c>
      <c r="AH5" s="1268" t="s">
        <v>1999</v>
      </c>
      <c r="AI5" s="2301" t="s">
        <v>2000</v>
      </c>
      <c r="AJ5" s="2301" t="s">
        <v>2001</v>
      </c>
      <c r="AK5" s="1269" t="s">
        <v>2002</v>
      </c>
      <c r="AL5" s="1269" t="s">
        <v>2003</v>
      </c>
      <c r="AM5" s="70" t="s">
        <v>2004</v>
      </c>
      <c r="AN5" s="2302" t="s">
        <v>2005</v>
      </c>
      <c r="AO5" s="2073" t="s">
        <v>2006</v>
      </c>
      <c r="AP5" s="1250" t="s">
        <v>2007</v>
      </c>
      <c r="AQ5" s="2303" t="s">
        <v>2008</v>
      </c>
      <c r="AR5" s="2303" t="s">
        <v>2009</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4" t="str">
        <f>'数据-汇总表'!C19</f>
        <v>商业</v>
      </c>
      <c r="B6" s="2305" t="str">
        <f>IF(A6=0,"","经营性")</f>
        <v>经营性</v>
      </c>
      <c r="C6" s="2306" t="s">
        <v>1373</v>
      </c>
      <c r="D6" s="1052">
        <f>SUMIF(项目基本情况!D$12:I$12,C6,项目基本情况!D$14:I$14)</f>
        <v>40</v>
      </c>
      <c r="E6" s="1049">
        <f>IF(B6="","",SUMIF(项目基本情况!D$12:I$12,C6,项目基本情况!D$13:I$13))</f>
        <v>56227</v>
      </c>
      <c r="F6" s="72">
        <f>SUMIF(项目基本情况!D$12:I$12,C6,项目基本情况!D$15:I$15)</f>
        <v>34.67</v>
      </c>
      <c r="G6" s="73">
        <f>IF(ISERROR(ROUND(POWER(1+H6,D6-F6)*(POWER(1+H6,F6)-1)/(POWER(1+H6,D6)-1),3)),0,ROUND(POWER(1+H6,D6-F6)*(POWER(1+H6,F6)-1)/(POWER(1+H6,D6)-1),3))</f>
        <v>0.95099999999999996</v>
      </c>
      <c r="H6" s="800">
        <v>0.05</v>
      </c>
      <c r="I6" s="800">
        <v>5.5E-2</v>
      </c>
      <c r="J6" s="74">
        <v>0.08</v>
      </c>
      <c r="K6" s="1252">
        <f>SUMIF('数据-汇总表'!C$19:C$33,A6,'数据-汇总表'!E$19:E$33)</f>
        <v>18643.309999999998</v>
      </c>
      <c r="L6" s="801">
        <v>2800</v>
      </c>
      <c r="M6" s="75">
        <f t="shared" ref="M6:M14" si="0">ROUND(K6*L6/10000,0)</f>
        <v>5220</v>
      </c>
      <c r="N6" s="799">
        <v>1</v>
      </c>
      <c r="O6" s="75" t="str">
        <f>IF($N$5="成新度","——",ROUND(M6*N6,0))</f>
        <v>——</v>
      </c>
      <c r="P6" s="76" t="str">
        <f>IF($N$5="成新度","——",M6-O6)</f>
        <v>——</v>
      </c>
      <c r="Q6" s="802">
        <v>0.2</v>
      </c>
      <c r="R6" s="77">
        <f ca="1">SUMIF('数据-汇总表'!C$19:C$33,A6,'数据-汇总表'!R$19:R$27)</f>
        <v>6056.4</v>
      </c>
      <c r="S6" s="54">
        <f>IF('数据-汇总表'!$I$17="按面积比例",SUMIF('数据-汇总表'!C$19:C$33,A6,'数据-汇总表'!K$19:K$33),SUMIF('数据-汇总表'!C$19:C$33,A6,'数据-汇总表'!N$19:N$33))</f>
        <v>0</v>
      </c>
      <c r="T6" s="1444">
        <f>ROUND($L$14*S6/10000,0)</f>
        <v>0</v>
      </c>
      <c r="U6" s="78">
        <v>4</v>
      </c>
      <c r="V6" s="79">
        <v>0.03</v>
      </c>
      <c r="W6" s="79">
        <v>0.1</v>
      </c>
      <c r="X6" s="1262"/>
      <c r="Y6" s="80">
        <v>1</v>
      </c>
      <c r="Z6" s="81"/>
      <c r="AA6" s="74"/>
      <c r="AB6" s="74"/>
      <c r="AC6" s="1262"/>
      <c r="AD6" s="82"/>
      <c r="AE6" s="1263">
        <f ca="1">IF(AN6="",0,SUMIF(INDIRECT("'"&amp;AN6&amp;"'"&amp;"!E:E"),$AE$5,INDIRECT("'"&amp;AN6&amp;"'"&amp;"!F:F")))</f>
        <v>34.67</v>
      </c>
      <c r="AF6" s="1802"/>
      <c r="AG6" s="147">
        <f>IF(AF6="",0,AE6-AF6)</f>
        <v>0</v>
      </c>
      <c r="AH6" s="83"/>
      <c r="AI6" s="85">
        <v>365</v>
      </c>
      <c r="AJ6" s="86"/>
      <c r="AK6" s="87">
        <v>1.4999999999999999E-2</v>
      </c>
      <c r="AL6" s="88">
        <v>1.5E-3</v>
      </c>
      <c r="AM6" s="89">
        <v>0.02</v>
      </c>
      <c r="AN6" s="2307" t="s">
        <v>3069</v>
      </c>
      <c r="AO6" s="55">
        <f ca="1">SUMIF(INDIRECT("'"&amp;AN6&amp;"'"&amp;"!A:A"),"总价",INDIRECT("'"&amp;AN6&amp;"'"&amp;"!B:B"))</f>
        <v>41889</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9" customFormat="1" ht="14.25">
      <c r="A7" s="2304" t="str">
        <f>'数据-汇总表'!C20</f>
        <v>办公</v>
      </c>
      <c r="B7" s="2305" t="str">
        <f t="shared" ref="B7:B13" si="1">IF(A7=0,"","经营性")</f>
        <v>经营性</v>
      </c>
      <c r="C7" s="2306" t="s">
        <v>27</v>
      </c>
      <c r="D7" s="1052">
        <f>SUMIF(项目基本情况!D$12:I$12,C7,项目基本情况!D$14:I$14)</f>
        <v>50</v>
      </c>
      <c r="E7" s="1049">
        <f>IF(B7="","",SUMIF(项目基本情况!D$12:I$12,C7,项目基本情况!D$13:I$13))</f>
        <v>59879</v>
      </c>
      <c r="F7" s="72">
        <f>SUMIF(项目基本情况!D$12:I$12,C7,项目基本情况!D$15:I$15)</f>
        <v>44.68</v>
      </c>
      <c r="G7" s="73">
        <f t="shared" ref="G7:G11" si="2">IF(ISERROR(ROUND(POWER(1+H7,D7-F7)*(POWER(1+H7,F7)-1)/(POWER(1+H7,D7)-1),3)),0,ROUND(POWER(1+H7,D7-F7)*(POWER(1+H7,F7)-1)/(POWER(1+H7,D7)-1),3))</f>
        <v>0.96699999999999997</v>
      </c>
      <c r="H7" s="800">
        <v>4.4999999999999998E-2</v>
      </c>
      <c r="I7" s="800">
        <v>0.05</v>
      </c>
      <c r="J7" s="74">
        <v>0.08</v>
      </c>
      <c r="K7" s="1252">
        <f>SUMIF('数据-汇总表'!C$19:C$33,A7,'数据-汇总表'!E$19:E$33)</f>
        <v>31807.97</v>
      </c>
      <c r="L7" s="801">
        <v>2800</v>
      </c>
      <c r="M7" s="75">
        <f t="shared" si="0"/>
        <v>8906</v>
      </c>
      <c r="N7" s="799">
        <v>1</v>
      </c>
      <c r="O7" s="75" t="str">
        <f t="shared" ref="O7:O14" si="3">IF($N$5="成新度","——",ROUND(M7*N7,0))</f>
        <v>——</v>
      </c>
      <c r="P7" s="76" t="str">
        <f t="shared" ref="P7:P14" si="4">IF($N$5="成新度","——",M7-O7)</f>
        <v>——</v>
      </c>
      <c r="Q7" s="802">
        <v>0.2</v>
      </c>
      <c r="R7" s="77">
        <f ca="1">SUMIF('数据-汇总表'!C$19:C$33,A7,'数据-汇总表'!R$19:R$27)</f>
        <v>10333.02</v>
      </c>
      <c r="S7" s="54">
        <f>IF('数据-汇总表'!$I$17="按面积比例",SUMIF('数据-汇总表'!C$19:C$33,A7,'数据-汇总表'!K$19:K$33),SUMIF('数据-汇总表'!C$19:C$33,A7,'数据-汇总表'!N$19:N$33))</f>
        <v>0</v>
      </c>
      <c r="T7" s="1444">
        <f t="shared" ref="T7:T13" si="5">ROUND($L$14*S7/10000,0)</f>
        <v>0</v>
      </c>
      <c r="U7" s="78">
        <v>3</v>
      </c>
      <c r="V7" s="79">
        <v>0.03</v>
      </c>
      <c r="W7" s="79">
        <v>0.1</v>
      </c>
      <c r="X7" s="1262"/>
      <c r="Y7" s="80">
        <v>1</v>
      </c>
      <c r="Z7" s="81"/>
      <c r="AA7" s="74"/>
      <c r="AB7" s="74"/>
      <c r="AC7" s="1262"/>
      <c r="AD7" s="82"/>
      <c r="AE7" s="1263">
        <f t="shared" ref="AE7:AE13" ca="1" si="6">IF(AN7="",0,SUMIF(INDIRECT("'"&amp;AN7&amp;"'"&amp;"!E:E"),$AE$5,INDIRECT("'"&amp;AN7&amp;"'"&amp;"!F:F")))</f>
        <v>44.68</v>
      </c>
      <c r="AF7" s="1802"/>
      <c r="AG7" s="147">
        <f t="shared" ref="AG7:AG13" si="7">IF(AF7="",0,AE7-AF7)</f>
        <v>0</v>
      </c>
      <c r="AH7" s="83"/>
      <c r="AI7" s="85">
        <v>365</v>
      </c>
      <c r="AJ7" s="86"/>
      <c r="AK7" s="87">
        <v>1.4999999999999999E-2</v>
      </c>
      <c r="AL7" s="88">
        <v>1.5E-3</v>
      </c>
      <c r="AM7" s="89">
        <v>0.02</v>
      </c>
      <c r="AN7" s="2307" t="s">
        <v>3071</v>
      </c>
      <c r="AO7" s="55">
        <f t="shared" ref="AO7:AO13" ca="1" si="8">SUMIF(INDIRECT("'"&amp;AN7&amp;"'"&amp;"!A:A"),"总价",INDIRECT("'"&amp;AN7&amp;"'"&amp;"!B:B"))</f>
        <v>66616</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9" customFormat="1" ht="14.25">
      <c r="A8" s="2304" t="str">
        <f>'数据-汇总表'!C21</f>
        <v>公寓</v>
      </c>
      <c r="B8" s="2305" t="str">
        <f t="shared" si="1"/>
        <v>经营性</v>
      </c>
      <c r="C8" s="2306" t="s">
        <v>27</v>
      </c>
      <c r="D8" s="1052">
        <f>SUMIF(项目基本情况!D$12:I$12,C8,项目基本情况!D$14:I$14)</f>
        <v>50</v>
      </c>
      <c r="E8" s="1049">
        <f>IF(B8="","",SUMIF(项目基本情况!D$12:I$12,C8,项目基本情况!D$13:I$13))</f>
        <v>59879</v>
      </c>
      <c r="F8" s="72">
        <f>SUMIF(项目基本情况!D$12:I$12,C8,项目基本情况!D$15:I$15)</f>
        <v>44.68</v>
      </c>
      <c r="G8" s="73">
        <f t="shared" si="2"/>
        <v>0.96199999999999997</v>
      </c>
      <c r="H8" s="800">
        <v>0.04</v>
      </c>
      <c r="I8" s="800">
        <v>4.4999999999999998E-2</v>
      </c>
      <c r="J8" s="74">
        <v>0.08</v>
      </c>
      <c r="K8" s="1252">
        <f>SUMIF('数据-汇总表'!C$19:C$33,A8,'数据-汇总表'!E$19:E$33)</f>
        <v>16206.23</v>
      </c>
      <c r="L8" s="801">
        <v>2800</v>
      </c>
      <c r="M8" s="75">
        <f>ROUND(K8*L8/10000,0)</f>
        <v>4538</v>
      </c>
      <c r="N8" s="799">
        <v>1</v>
      </c>
      <c r="O8" s="75" t="str">
        <f t="shared" si="3"/>
        <v>——</v>
      </c>
      <c r="P8" s="76" t="str">
        <f t="shared" si="4"/>
        <v>——</v>
      </c>
      <c r="Q8" s="802">
        <v>0.2</v>
      </c>
      <c r="R8" s="77">
        <f ca="1">SUMIF('数据-汇总表'!C$19:C$33,A8,'数据-汇总表'!R$19:R$27)</f>
        <v>5264.7</v>
      </c>
      <c r="S8" s="54">
        <f>IF('数据-汇总表'!$I$17="按面积比例",SUMIF('数据-汇总表'!C$19:C$33,A8,'数据-汇总表'!K$19:K$33),SUMIF('数据-汇总表'!C$19:C$33,A8,'数据-汇总表'!N$19:N$33))</f>
        <v>0</v>
      </c>
      <c r="T8" s="1444">
        <f t="shared" si="5"/>
        <v>0</v>
      </c>
      <c r="U8" s="803">
        <v>3</v>
      </c>
      <c r="V8" s="804">
        <v>2.5000000000000001E-2</v>
      </c>
      <c r="W8" s="804">
        <v>0.1</v>
      </c>
      <c r="X8" s="1262"/>
      <c r="Y8" s="805">
        <v>1</v>
      </c>
      <c r="Z8" s="81"/>
      <c r="AA8" s="74"/>
      <c r="AB8" s="74"/>
      <c r="AC8" s="1262"/>
      <c r="AD8" s="82"/>
      <c r="AE8" s="1263">
        <f t="shared" ca="1" si="6"/>
        <v>44.68</v>
      </c>
      <c r="AF8" s="1802"/>
      <c r="AG8" s="147">
        <f t="shared" si="7"/>
        <v>0</v>
      </c>
      <c r="AH8" s="806"/>
      <c r="AI8" s="85">
        <v>365</v>
      </c>
      <c r="AJ8" s="86"/>
      <c r="AK8" s="807">
        <v>1.4999999999999999E-2</v>
      </c>
      <c r="AL8" s="808">
        <v>1.5E-3</v>
      </c>
      <c r="AM8" s="809">
        <v>0.02</v>
      </c>
      <c r="AN8" s="2307" t="s">
        <v>3311</v>
      </c>
      <c r="AO8" s="55">
        <f t="shared" ca="1" si="8"/>
        <v>34018</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9" customFormat="1" ht="14.25">
      <c r="A9" s="2304">
        <f>'数据-汇总表'!C22</f>
        <v>0</v>
      </c>
      <c r="B9" s="2305" t="str">
        <f t="shared" si="1"/>
        <v/>
      </c>
      <c r="C9" s="2306"/>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2"/>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9" customFormat="1" ht="14.25">
      <c r="A10" s="2304">
        <f>'数据-汇总表'!C23</f>
        <v>0</v>
      </c>
      <c r="B10" s="2305" t="str">
        <f t="shared" si="1"/>
        <v/>
      </c>
      <c r="C10" s="2306"/>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2"/>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9" customFormat="1" ht="14.25">
      <c r="A11" s="2304">
        <f>'数据-汇总表'!C24</f>
        <v>0</v>
      </c>
      <c r="B11" s="2305" t="str">
        <f t="shared" si="1"/>
        <v/>
      </c>
      <c r="C11" s="2306"/>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2"/>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9" customFormat="1" ht="14.25">
      <c r="A12" s="2304">
        <f>'数据-汇总表'!C25</f>
        <v>0</v>
      </c>
      <c r="B12" s="2305" t="str">
        <f t="shared" si="1"/>
        <v/>
      </c>
      <c r="C12" s="2306"/>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2"/>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9" customFormat="1" ht="14.25">
      <c r="A13" s="2304">
        <f>'数据-汇总表'!C26</f>
        <v>0</v>
      </c>
      <c r="B13" s="2305" t="str">
        <f t="shared" si="1"/>
        <v/>
      </c>
      <c r="C13" s="2306"/>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2"/>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9" customFormat="1" ht="14.25">
      <c r="A14" s="2309" t="s">
        <v>2010</v>
      </c>
      <c r="B14" s="2305" t="s">
        <v>2011</v>
      </c>
      <c r="C14" s="2310" t="s">
        <v>2010</v>
      </c>
      <c r="D14" s="1052"/>
      <c r="E14" s="1049"/>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4"/>
      <c r="U14" s="721"/>
      <c r="V14" s="1257"/>
      <c r="W14" s="1257"/>
      <c r="X14" s="1258"/>
      <c r="Y14" s="1259"/>
      <c r="Z14" s="1260"/>
      <c r="AA14" s="1261"/>
      <c r="AB14" s="1261"/>
      <c r="AC14" s="1262"/>
      <c r="AD14" s="1258"/>
      <c r="AE14" s="1263"/>
      <c r="AF14" s="55"/>
      <c r="AG14" s="147"/>
      <c r="AH14" s="1263"/>
      <c r="AI14" s="1813"/>
      <c r="AJ14" s="771"/>
      <c r="AK14" s="1264"/>
      <c r="AL14" s="1265"/>
      <c r="AM14" s="1266"/>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9" customFormat="1" ht="27">
      <c r="A15" s="2309" t="s">
        <v>2012</v>
      </c>
      <c r="B15" s="2305" t="s">
        <v>2011</v>
      </c>
      <c r="C15" s="2310" t="s">
        <v>2013</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1"/>
      <c r="V15" s="1257"/>
      <c r="W15" s="1257"/>
      <c r="X15" s="1258"/>
      <c r="Y15" s="1259"/>
      <c r="Z15" s="1260"/>
      <c r="AA15" s="1261"/>
      <c r="AB15" s="1261"/>
      <c r="AC15" s="1262"/>
      <c r="AD15" s="1258"/>
      <c r="AE15" s="1263"/>
      <c r="AF15" s="55"/>
      <c r="AG15" s="147"/>
      <c r="AH15" s="1263"/>
      <c r="AI15" s="1813"/>
      <c r="AJ15" s="771"/>
      <c r="AK15" s="1264"/>
      <c r="AL15" s="1265"/>
      <c r="AM15" s="1266"/>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9" customFormat="1" ht="15.75" thickBot="1">
      <c r="A16" s="2311" t="s">
        <v>2014</v>
      </c>
      <c r="B16" s="97"/>
      <c r="C16" s="1006"/>
      <c r="D16" s="2312"/>
      <c r="E16" s="97"/>
      <c r="F16" s="97"/>
      <c r="G16" s="98">
        <f>ROUND(SUMPRODUCT(G6:G13,K6:K13)/SUMPRODUCT((G6:G13&gt;0)*(K6:K13)),3)</f>
        <v>0.96099999999999997</v>
      </c>
      <c r="H16" s="99">
        <f>ROUND(SUMPRODUCT(H6:H13,K6:K13)/SUMPRODUCT((H6:H13&gt;0)*(K6:K13)),3)</f>
        <v>4.4999999999999998E-2</v>
      </c>
      <c r="I16" s="100"/>
      <c r="J16" s="100"/>
      <c r="K16" s="101">
        <f>SUM(K6:K15)</f>
        <v>66657.509999999995</v>
      </c>
      <c r="L16" s="102">
        <f>ROUND(M16*10000/SUM(K6:K14),0)</f>
        <v>2800</v>
      </c>
      <c r="M16" s="102">
        <f>SUM(M6:M14)</f>
        <v>18664</v>
      </c>
      <c r="N16" s="103">
        <f>ROUND(SUMPRODUCT(M6:M14,N6:N14)/M16,3)</f>
        <v>1</v>
      </c>
      <c r="O16" s="102">
        <f>SUM(O6:O14)</f>
        <v>0</v>
      </c>
      <c r="P16" s="102">
        <f>SUM(P6:P14)</f>
        <v>0</v>
      </c>
      <c r="Q16" s="104">
        <f>ROUND(SUMPRODUCT(Q6:Q13,K6:K13)/SUMPRODUCT((Q6:Q13&gt;0)*(K6:K13)),2)</f>
        <v>0.2</v>
      </c>
      <c r="R16" s="1256">
        <f ca="1">SUM(R6:R13)</f>
        <v>21654.12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0"/>
      <c r="C17" s="1582"/>
      <c r="D17" s="2271"/>
      <c r="E17" s="2271"/>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2015</v>
      </c>
      <c r="B18" s="2278"/>
      <c r="C18" s="2275"/>
      <c r="D18" s="2276"/>
      <c r="E18" s="2275"/>
      <c r="F18" s="2275"/>
      <c r="G18" s="2275"/>
      <c r="H18" s="2275"/>
      <c r="I18" s="2275"/>
      <c r="J18" s="2275"/>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4" t="s">
        <v>2016</v>
      </c>
      <c r="B19" s="112">
        <v>0</v>
      </c>
      <c r="C19" s="2275" t="s">
        <v>2017</v>
      </c>
      <c r="D19" s="2276"/>
      <c r="E19" s="2275"/>
      <c r="F19" s="2275"/>
      <c r="G19" s="2275"/>
      <c r="H19" s="2275"/>
      <c r="I19" s="2275"/>
      <c r="J19" s="2275"/>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5" t="s">
        <v>2018</v>
      </c>
      <c r="B20" s="113">
        <v>2</v>
      </c>
      <c r="C20" s="2275" t="s">
        <v>2019</v>
      </c>
      <c r="D20" s="2276"/>
      <c r="E20" s="2275"/>
      <c r="F20" s="2275"/>
      <c r="G20" s="2275"/>
      <c r="H20" s="2275"/>
      <c r="I20" s="2275"/>
      <c r="J20" s="2275"/>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6" t="s">
        <v>2020</v>
      </c>
      <c r="B21" s="113">
        <v>2</v>
      </c>
      <c r="C21" s="2275"/>
      <c r="D21" s="2276"/>
      <c r="E21" s="2275"/>
      <c r="F21" s="2275"/>
      <c r="G21" s="2275"/>
      <c r="H21" s="2275"/>
      <c r="I21" s="2275"/>
      <c r="J21" s="2275"/>
      <c r="K21" s="168"/>
      <c r="L21" s="2992" t="s">
        <v>3152</v>
      </c>
      <c r="M21" s="2993" t="s">
        <v>3153</v>
      </c>
      <c r="N21" s="2993" t="s">
        <v>3154</v>
      </c>
      <c r="O21" s="2993" t="s">
        <v>3155</v>
      </c>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5" t="s">
        <v>2021</v>
      </c>
      <c r="B22" s="114">
        <f>B19+B20</f>
        <v>2</v>
      </c>
      <c r="C22" s="2275"/>
      <c r="D22" s="2276"/>
      <c r="E22" s="2275"/>
      <c r="F22" s="2275"/>
      <c r="G22" s="2275"/>
      <c r="H22" s="2275"/>
      <c r="I22" s="2275"/>
      <c r="J22" s="2275"/>
      <c r="K22" s="168">
        <v>1</v>
      </c>
      <c r="L22" s="168">
        <f>面积!B4</f>
        <v>6314.19</v>
      </c>
      <c r="M22" s="1582">
        <f>ROUND(L22/L$25,2)</f>
        <v>0.34</v>
      </c>
      <c r="N22" s="1582">
        <v>5</v>
      </c>
      <c r="O22" s="1582">
        <v>1</v>
      </c>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6" t="s">
        <v>2022</v>
      </c>
      <c r="B23" s="114">
        <f>B19+B21</f>
        <v>2</v>
      </c>
      <c r="C23" s="2275"/>
      <c r="D23" s="2276"/>
      <c r="E23" s="2275"/>
      <c r="F23" s="2275"/>
      <c r="G23" s="2275"/>
      <c r="H23" s="2275"/>
      <c r="I23" s="2275"/>
      <c r="J23" s="2275"/>
      <c r="K23" s="168">
        <v>2</v>
      </c>
      <c r="L23" s="168">
        <f>面积!B5</f>
        <v>6699.04</v>
      </c>
      <c r="M23" s="1582">
        <f t="shared" ref="M23:M24" si="12">ROUND(L23/L$25,2)</f>
        <v>0.36</v>
      </c>
      <c r="N23" s="1582">
        <f>N22*O23</f>
        <v>3.5</v>
      </c>
      <c r="O23" s="1582">
        <v>0.7</v>
      </c>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7" t="s">
        <v>2023</v>
      </c>
      <c r="B24" s="115">
        <f>B20-B21</f>
        <v>0</v>
      </c>
      <c r="C24" s="2275"/>
      <c r="D24" s="2276"/>
      <c r="E24" s="2275"/>
      <c r="F24" s="2275"/>
      <c r="G24" s="2275"/>
      <c r="H24" s="2275"/>
      <c r="I24" s="2275"/>
      <c r="J24" s="2275"/>
      <c r="K24" s="168">
        <v>3</v>
      </c>
      <c r="L24" s="168">
        <f>面积!B6</f>
        <v>5630.08</v>
      </c>
      <c r="M24" s="1582">
        <f t="shared" si="12"/>
        <v>0.3</v>
      </c>
      <c r="N24" s="1582">
        <f>N22*O24</f>
        <v>3.25</v>
      </c>
      <c r="O24" s="1582">
        <v>0.65</v>
      </c>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27"/>
      <c r="B25" s="2278"/>
      <c r="C25" s="2275"/>
      <c r="D25" s="2276"/>
      <c r="E25" s="2275"/>
      <c r="F25" s="2275"/>
      <c r="G25" s="2275"/>
      <c r="H25" s="2275"/>
      <c r="I25" s="2275"/>
      <c r="J25" s="2275"/>
      <c r="K25" s="168"/>
      <c r="L25" s="168">
        <f>SUM(L22:L24)</f>
        <v>18643.309999999998</v>
      </c>
      <c r="M25" s="1582"/>
      <c r="N25" s="1582">
        <f>N22*M22+N23*M23+N24*M24</f>
        <v>3.9350000000000001</v>
      </c>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4" t="s">
        <v>2024</v>
      </c>
      <c r="B26" s="2318" t="s">
        <v>2025</v>
      </c>
      <c r="C26" s="2319" t="s">
        <v>2026</v>
      </c>
      <c r="D26" s="2276"/>
      <c r="E26" s="2275"/>
      <c r="F26" s="2275"/>
      <c r="G26" s="2275"/>
      <c r="H26" s="2275"/>
      <c r="I26" s="2275"/>
      <c r="J26" s="2275"/>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2" customFormat="1" ht="27.75">
      <c r="A27" s="2320" t="s">
        <v>2027</v>
      </c>
      <c r="B27" s="116"/>
      <c r="C27" s="1762" t="s">
        <v>2028</v>
      </c>
      <c r="D27" s="2321"/>
      <c r="E27" s="1428"/>
      <c r="F27" s="1428"/>
      <c r="G27" s="2275"/>
      <c r="H27" s="2275"/>
      <c r="I27" s="2275"/>
      <c r="J27" s="2275"/>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2" customFormat="1" ht="27.75">
      <c r="A28" s="2323" t="s">
        <v>2029</v>
      </c>
      <c r="B28" s="119">
        <v>190</v>
      </c>
      <c r="C28" s="2324"/>
      <c r="D28" s="2321"/>
      <c r="E28" s="1428"/>
      <c r="F28" s="1428"/>
      <c r="G28" s="2275"/>
      <c r="H28" s="2275"/>
      <c r="I28" s="2275"/>
      <c r="J28" s="2275"/>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2" customFormat="1" ht="28.5" thickBot="1">
      <c r="A29" s="2325" t="s">
        <v>2030</v>
      </c>
      <c r="B29" s="121"/>
      <c r="C29" s="1762" t="s">
        <v>2031</v>
      </c>
      <c r="D29" s="2321"/>
      <c r="E29" s="1428"/>
      <c r="F29" s="1428"/>
      <c r="G29" s="2275"/>
      <c r="H29" s="2275"/>
      <c r="I29" s="2275"/>
      <c r="J29" s="2275"/>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2" customFormat="1" ht="27">
      <c r="A30" s="2326" t="s">
        <v>2032</v>
      </c>
      <c r="B30" s="722">
        <v>200</v>
      </c>
      <c r="C30" s="2324"/>
      <c r="D30" s="2321"/>
      <c r="E30" s="1428"/>
      <c r="F30" s="1428"/>
      <c r="G30" s="2275"/>
      <c r="H30" s="2275"/>
      <c r="I30" s="2275"/>
      <c r="J30" s="2275"/>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2" customFormat="1" ht="27">
      <c r="A31" s="2323" t="s">
        <v>2033</v>
      </c>
      <c r="B31" s="120">
        <f>B30-B32</f>
        <v>200</v>
      </c>
      <c r="C31" s="1762"/>
      <c r="D31" s="2321"/>
      <c r="E31" s="1428"/>
      <c r="F31" s="1428"/>
      <c r="G31" s="2275"/>
      <c r="H31" s="2275"/>
      <c r="I31" s="2275"/>
      <c r="J31" s="2275"/>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2" customFormat="1" ht="27.75" thickBot="1">
      <c r="A32" s="2327" t="s">
        <v>2034</v>
      </c>
      <c r="B32" s="723">
        <v>0</v>
      </c>
      <c r="C32" s="2324"/>
      <c r="D32" s="2276"/>
      <c r="E32" s="2275"/>
      <c r="F32" s="2275"/>
      <c r="G32" s="2275"/>
      <c r="H32" s="2275"/>
      <c r="I32" s="2275"/>
      <c r="J32" s="2275"/>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2" customFormat="1" ht="14.25">
      <c r="A33" s="2320" t="s">
        <v>2035</v>
      </c>
      <c r="B33" s="724">
        <v>0.03</v>
      </c>
      <c r="C33" s="1761" t="s">
        <v>2036</v>
      </c>
      <c r="D33" s="2276"/>
      <c r="E33" s="2275"/>
      <c r="F33" s="2275"/>
      <c r="G33" s="2275"/>
      <c r="H33" s="2275"/>
      <c r="I33" s="2275"/>
      <c r="J33" s="2275"/>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2" customFormat="1" ht="14.25">
      <c r="A34" s="2323" t="s">
        <v>2037</v>
      </c>
      <c r="B34" s="122">
        <v>0.05</v>
      </c>
      <c r="C34" s="1761" t="s">
        <v>2038</v>
      </c>
      <c r="D34" s="2276" t="s">
        <v>2039</v>
      </c>
      <c r="E34" s="730"/>
      <c r="F34" s="2275"/>
      <c r="G34" s="2275"/>
      <c r="H34" s="2275"/>
      <c r="I34" s="2275"/>
      <c r="J34" s="2275"/>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2" customFormat="1" ht="14.25">
      <c r="A35" s="2323" t="s">
        <v>2040</v>
      </c>
      <c r="B35" s="119">
        <v>200</v>
      </c>
      <c r="C35" s="1761" t="s">
        <v>2041</v>
      </c>
      <c r="D35" s="2321"/>
      <c r="E35" s="1428"/>
      <c r="F35" s="1428"/>
      <c r="G35" s="2275"/>
      <c r="H35" s="2275"/>
      <c r="I35" s="2275"/>
      <c r="J35" s="2275"/>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5" t="s">
        <v>2042</v>
      </c>
      <c r="B36" s="123">
        <v>1.4999999999999999E-2</v>
      </c>
      <c r="C36" s="1761" t="s">
        <v>2043</v>
      </c>
      <c r="D36" s="2276"/>
      <c r="E36" s="2275"/>
      <c r="F36" s="2275"/>
      <c r="G36" s="2275"/>
      <c r="H36" s="2275"/>
      <c r="I36" s="2275"/>
      <c r="J36" s="2275"/>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6" t="s">
        <v>2044</v>
      </c>
      <c r="B37" s="124">
        <v>0.02</v>
      </c>
      <c r="C37" s="1761" t="s">
        <v>2045</v>
      </c>
      <c r="D37" s="2276"/>
      <c r="E37" s="2275"/>
      <c r="F37" s="2275"/>
      <c r="G37" s="2275"/>
      <c r="H37" s="2275"/>
      <c r="I37" s="2275"/>
      <c r="J37" s="2275"/>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3" t="s">
        <v>2046</v>
      </c>
      <c r="B38" s="122">
        <v>0.02</v>
      </c>
      <c r="C38" s="1761" t="s">
        <v>2045</v>
      </c>
      <c r="D38" s="2276"/>
      <c r="E38" s="2275"/>
      <c r="F38" s="2275"/>
      <c r="G38" s="2275"/>
      <c r="H38" s="2275"/>
      <c r="I38" s="2275"/>
      <c r="J38" s="2275"/>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7" t="s">
        <v>2047</v>
      </c>
      <c r="B39" s="362">
        <f ca="1">存贷款利率!I1</f>
        <v>1.4999999999999999E-2</v>
      </c>
      <c r="C39" s="1761"/>
      <c r="D39" s="2276"/>
      <c r="E39" s="2275"/>
      <c r="F39" s="2275"/>
      <c r="G39" s="2275"/>
      <c r="H39" s="2275"/>
      <c r="I39" s="2275"/>
      <c r="J39" s="2275"/>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7" t="s">
        <v>2048</v>
      </c>
      <c r="B40" s="1301">
        <f ca="1">存贷款利率!G1</f>
        <v>4.7500000000000001E-2</v>
      </c>
      <c r="C40" s="1761" t="s">
        <v>2049</v>
      </c>
      <c r="D40" s="1582"/>
      <c r="E40" s="2276"/>
      <c r="F40" s="2275"/>
      <c r="G40" s="2275"/>
      <c r="H40" s="2275"/>
      <c r="I40" s="2275"/>
      <c r="J40" s="2275"/>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0" t="s">
        <v>2050</v>
      </c>
      <c r="B41" s="125">
        <f>B42+B43</f>
        <v>5.5000000000000007E-2</v>
      </c>
      <c r="C41" s="1762"/>
      <c r="D41" s="1582"/>
      <c r="E41" s="2276"/>
      <c r="F41" s="2275"/>
      <c r="G41" s="2275"/>
      <c r="H41" s="2275"/>
      <c r="I41" s="2275"/>
      <c r="J41" s="2275"/>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8" t="s">
        <v>2051</v>
      </c>
      <c r="B42" s="126">
        <v>0.05</v>
      </c>
      <c r="C42" s="2329">
        <f>IF(B2&lt;DATE(2016,5,1),0,B42)</f>
        <v>0.05</v>
      </c>
      <c r="D42" s="2276"/>
      <c r="E42" s="2275"/>
      <c r="F42" s="2275"/>
      <c r="G42" s="2275"/>
      <c r="H42" s="2275"/>
      <c r="I42" s="2275"/>
      <c r="J42" s="2275"/>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8" t="s">
        <v>2052</v>
      </c>
      <c r="B43" s="127">
        <f>B42*(B44+B45+B46)+B47</f>
        <v>5.000000000000001E-3</v>
      </c>
      <c r="C43" s="1762"/>
      <c r="D43" s="2276"/>
      <c r="E43" s="2275"/>
      <c r="F43" s="2275"/>
      <c r="G43" s="2275"/>
      <c r="H43" s="2275"/>
      <c r="I43" s="2275"/>
      <c r="J43" s="2275"/>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0" t="s">
        <v>2053</v>
      </c>
      <c r="B44" s="128">
        <v>0.05</v>
      </c>
      <c r="C44" s="1761" t="s">
        <v>2054</v>
      </c>
      <c r="D44" s="2276"/>
      <c r="E44" s="2275"/>
      <c r="F44" s="2275"/>
      <c r="G44" s="2275"/>
      <c r="H44" s="2275"/>
      <c r="I44" s="2275"/>
      <c r="J44" s="2275"/>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0" t="s">
        <v>2055</v>
      </c>
      <c r="B45" s="126">
        <v>0.03</v>
      </c>
      <c r="C45" s="1762" t="s">
        <v>2056</v>
      </c>
      <c r="D45" s="2276"/>
      <c r="E45" s="2275"/>
      <c r="F45" s="2275"/>
      <c r="G45" s="2275"/>
      <c r="H45" s="2275"/>
      <c r="I45" s="2275"/>
      <c r="J45" s="2275"/>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0" t="s">
        <v>2057</v>
      </c>
      <c r="B46" s="126">
        <v>0.02</v>
      </c>
      <c r="C46" s="1762" t="s">
        <v>2058</v>
      </c>
      <c r="D46" s="2276"/>
      <c r="E46" s="2275"/>
      <c r="F46" s="2275"/>
      <c r="G46" s="2275"/>
      <c r="H46" s="2275"/>
      <c r="I46" s="2275"/>
      <c r="J46" s="2275"/>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1" t="s">
        <v>2059</v>
      </c>
      <c r="B47" s="129"/>
      <c r="C47" s="1762" t="s">
        <v>2060</v>
      </c>
      <c r="D47" s="2276"/>
      <c r="E47" s="2275"/>
      <c r="F47" s="2275"/>
      <c r="G47" s="2275"/>
      <c r="H47" s="2275"/>
      <c r="I47" s="2275"/>
      <c r="J47" s="2275"/>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2" t="s">
        <v>2061</v>
      </c>
      <c r="B48" s="130">
        <v>0.03</v>
      </c>
      <c r="C48" s="1769" t="s">
        <v>2062</v>
      </c>
      <c r="D48" s="2276"/>
      <c r="E48" s="2275"/>
      <c r="F48" s="2275"/>
      <c r="G48" s="2275"/>
      <c r="H48" s="2275"/>
      <c r="I48" s="2275"/>
      <c r="J48" s="2275"/>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7" t="s">
        <v>2063</v>
      </c>
      <c r="B49" s="126">
        <v>5.0000000000000001E-4</v>
      </c>
      <c r="C49" s="1769" t="s">
        <v>2064</v>
      </c>
      <c r="D49" s="2276"/>
      <c r="E49" s="2275"/>
      <c r="F49" s="2275"/>
      <c r="G49" s="2275"/>
      <c r="H49" s="2275"/>
      <c r="I49" s="2275"/>
      <c r="J49" s="2275"/>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3" t="s">
        <v>2065</v>
      </c>
      <c r="B50" s="131">
        <v>1.2E-2</v>
      </c>
      <c r="C50" s="1428"/>
      <c r="D50" s="2276"/>
      <c r="E50" s="2275"/>
      <c r="F50" s="2275"/>
      <c r="G50" s="2275"/>
      <c r="H50" s="2275"/>
      <c r="I50" s="2275"/>
      <c r="J50" s="2275"/>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5" t="s">
        <v>2066</v>
      </c>
      <c r="B51" s="132">
        <v>0.12</v>
      </c>
      <c r="C51" s="1428"/>
      <c r="D51" s="2276"/>
      <c r="E51" s="2275"/>
      <c r="F51" s="2275"/>
      <c r="G51" s="2275"/>
      <c r="H51" s="2275"/>
      <c r="I51" s="2275"/>
      <c r="J51" s="2275"/>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3" t="s">
        <v>2067</v>
      </c>
      <c r="B52" s="133">
        <f>SUMIF(A54:A63,B53,B54:B63)</f>
        <v>3</v>
      </c>
      <c r="C52" s="1428"/>
      <c r="D52" s="2276"/>
      <c r="E52" s="2275"/>
      <c r="F52" s="2275"/>
      <c r="G52" s="2275"/>
      <c r="H52" s="2275"/>
      <c r="I52" s="2275"/>
      <c r="J52" s="2275"/>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3" t="s">
        <v>2068</v>
      </c>
      <c r="B53" s="2334" t="s">
        <v>523</v>
      </c>
      <c r="C53" s="1428" t="s">
        <v>2069</v>
      </c>
      <c r="D53" s="2335" t="s">
        <v>2070</v>
      </c>
      <c r="E53" s="2275"/>
      <c r="F53" s="2275"/>
      <c r="G53" s="2275"/>
      <c r="H53" s="2275"/>
      <c r="I53" s="2275"/>
      <c r="J53" s="2275"/>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6" t="s">
        <v>2071</v>
      </c>
      <c r="B54" s="84"/>
      <c r="C54" s="1428">
        <v>30</v>
      </c>
      <c r="D54" s="2276"/>
      <c r="E54" s="2275"/>
      <c r="F54" s="2275"/>
      <c r="G54" s="2275"/>
      <c r="H54" s="2275"/>
      <c r="I54" s="2275"/>
      <c r="J54" s="2275"/>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6" t="s">
        <v>2072</v>
      </c>
      <c r="B55" s="84"/>
      <c r="C55" s="1428">
        <v>24</v>
      </c>
      <c r="D55" s="2276"/>
      <c r="E55" s="2275"/>
      <c r="F55" s="2275"/>
      <c r="G55" s="2275"/>
      <c r="H55" s="2275"/>
      <c r="I55" s="2337"/>
      <c r="J55" s="2275"/>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6" t="s">
        <v>2073</v>
      </c>
      <c r="B56" s="84"/>
      <c r="C56" s="1428">
        <v>18</v>
      </c>
      <c r="D56" s="2276"/>
      <c r="E56" s="2275"/>
      <c r="F56" s="2275"/>
      <c r="G56" s="2275"/>
      <c r="H56" s="2275"/>
      <c r="I56" s="2275"/>
      <c r="J56" s="2275"/>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6" t="s">
        <v>2074</v>
      </c>
      <c r="B57" s="84"/>
      <c r="C57" s="1428">
        <v>12</v>
      </c>
      <c r="D57" s="2276"/>
      <c r="E57" s="2275"/>
      <c r="F57" s="2275"/>
      <c r="G57" s="2275"/>
      <c r="H57" s="2275"/>
      <c r="I57" s="2275"/>
      <c r="J57" s="2275"/>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6" t="s">
        <v>2075</v>
      </c>
      <c r="B58" s="84">
        <v>3</v>
      </c>
      <c r="C58" s="1428">
        <v>3</v>
      </c>
      <c r="D58" s="2276"/>
      <c r="E58" s="2275"/>
      <c r="F58" s="2275"/>
      <c r="G58" s="2275"/>
      <c r="H58" s="2275"/>
      <c r="I58" s="2275"/>
      <c r="J58" s="2275"/>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6" t="s">
        <v>2076</v>
      </c>
      <c r="B59" s="84"/>
      <c r="C59" s="1428">
        <v>1.5</v>
      </c>
      <c r="D59" s="2276"/>
      <c r="E59" s="2275"/>
      <c r="F59" s="2275"/>
      <c r="G59" s="2275"/>
      <c r="H59" s="2275"/>
      <c r="I59" s="2275"/>
      <c r="J59" s="2275"/>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6" t="s">
        <v>2077</v>
      </c>
      <c r="B60" s="84"/>
      <c r="C60" s="2275"/>
      <c r="D60" s="2276"/>
      <c r="E60" s="2275"/>
      <c r="F60" s="2275"/>
      <c r="G60" s="2275"/>
      <c r="H60" s="2275"/>
      <c r="I60" s="2275"/>
      <c r="J60" s="2275"/>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6" t="s">
        <v>2078</v>
      </c>
      <c r="B61" s="84"/>
      <c r="C61" s="2275"/>
      <c r="D61" s="2276"/>
      <c r="E61" s="2275"/>
      <c r="F61" s="2275"/>
      <c r="G61" s="2275"/>
      <c r="H61" s="2275"/>
      <c r="I61" s="2275"/>
      <c r="J61" s="2275"/>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6" t="s">
        <v>2079</v>
      </c>
      <c r="B62" s="84"/>
      <c r="C62" s="2275"/>
      <c r="D62" s="2276"/>
      <c r="E62" s="2275"/>
      <c r="F62" s="2275"/>
      <c r="G62" s="2275"/>
      <c r="H62" s="2275"/>
      <c r="I62" s="2275"/>
      <c r="J62" s="2275"/>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8" t="s">
        <v>2080</v>
      </c>
      <c r="B63" s="134"/>
      <c r="C63" s="2275"/>
      <c r="D63" s="2276"/>
      <c r="E63" s="2275"/>
      <c r="F63" s="2275"/>
      <c r="G63" s="2275"/>
      <c r="H63" s="2275"/>
      <c r="I63" s="2275"/>
      <c r="J63" s="2275"/>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39"/>
      <c r="D64" s="2340"/>
      <c r="K64" s="796"/>
      <c r="L64" s="796"/>
    </row>
    <row r="65" spans="1:12" s="965" customFormat="1">
      <c r="A65" s="2339"/>
      <c r="D65" s="2340"/>
      <c r="K65" s="796"/>
      <c r="L65" s="796"/>
    </row>
    <row r="66" spans="1:12" s="965" customFormat="1">
      <c r="A66" s="2339"/>
      <c r="D66" s="2340"/>
      <c r="K66" s="796"/>
      <c r="L66" s="796"/>
    </row>
    <row r="67" spans="1:12" s="965" customFormat="1">
      <c r="A67" s="2339"/>
      <c r="D67" s="2340"/>
      <c r="K67" s="796"/>
      <c r="L67" s="796"/>
    </row>
    <row r="68" spans="1:12" s="965" customFormat="1">
      <c r="A68" s="2339"/>
      <c r="D68" s="2340"/>
      <c r="K68" s="796"/>
      <c r="L68" s="796"/>
    </row>
    <row r="69" spans="1:12" s="965" customFormat="1">
      <c r="A69" s="2339"/>
      <c r="D69" s="2340"/>
      <c r="K69" s="796"/>
      <c r="L69" s="796"/>
    </row>
    <row r="70" spans="1:12" s="965" customFormat="1">
      <c r="A70" s="2339"/>
      <c r="D70" s="2340"/>
      <c r="K70" s="796"/>
      <c r="L70" s="796"/>
    </row>
    <row r="71" spans="1:12" s="965" customFormat="1">
      <c r="A71" s="2339"/>
      <c r="D71" s="2340"/>
      <c r="K71" s="796"/>
      <c r="L71" s="796"/>
    </row>
    <row r="72" spans="1:12" s="965" customFormat="1">
      <c r="A72" s="2339"/>
      <c r="D72" s="2340"/>
      <c r="K72" s="796"/>
      <c r="L72" s="796"/>
    </row>
    <row r="73" spans="1:12" s="965" customFormat="1">
      <c r="A73" s="2339"/>
      <c r="D73" s="2340"/>
      <c r="K73" s="796"/>
      <c r="L73" s="796"/>
    </row>
    <row r="74" spans="1:12" s="965" customFormat="1">
      <c r="A74" s="2339"/>
      <c r="D74" s="2340"/>
      <c r="K74" s="796"/>
      <c r="L74" s="796"/>
    </row>
    <row r="75" spans="1:12" s="965" customFormat="1">
      <c r="A75" s="2339"/>
      <c r="D75" s="2340"/>
      <c r="K75" s="796"/>
      <c r="L75" s="796"/>
    </row>
    <row r="76" spans="1:12" s="965" customFormat="1">
      <c r="A76" s="2339"/>
      <c r="D76" s="2340"/>
      <c r="K76" s="796"/>
      <c r="L76" s="796"/>
    </row>
    <row r="77" spans="1:12" s="965" customFormat="1">
      <c r="A77" s="2339"/>
      <c r="D77" s="2340"/>
      <c r="K77" s="796"/>
      <c r="L77" s="796"/>
    </row>
    <row r="78" spans="1:12" s="965" customFormat="1">
      <c r="A78" s="2339"/>
      <c r="D78" s="2340"/>
      <c r="K78" s="796"/>
      <c r="L78" s="796"/>
    </row>
    <row r="79" spans="1:12" s="965" customFormat="1">
      <c r="A79" s="2339"/>
      <c r="D79" s="2340"/>
      <c r="K79" s="796"/>
      <c r="L79" s="796"/>
    </row>
    <row r="80" spans="1:12" s="965" customFormat="1">
      <c r="A80" s="2339"/>
      <c r="D80" s="2340"/>
      <c r="K80" s="796"/>
      <c r="L80" s="796"/>
    </row>
    <row r="81" spans="1:12" s="965" customFormat="1">
      <c r="A81" s="2339"/>
      <c r="D81" s="2340"/>
      <c r="K81" s="796"/>
      <c r="L81" s="796"/>
    </row>
    <row r="82" spans="1:12" s="965" customFormat="1">
      <c r="A82" s="2339"/>
      <c r="D82" s="2340"/>
      <c r="K82" s="796"/>
      <c r="L82" s="796"/>
    </row>
    <row r="83" spans="1:12" s="965" customFormat="1">
      <c r="A83" s="2339"/>
      <c r="D83" s="2340"/>
      <c r="K83" s="796"/>
      <c r="L83" s="796"/>
    </row>
    <row r="84" spans="1:12" s="965" customFormat="1">
      <c r="A84" s="2339"/>
      <c r="D84" s="2340"/>
      <c r="K84" s="796"/>
      <c r="L84" s="796"/>
    </row>
    <row r="85" spans="1:12" s="965" customFormat="1">
      <c r="A85" s="2339"/>
      <c r="D85" s="2340"/>
      <c r="K85" s="796"/>
      <c r="L85" s="796"/>
    </row>
    <row r="86" spans="1:12" s="965" customFormat="1">
      <c r="A86" s="2339"/>
      <c r="D86" s="2340"/>
      <c r="K86" s="796"/>
      <c r="L86" s="796"/>
    </row>
    <row r="87" spans="1:12" s="965" customFormat="1">
      <c r="A87" s="2339"/>
      <c r="D87" s="2340"/>
      <c r="K87" s="796"/>
      <c r="L87" s="796"/>
    </row>
    <row r="88" spans="1:12" s="965" customFormat="1">
      <c r="A88" s="2339"/>
      <c r="D88" s="2340"/>
      <c r="K88" s="796"/>
      <c r="L88" s="796"/>
    </row>
    <row r="89" spans="1:12" s="965" customFormat="1">
      <c r="A89" s="2339"/>
      <c r="D89" s="2340"/>
      <c r="K89" s="796"/>
      <c r="L89" s="796"/>
    </row>
    <row r="90" spans="1:12" s="965" customFormat="1">
      <c r="A90" s="2339"/>
      <c r="D90" s="2340"/>
      <c r="K90" s="796"/>
      <c r="L90" s="796"/>
    </row>
    <row r="91" spans="1:12" s="965" customFormat="1">
      <c r="A91" s="2339"/>
      <c r="D91" s="2340"/>
      <c r="K91" s="796"/>
      <c r="L91" s="796"/>
    </row>
    <row r="92" spans="1:12" s="965" customFormat="1">
      <c r="A92" s="2339"/>
      <c r="D92" s="2340"/>
      <c r="K92" s="796"/>
      <c r="L92" s="796"/>
    </row>
    <row r="93" spans="1:12" s="965" customFormat="1">
      <c r="A93" s="2339"/>
      <c r="D93" s="2340"/>
      <c r="K93" s="796"/>
      <c r="L93" s="796"/>
    </row>
    <row r="94" spans="1:12" s="965" customFormat="1">
      <c r="A94" s="2339"/>
      <c r="D94" s="2340"/>
      <c r="K94" s="796"/>
      <c r="L94" s="796"/>
    </row>
    <row r="95" spans="1:12" s="965" customFormat="1">
      <c r="A95" s="2339"/>
      <c r="D95" s="2340"/>
      <c r="K95" s="796"/>
      <c r="L95" s="796"/>
    </row>
    <row r="96" spans="1:12" s="965" customFormat="1">
      <c r="A96" s="2339"/>
      <c r="D96" s="2340"/>
      <c r="K96" s="796"/>
      <c r="L96" s="796"/>
    </row>
    <row r="97" spans="1:12" s="965" customFormat="1">
      <c r="A97" s="2339"/>
      <c r="D97" s="2340"/>
      <c r="K97" s="796"/>
      <c r="L97" s="796"/>
    </row>
    <row r="98" spans="1:12" s="965" customFormat="1">
      <c r="A98" s="2339"/>
      <c r="D98" s="2340"/>
      <c r="K98" s="796"/>
      <c r="L98" s="796"/>
    </row>
    <row r="99" spans="1:12" s="965" customFormat="1">
      <c r="A99" s="2339"/>
      <c r="D99" s="2340"/>
      <c r="K99" s="796"/>
      <c r="L99" s="796"/>
    </row>
    <row r="100" spans="1:12" s="965" customFormat="1">
      <c r="A100" s="2339"/>
      <c r="D100" s="2340"/>
      <c r="K100" s="796"/>
      <c r="L100" s="796"/>
    </row>
    <row r="101" spans="1:12" s="965" customFormat="1">
      <c r="A101" s="2339"/>
      <c r="D101" s="2340"/>
      <c r="K101" s="796"/>
      <c r="L101" s="796"/>
    </row>
    <row r="102" spans="1:12" s="965" customFormat="1">
      <c r="A102" s="2339"/>
      <c r="D102" s="2340"/>
      <c r="K102" s="796"/>
      <c r="L102" s="796"/>
    </row>
    <row r="103" spans="1:12" s="965" customFormat="1">
      <c r="A103" s="2339"/>
      <c r="D103" s="2340"/>
      <c r="K103" s="796"/>
      <c r="L103" s="796"/>
    </row>
    <row r="104" spans="1:12" s="965" customFormat="1">
      <c r="A104" s="2339"/>
      <c r="D104" s="2340"/>
      <c r="K104" s="796"/>
      <c r="L104" s="796"/>
    </row>
    <row r="105" spans="1:12" s="965" customFormat="1">
      <c r="A105" s="2339"/>
      <c r="D105" s="2340"/>
      <c r="K105" s="796"/>
      <c r="L105" s="796"/>
    </row>
    <row r="106" spans="1:12" s="965" customFormat="1">
      <c r="A106" s="2339"/>
      <c r="D106" s="2340"/>
      <c r="K106" s="796"/>
      <c r="L106" s="796"/>
    </row>
    <row r="107" spans="1:12" s="965" customFormat="1">
      <c r="A107" s="2339"/>
      <c r="D107" s="2340"/>
      <c r="K107" s="796"/>
      <c r="L107" s="796"/>
    </row>
    <row r="108" spans="1:12" s="965" customFormat="1">
      <c r="A108" s="2339"/>
      <c r="D108" s="2340"/>
      <c r="K108" s="796"/>
      <c r="L108" s="796"/>
    </row>
    <row r="109" spans="1:12" s="965" customFormat="1">
      <c r="A109" s="2339"/>
      <c r="D109" s="2340"/>
      <c r="K109" s="796"/>
      <c r="L109" s="796"/>
    </row>
    <row r="110" spans="1:12" s="965" customFormat="1">
      <c r="A110" s="2339"/>
      <c r="D110" s="2340"/>
      <c r="K110" s="796"/>
      <c r="L110" s="796"/>
    </row>
    <row r="111" spans="1:12" s="965" customFormat="1">
      <c r="A111" s="2339"/>
      <c r="D111" s="2340"/>
      <c r="K111" s="796"/>
      <c r="L111" s="796"/>
    </row>
    <row r="112" spans="1:12" s="965" customFormat="1">
      <c r="A112" s="2339"/>
      <c r="D112" s="2340"/>
      <c r="K112" s="796"/>
      <c r="L112" s="796"/>
    </row>
    <row r="113" spans="1:12" s="965" customFormat="1">
      <c r="A113" s="2339"/>
      <c r="D113" s="2340"/>
      <c r="K113" s="796"/>
      <c r="L113" s="796"/>
    </row>
    <row r="114" spans="1:12" s="965" customFormat="1">
      <c r="A114" s="2339"/>
      <c r="D114" s="2340"/>
      <c r="K114" s="796"/>
      <c r="L114" s="796"/>
    </row>
    <row r="115" spans="1:12" s="965" customFormat="1">
      <c r="A115" s="2339"/>
      <c r="D115" s="2340"/>
      <c r="K115" s="796"/>
      <c r="L115" s="796"/>
    </row>
    <row r="116" spans="1:12" s="965" customFormat="1">
      <c r="A116" s="2339"/>
      <c r="D116" s="2340"/>
      <c r="K116" s="796"/>
      <c r="L116" s="796"/>
    </row>
    <row r="117" spans="1:12" s="965" customFormat="1">
      <c r="A117" s="2339"/>
      <c r="D117" s="2340"/>
      <c r="K117" s="796"/>
      <c r="L117" s="796"/>
    </row>
    <row r="118" spans="1:12" s="965" customFormat="1">
      <c r="A118" s="2339"/>
      <c r="D118" s="2340"/>
      <c r="K118" s="796"/>
      <c r="L118" s="796"/>
    </row>
    <row r="119" spans="1:12" s="965" customFormat="1">
      <c r="A119" s="2339"/>
      <c r="D119" s="2340"/>
      <c r="K119" s="796"/>
      <c r="L119" s="796"/>
    </row>
    <row r="120" spans="1:12" s="965" customFormat="1">
      <c r="A120" s="2339"/>
      <c r="D120" s="2340"/>
      <c r="K120" s="796"/>
      <c r="L120" s="796"/>
    </row>
    <row r="121" spans="1:12" s="965" customFormat="1">
      <c r="A121" s="2339"/>
      <c r="D121" s="2340"/>
      <c r="K121" s="796"/>
      <c r="L121" s="796"/>
    </row>
    <row r="122" spans="1:12" s="965" customFormat="1">
      <c r="A122" s="2339"/>
      <c r="D122" s="2340"/>
      <c r="K122" s="796"/>
      <c r="L122" s="796"/>
    </row>
    <row r="123" spans="1:12" s="965" customFormat="1">
      <c r="A123" s="2339"/>
      <c r="D123" s="2340"/>
      <c r="K123" s="796"/>
      <c r="L123" s="796"/>
    </row>
    <row r="124" spans="1:12" s="965" customFormat="1">
      <c r="A124" s="2339"/>
      <c r="D124" s="2340"/>
      <c r="K124" s="796"/>
      <c r="L124" s="796"/>
    </row>
    <row r="125" spans="1:12" s="965" customFormat="1">
      <c r="A125" s="2339"/>
      <c r="D125" s="2340"/>
      <c r="K125" s="796"/>
      <c r="L125" s="796"/>
    </row>
    <row r="126" spans="1:12" s="965" customFormat="1">
      <c r="A126" s="2339"/>
      <c r="D126" s="2340"/>
      <c r="K126" s="796"/>
      <c r="L126" s="796"/>
    </row>
    <row r="127" spans="1:12" s="965" customFormat="1">
      <c r="A127" s="2339"/>
      <c r="D127" s="2340"/>
      <c r="K127" s="796"/>
      <c r="L127" s="796"/>
    </row>
    <row r="128" spans="1:12" s="965" customFormat="1">
      <c r="A128" s="2339"/>
      <c r="D128" s="2340"/>
      <c r="K128" s="796"/>
      <c r="L128" s="796"/>
    </row>
    <row r="129" spans="1:12" s="965" customFormat="1">
      <c r="A129" s="2339"/>
      <c r="D129" s="2340"/>
      <c r="K129" s="796"/>
      <c r="L129" s="796"/>
    </row>
    <row r="130" spans="1:12" s="965" customFormat="1">
      <c r="A130" s="2339"/>
      <c r="D130" s="2340"/>
      <c r="K130" s="796"/>
      <c r="L130" s="796"/>
    </row>
    <row r="131" spans="1:12" s="965" customFormat="1">
      <c r="A131" s="2339"/>
      <c r="D131" s="2340"/>
      <c r="K131" s="796"/>
      <c r="L131" s="796"/>
    </row>
    <row r="132" spans="1:12" s="965" customFormat="1">
      <c r="A132" s="2339"/>
      <c r="D132" s="2340"/>
      <c r="K132" s="796"/>
      <c r="L132" s="796"/>
    </row>
    <row r="133" spans="1:12" s="965" customFormat="1">
      <c r="A133" s="2339"/>
      <c r="D133" s="2340"/>
      <c r="K133" s="796"/>
      <c r="L133" s="796"/>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33" sqref="G33"/>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127" t="s">
        <v>2081</v>
      </c>
      <c r="B1" s="3128"/>
      <c r="C1" s="3128"/>
      <c r="D1" s="3128"/>
      <c r="E1" s="3128"/>
      <c r="F1" s="3128"/>
      <c r="G1" s="3128"/>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2082</v>
      </c>
      <c r="D2" s="2364"/>
      <c r="E2" s="2365"/>
      <c r="F2" s="2284"/>
      <c r="G2" s="2363" t="s">
        <v>2083</v>
      </c>
      <c r="H2" s="2366"/>
      <c r="I2" s="2366"/>
      <c r="J2" s="2366"/>
      <c r="K2" s="2366"/>
      <c r="L2" s="2366"/>
      <c r="M2" s="2366"/>
      <c r="N2" s="2366"/>
      <c r="O2" s="2366"/>
      <c r="P2" s="2366"/>
      <c r="Q2" s="2366"/>
      <c r="R2" s="2366"/>
    </row>
    <row r="3" spans="1:29" ht="54">
      <c r="A3" s="415" t="s">
        <v>2084</v>
      </c>
      <c r="B3" s="1269" t="s">
        <v>2085</v>
      </c>
      <c r="C3" s="2368" t="s">
        <v>2086</v>
      </c>
      <c r="D3" s="2369"/>
      <c r="E3" s="431" t="s">
        <v>2084</v>
      </c>
      <c r="F3" s="2370" t="s">
        <v>2087</v>
      </c>
      <c r="G3" s="2371" t="s">
        <v>2088</v>
      </c>
      <c r="H3" s="2366"/>
      <c r="I3" s="2366"/>
      <c r="J3" s="2366"/>
      <c r="K3" s="2366"/>
      <c r="L3" s="2366"/>
      <c r="M3" s="2366"/>
      <c r="N3" s="2366"/>
      <c r="O3" s="2366"/>
      <c r="P3" s="2366"/>
      <c r="Q3" s="2366"/>
      <c r="R3" s="2366"/>
    </row>
    <row r="4" spans="1:29" ht="41.25">
      <c r="A4" s="431"/>
      <c r="B4" s="1793" t="s">
        <v>2089</v>
      </c>
      <c r="C4" s="2372" t="s">
        <v>2090</v>
      </c>
      <c r="D4" s="2369"/>
      <c r="E4" s="2373"/>
      <c r="F4" s="42" t="s">
        <v>2091</v>
      </c>
      <c r="G4" s="2374" t="s">
        <v>2092</v>
      </c>
      <c r="H4" s="2366"/>
      <c r="I4" s="2366"/>
      <c r="J4" s="2366"/>
      <c r="K4" s="2366"/>
      <c r="L4" s="2366"/>
      <c r="M4" s="2366"/>
      <c r="N4" s="2366"/>
      <c r="O4" s="2366"/>
      <c r="P4" s="2366"/>
      <c r="Q4" s="2366"/>
      <c r="R4" s="2366"/>
    </row>
    <row r="5" spans="1:29" ht="41.25">
      <c r="A5" s="431"/>
      <c r="B5" s="1793" t="s">
        <v>2093</v>
      </c>
      <c r="C5" s="2372" t="s">
        <v>2094</v>
      </c>
      <c r="D5" s="2369"/>
      <c r="E5" s="2373"/>
      <c r="F5" s="1793" t="s">
        <v>2095</v>
      </c>
      <c r="G5" s="2374" t="s">
        <v>2096</v>
      </c>
      <c r="H5" s="2366"/>
      <c r="I5" s="2366"/>
      <c r="J5" s="2366"/>
      <c r="K5" s="2366"/>
      <c r="L5" s="2366"/>
      <c r="M5" s="2366"/>
      <c r="N5" s="2366"/>
      <c r="O5" s="2366"/>
      <c r="P5" s="2366"/>
      <c r="Q5" s="2366"/>
      <c r="R5" s="2366"/>
    </row>
    <row r="6" spans="1:29" ht="54">
      <c r="A6" s="431"/>
      <c r="B6" s="1793" t="s">
        <v>2097</v>
      </c>
      <c r="C6" s="2374" t="s">
        <v>2092</v>
      </c>
      <c r="D6" s="2369"/>
      <c r="E6" s="2373"/>
      <c r="F6" s="1793" t="s">
        <v>2098</v>
      </c>
      <c r="G6" s="2374" t="s">
        <v>2099</v>
      </c>
      <c r="H6" s="2366"/>
      <c r="I6" s="2366"/>
      <c r="J6" s="2366"/>
      <c r="K6" s="2366"/>
      <c r="L6" s="2366"/>
      <c r="M6" s="2366"/>
      <c r="N6" s="2366"/>
      <c r="O6" s="2366"/>
      <c r="P6" s="2366"/>
      <c r="Q6" s="2366"/>
      <c r="R6" s="2366"/>
    </row>
    <row r="7" spans="1:29" ht="41.25" thickBot="1">
      <c r="A7" s="431"/>
      <c r="B7" s="1793" t="s">
        <v>2095</v>
      </c>
      <c r="C7" s="2374" t="s">
        <v>2096</v>
      </c>
      <c r="D7" s="2375"/>
      <c r="E7" s="2376"/>
      <c r="F7" s="2377" t="s">
        <v>2100</v>
      </c>
      <c r="G7" s="2378" t="s">
        <v>2101</v>
      </c>
      <c r="H7" s="2366"/>
      <c r="I7" s="2366"/>
      <c r="J7" s="2366"/>
      <c r="K7" s="2366"/>
      <c r="L7" s="2366"/>
      <c r="M7" s="2366"/>
      <c r="N7" s="2366"/>
      <c r="O7" s="2366"/>
      <c r="P7" s="2366"/>
      <c r="Q7" s="2366"/>
      <c r="R7" s="2366"/>
    </row>
    <row r="8" spans="1:29" ht="27">
      <c r="A8" s="431"/>
      <c r="B8" s="1793" t="s">
        <v>2098</v>
      </c>
      <c r="C8" s="2374" t="s">
        <v>2099</v>
      </c>
      <c r="D8" s="2375"/>
      <c r="E8" s="2375"/>
      <c r="F8" s="1134"/>
      <c r="G8" s="1134"/>
      <c r="H8" s="2366"/>
      <c r="I8" s="2366"/>
      <c r="J8" s="2366"/>
      <c r="K8" s="2366"/>
      <c r="L8" s="2366"/>
      <c r="M8" s="2366"/>
      <c r="N8" s="2366"/>
      <c r="O8" s="2366"/>
      <c r="P8" s="2366"/>
      <c r="Q8" s="2366"/>
      <c r="R8" s="2366"/>
    </row>
    <row r="9" spans="1:29" ht="27">
      <c r="A9" s="431"/>
      <c r="B9" s="1793" t="s">
        <v>2102</v>
      </c>
      <c r="C9" s="2372" t="s">
        <v>2103</v>
      </c>
      <c r="D9" s="2369"/>
      <c r="E9" s="2375"/>
      <c r="F9" s="1134"/>
      <c r="G9" s="1134"/>
      <c r="H9" s="2366"/>
      <c r="I9" s="2366"/>
      <c r="J9" s="2366"/>
      <c r="K9" s="2366"/>
      <c r="L9" s="2366"/>
      <c r="M9" s="2366"/>
      <c r="N9" s="2366"/>
      <c r="O9" s="2366"/>
      <c r="P9" s="2366"/>
      <c r="Q9" s="2366"/>
      <c r="R9" s="2366"/>
    </row>
    <row r="10" spans="1:29" s="117" customFormat="1" ht="15.75" thickBot="1">
      <c r="A10" s="2379"/>
      <c r="B10" s="2380" t="s">
        <v>2104</v>
      </c>
      <c r="C10" s="2381"/>
      <c r="D10" s="2369"/>
      <c r="E10" s="2369"/>
      <c r="F10" s="1134"/>
      <c r="G10" s="1134"/>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2"/>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2"/>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2105</v>
      </c>
      <c r="B13" s="2386"/>
      <c r="C13" s="2386"/>
      <c r="D13" s="2393"/>
      <c r="E13" s="2386"/>
      <c r="F13" s="2386"/>
      <c r="G13" s="2386"/>
    </row>
    <row r="14" spans="1:29" ht="15.75" thickBot="1">
      <c r="A14" s="2397"/>
      <c r="B14" s="2398"/>
      <c r="C14" s="2399" t="s">
        <v>2106</v>
      </c>
      <c r="D14" s="2369"/>
      <c r="E14" s="2400"/>
      <c r="F14" s="2400"/>
      <c r="G14" s="2363" t="s">
        <v>2107</v>
      </c>
    </row>
    <row r="15" spans="1:29" ht="57">
      <c r="A15" s="68" t="s">
        <v>2108</v>
      </c>
      <c r="B15" s="1268" t="s">
        <v>2085</v>
      </c>
      <c r="C15" s="2401" t="str">
        <f>C3</f>
        <v>估价对象周边居住用地比例、居住小区规模和社区发展完善程度，综合评价居住社区成熟度一般</v>
      </c>
      <c r="D15" s="2369"/>
      <c r="E15" s="2402" t="s">
        <v>2109</v>
      </c>
      <c r="F15" s="1268" t="s">
        <v>2110</v>
      </c>
      <c r="G15" s="135" t="str">
        <f>G3</f>
        <v>估价对象位于XX开发区，园区建设成熟度XX，产业集聚程度XX</v>
      </c>
    </row>
    <row r="16" spans="1:29" ht="42.75">
      <c r="A16" s="645"/>
      <c r="B16" s="2403" t="s">
        <v>2089</v>
      </c>
      <c r="C16" s="2404" t="str">
        <f>C4</f>
        <v>估价对象位于XX商圈，周边商业氛围成熟，人流量大，商业繁华度好</v>
      </c>
      <c r="D16" s="2369"/>
      <c r="E16" s="2405"/>
      <c r="F16" s="2406" t="s">
        <v>2091</v>
      </c>
      <c r="G16" s="136" t="str">
        <f>G4</f>
        <v>估价对象周边道路状况、公共交通通达情况、停车便捷程度，综合评价交通便捷度较好</v>
      </c>
    </row>
    <row r="17" spans="1:18" ht="42.75">
      <c r="A17" s="645"/>
      <c r="B17" s="2403" t="s">
        <v>2093</v>
      </c>
      <c r="C17" s="2404" t="str">
        <f>C5</f>
        <v>估价对象位于XX商圈，周边办公楼项目较多，入驻率高，办公集聚程度较好</v>
      </c>
      <c r="D17" s="2375"/>
      <c r="E17" s="2405"/>
      <c r="F17" s="2406" t="s">
        <v>2111</v>
      </c>
      <c r="G17" s="1570"/>
    </row>
    <row r="18" spans="1:18" ht="57">
      <c r="A18" s="645"/>
      <c r="B18" s="2406" t="s">
        <v>2097</v>
      </c>
      <c r="C18" s="136" t="str">
        <f>C6</f>
        <v>估价对象周边道路状况、公共交通通达情况、停车便捷程度，综合评价交通便捷度较好</v>
      </c>
      <c r="D18" s="2375"/>
      <c r="E18" s="2405"/>
      <c r="F18" s="2406" t="s">
        <v>2100</v>
      </c>
      <c r="G18" s="136" t="str">
        <f>G7</f>
        <v>该园区内是否有污染型企业，绿化情况，卫生条件，整体环境状况判断</v>
      </c>
    </row>
    <row r="19" spans="1:18" ht="28.5">
      <c r="A19" s="645"/>
      <c r="B19" s="2406" t="s">
        <v>2112</v>
      </c>
      <c r="C19" s="1570"/>
      <c r="D19" s="2369"/>
      <c r="E19" s="2405"/>
      <c r="F19" s="1793" t="s">
        <v>2095</v>
      </c>
      <c r="G19" s="136" t="str">
        <f>G5</f>
        <v>估价对象所在区域公共配套设施齐备情况</v>
      </c>
    </row>
    <row r="20" spans="1:18" ht="28.5">
      <c r="A20" s="645"/>
      <c r="B20" s="2406" t="s">
        <v>2113</v>
      </c>
      <c r="C20" s="2404" t="str">
        <f>C9</f>
        <v>区域自然环境：；人文环境；综合评价环境状况一般</v>
      </c>
      <c r="D20" s="2375"/>
      <c r="E20" s="2405"/>
      <c r="F20" s="1793" t="s">
        <v>2114</v>
      </c>
      <c r="G20" s="136" t="str">
        <f>G6</f>
        <v>估价对象所在区域基础设施水平</v>
      </c>
    </row>
    <row r="21" spans="1:18" ht="28.5">
      <c r="A21" s="645"/>
      <c r="B21" s="1793" t="s">
        <v>2095</v>
      </c>
      <c r="C21" s="136" t="str">
        <f>C7</f>
        <v>估价对象所在区域公共配套设施齐备情况</v>
      </c>
      <c r="D21" s="2369"/>
      <c r="E21" s="2405"/>
      <c r="F21" s="2406" t="s">
        <v>2115</v>
      </c>
      <c r="G21" s="2407"/>
    </row>
    <row r="22" spans="1:18" ht="13.5" customHeight="1">
      <c r="A22" s="645"/>
      <c r="B22" s="1793" t="s">
        <v>2098</v>
      </c>
      <c r="C22" s="136" t="str">
        <f>C8</f>
        <v>估价对象所在区域基础设施水平</v>
      </c>
      <c r="D22" s="2369"/>
      <c r="E22" s="2405"/>
      <c r="F22" s="2406" t="s">
        <v>2104</v>
      </c>
      <c r="G22" s="1570"/>
    </row>
    <row r="23" spans="1:18" s="2366" customFormat="1" ht="15.75" thickBot="1">
      <c r="A23" s="645"/>
      <c r="B23" s="2406" t="s">
        <v>2115</v>
      </c>
      <c r="C23" s="2407"/>
      <c r="D23" s="2394"/>
      <c r="E23" s="2408"/>
      <c r="F23" s="2409" t="s">
        <v>2116</v>
      </c>
      <c r="G23" s="2410"/>
      <c r="H23" s="2394"/>
      <c r="I23" s="2395"/>
      <c r="J23" s="2394"/>
      <c r="K23" s="2394"/>
      <c r="L23" s="2395"/>
      <c r="M23" s="2394"/>
      <c r="N23" s="2394"/>
      <c r="O23" s="2395"/>
      <c r="P23" s="2394"/>
      <c r="Q23" s="2394"/>
      <c r="R23" s="2396"/>
    </row>
    <row r="24" spans="1:18" s="2366" customFormat="1" ht="15.75" thickBot="1">
      <c r="A24" s="2411"/>
      <c r="B24" s="2409" t="s">
        <v>2117</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31" sqref="B31"/>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66657.509999999995</v>
      </c>
      <c r="C1" s="1740"/>
      <c r="D1" s="1740"/>
      <c r="E1" s="1740"/>
      <c r="F1" s="1740"/>
      <c r="G1" s="1738"/>
    </row>
    <row r="2" spans="1:10" ht="16.5">
      <c r="A2" s="1741" t="s">
        <v>1349</v>
      </c>
      <c r="B2" s="1741">
        <f>SUM(C14:C23)</f>
        <v>21654.12</v>
      </c>
      <c r="C2" s="1740"/>
      <c r="D2" s="1740"/>
      <c r="E2" s="1740"/>
      <c r="F2" s="1740"/>
      <c r="G2" s="1738"/>
    </row>
    <row r="3" spans="1:10" ht="16.5">
      <c r="A3" s="1741" t="s">
        <v>1358</v>
      </c>
      <c r="B3" s="1742">
        <f>项目基本情况!D3</f>
        <v>43570</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152174</v>
      </c>
      <c r="C5" s="1741">
        <f ca="1">ROUND(B5*10000/$B$1,0)</f>
        <v>22829</v>
      </c>
      <c r="D5" s="1741">
        <f ca="1">ROUND(B5*10000/$B$2,0)</f>
        <v>70275</v>
      </c>
      <c r="E5" s="1740"/>
      <c r="F5" s="1738"/>
      <c r="G5" s="1738"/>
    </row>
    <row r="6" spans="1:10" ht="16.5">
      <c r="A6" s="1741" t="s">
        <v>1352</v>
      </c>
      <c r="B6" s="1741">
        <f ca="1">SUM(G14:G23)</f>
        <v>152174</v>
      </c>
      <c r="C6" s="1741">
        <f ca="1">ROUND(B6*10000/$B$1,0)</f>
        <v>22829</v>
      </c>
      <c r="D6" s="1741">
        <f ca="1">ROUND(B6*10000/$B$2,0)</f>
        <v>70275</v>
      </c>
      <c r="E6" s="1740"/>
      <c r="F6" s="1738"/>
      <c r="G6" s="1738"/>
    </row>
    <row r="7" spans="1:10" ht="16.5">
      <c r="A7" s="1741" t="s">
        <v>1360</v>
      </c>
      <c r="B7" s="1741">
        <f>SUM(H14:H23)</f>
        <v>0</v>
      </c>
      <c r="C7" s="1741">
        <f>ROUND(B7*10000/$B$1,0)</f>
        <v>0</v>
      </c>
      <c r="D7" s="1741">
        <f>ROUND(B7*10000/$B$2,0)</f>
        <v>0</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31807.97</v>
      </c>
      <c r="C14" s="1739">
        <f>结果表!C118</f>
        <v>10333.02</v>
      </c>
      <c r="D14" s="1739">
        <f ca="1">结果表!H118</f>
        <v>74484</v>
      </c>
      <c r="E14" s="1739">
        <f ca="1">ROUND(D14*10000/B14,0)</f>
        <v>23417</v>
      </c>
      <c r="F14" s="1739">
        <f ca="1">ROUND(D14*10000/C14,0)</f>
        <v>72083</v>
      </c>
      <c r="G14" s="1739">
        <f ca="1">结果表!D122</f>
        <v>74484</v>
      </c>
      <c r="H14" s="1739" t="str">
        <f>结果表!D124</f>
        <v>——</v>
      </c>
      <c r="I14" s="1739" t="str">
        <f>结果表!D126</f>
        <v>——</v>
      </c>
      <c r="J14" s="1738"/>
    </row>
    <row r="15" spans="1:10" ht="16.5">
      <c r="A15" s="1737" t="s">
        <v>1345</v>
      </c>
      <c r="B15" s="1744">
        <f>'数据-汇总表'!F19</f>
        <v>18643.309999999998</v>
      </c>
      <c r="C15" s="1744">
        <f>'数据-汇总表'!D19</f>
        <v>6056.4</v>
      </c>
      <c r="D15" s="1744">
        <f ca="1">'结果表-商业'!G19</f>
        <v>40701</v>
      </c>
      <c r="E15" s="1739">
        <f t="shared" ref="E15:E23" ca="1" si="0">ROUND(D15*10000/B15,0)</f>
        <v>21831</v>
      </c>
      <c r="F15" s="1739">
        <f t="shared" ref="F15:F23" ca="1" si="1">ROUND(D15*10000/C15,0)</f>
        <v>67203</v>
      </c>
      <c r="G15" s="1745">
        <f ca="1">D15</f>
        <v>40701</v>
      </c>
      <c r="H15" s="1745"/>
      <c r="I15" s="1744"/>
      <c r="J15" s="1738"/>
    </row>
    <row r="16" spans="1:10" ht="16.5">
      <c r="A16" s="1737" t="s">
        <v>1344</v>
      </c>
      <c r="B16" s="1744">
        <f>'数据-基础表'!G15</f>
        <v>16206.23</v>
      </c>
      <c r="C16" s="1744">
        <f>'数据-基础表'!E15</f>
        <v>5264.7</v>
      </c>
      <c r="D16" s="1744">
        <f ca="1">'结果表-公寓'!G19</f>
        <v>36989</v>
      </c>
      <c r="E16" s="1739">
        <f t="shared" ca="1" si="0"/>
        <v>22824</v>
      </c>
      <c r="F16" s="1739">
        <f t="shared" ca="1" si="1"/>
        <v>70259</v>
      </c>
      <c r="G16" s="1745">
        <f ca="1">D16</f>
        <v>36989</v>
      </c>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J6" sqref="J6"/>
    </sheetView>
  </sheetViews>
  <sheetFormatPr defaultColWidth="12.625" defaultRowHeight="21.75" customHeight="1"/>
  <cols>
    <col min="1" max="2" width="12.625" style="2423"/>
    <col min="3" max="4" width="12.625" style="2423" customWidth="1"/>
    <col min="5" max="9" width="12.625" style="2423"/>
    <col min="10" max="11" width="12.625" style="793" customWidth="1"/>
    <col min="12" max="12" width="12.625" style="793"/>
    <col min="13" max="13" width="14.125" style="793" bestFit="1" customWidth="1"/>
    <col min="14" max="26" width="12.625" style="793"/>
    <col min="27" max="35" width="12.625" style="2422"/>
    <col min="36" max="16384" width="12.625" style="2423"/>
  </cols>
  <sheetData>
    <row r="1" spans="1:12" ht="21.75" customHeight="1" thickBot="1">
      <c r="A1" s="2224" t="s">
        <v>2118</v>
      </c>
      <c r="B1" s="2417"/>
      <c r="C1" s="2418" t="s">
        <v>27</v>
      </c>
      <c r="D1" s="2417"/>
      <c r="E1" s="2417"/>
      <c r="F1" s="2419" t="s">
        <v>2119</v>
      </c>
      <c r="G1" s="2069" t="s">
        <v>3124</v>
      </c>
      <c r="H1" s="2420" t="str">
        <f>IF(G1="现房","——","估价对象范围")</f>
        <v>——</v>
      </c>
      <c r="I1" s="2421"/>
    </row>
    <row r="2" spans="1:12" ht="21.75" customHeight="1" thickBot="1">
      <c r="A2" s="3201" t="str">
        <f>项目基本情况!S2</f>
        <v>北京市房地产</v>
      </c>
      <c r="B2" s="3202"/>
      <c r="C2" s="3202"/>
      <c r="D2" s="3202"/>
      <c r="E2" s="3202"/>
      <c r="F2" s="3202"/>
      <c r="G2" s="3202"/>
      <c r="H2" s="3202"/>
      <c r="I2" s="3203"/>
    </row>
    <row r="3" spans="1:12" ht="12.75">
      <c r="A3" s="3204" t="s">
        <v>2120</v>
      </c>
      <c r="B3" s="3205"/>
      <c r="C3" s="3205"/>
      <c r="D3" s="3205"/>
      <c r="E3" s="3205"/>
      <c r="F3" s="3205"/>
      <c r="G3" s="3205"/>
      <c r="H3" s="3205"/>
      <c r="I3" s="3205"/>
    </row>
    <row r="4" spans="1:12" ht="14.25">
      <c r="A4" s="2424" t="s">
        <v>2121</v>
      </c>
      <c r="B4" s="2425" t="s">
        <v>2122</v>
      </c>
      <c r="C4" s="2426" t="s">
        <v>3125</v>
      </c>
      <c r="D4" s="2426" t="s">
        <v>3071</v>
      </c>
      <c r="E4" s="3185" t="s">
        <v>2123</v>
      </c>
      <c r="F4" s="3198"/>
      <c r="G4" s="3198"/>
      <c r="H4" s="3198"/>
      <c r="I4" s="3186"/>
      <c r="K4" s="2427" t="str">
        <f>IF(ISNUMBER(FIND("比较法",结果表!C4)),"比较法",IF(ISNUMBER(FIND("成本法",结果表!C4)),"成本法",IF(ISNUMBER(FIND("假设开发法",结果表!C4)),"假设开发法",IF(ISNUMBER(FIND("收益法",结果表!C4)),"收益法","基准地价系数修正法"))))</f>
        <v>比较法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176" t="s">
        <v>2124</v>
      </c>
      <c r="B5" s="3102">
        <v>25</v>
      </c>
      <c r="C5" s="3206"/>
      <c r="D5" s="3194"/>
      <c r="E5" s="140" t="s">
        <v>2125</v>
      </c>
      <c r="F5" s="2428"/>
      <c r="G5" s="2428"/>
      <c r="H5" s="2428"/>
      <c r="I5" s="1829"/>
    </row>
    <row r="6" spans="1:12" ht="12.75">
      <c r="A6" s="3176"/>
      <c r="B6" s="3102"/>
      <c r="C6" s="3208"/>
      <c r="D6" s="3194"/>
      <c r="E6" s="140" t="s">
        <v>2126</v>
      </c>
      <c r="F6" s="2428"/>
      <c r="G6" s="2428"/>
      <c r="H6" s="2428"/>
      <c r="I6" s="1829"/>
    </row>
    <row r="7" spans="1:12" ht="12.75">
      <c r="A7" s="3176"/>
      <c r="B7" s="3102"/>
      <c r="C7" s="3207"/>
      <c r="D7" s="3194"/>
      <c r="E7" s="140" t="s">
        <v>2127</v>
      </c>
      <c r="F7" s="2428"/>
      <c r="G7" s="2428"/>
      <c r="H7" s="2428"/>
      <c r="I7" s="1829"/>
    </row>
    <row r="8" spans="1:12" ht="12.75">
      <c r="A8" s="3176" t="s">
        <v>2128</v>
      </c>
      <c r="B8" s="3102">
        <v>15</v>
      </c>
      <c r="C8" s="3206"/>
      <c r="D8" s="3194"/>
      <c r="E8" s="140" t="s">
        <v>2129</v>
      </c>
      <c r="F8" s="2428"/>
      <c r="G8" s="2428"/>
      <c r="H8" s="2428"/>
      <c r="I8" s="1829"/>
    </row>
    <row r="9" spans="1:12" ht="12.75">
      <c r="A9" s="3176"/>
      <c r="B9" s="3102"/>
      <c r="C9" s="3207"/>
      <c r="D9" s="3194"/>
      <c r="E9" s="140" t="s">
        <v>2130</v>
      </c>
      <c r="F9" s="2428"/>
      <c r="G9" s="2428"/>
      <c r="H9" s="2428"/>
      <c r="I9" s="1829"/>
    </row>
    <row r="10" spans="1:12" ht="12.75">
      <c r="A10" s="3176" t="s">
        <v>2131</v>
      </c>
      <c r="B10" s="3102">
        <v>15</v>
      </c>
      <c r="C10" s="3206"/>
      <c r="D10" s="3194"/>
      <c r="E10" s="140" t="s">
        <v>2132</v>
      </c>
      <c r="F10" s="2428"/>
      <c r="G10" s="2428"/>
      <c r="H10" s="2428"/>
      <c r="I10" s="1829"/>
    </row>
    <row r="11" spans="1:12" ht="12.75">
      <c r="A11" s="3176"/>
      <c r="B11" s="3102"/>
      <c r="C11" s="3207"/>
      <c r="D11" s="3194"/>
      <c r="E11" s="140" t="s">
        <v>2133</v>
      </c>
      <c r="F11" s="2428"/>
      <c r="G11" s="2428"/>
      <c r="H11" s="2428"/>
      <c r="I11" s="1829"/>
    </row>
    <row r="12" spans="1:12" ht="12.75">
      <c r="A12" s="3176" t="s">
        <v>2134</v>
      </c>
      <c r="B12" s="3102">
        <v>15</v>
      </c>
      <c r="C12" s="3206"/>
      <c r="D12" s="3194"/>
      <c r="E12" s="140" t="s">
        <v>2135</v>
      </c>
      <c r="F12" s="2428"/>
      <c r="G12" s="2428"/>
      <c r="H12" s="2428"/>
      <c r="I12" s="1829"/>
    </row>
    <row r="13" spans="1:12" ht="12.75">
      <c r="A13" s="3176"/>
      <c r="B13" s="3102"/>
      <c r="C13" s="3207"/>
      <c r="D13" s="3194"/>
      <c r="E13" s="140" t="s">
        <v>2136</v>
      </c>
      <c r="F13" s="2428"/>
      <c r="G13" s="2428"/>
      <c r="H13" s="2428"/>
      <c r="I13" s="1829"/>
    </row>
    <row r="14" spans="1:12" ht="12.75">
      <c r="A14" s="3176" t="s">
        <v>2137</v>
      </c>
      <c r="B14" s="3102">
        <v>30</v>
      </c>
      <c r="C14" s="3206">
        <v>5</v>
      </c>
      <c r="D14" s="3194">
        <v>5</v>
      </c>
      <c r="E14" s="140" t="s">
        <v>2138</v>
      </c>
      <c r="F14" s="2428"/>
      <c r="G14" s="2428"/>
      <c r="H14" s="2428"/>
      <c r="I14" s="1829"/>
    </row>
    <row r="15" spans="1:12" ht="12.75">
      <c r="A15" s="3176"/>
      <c r="B15" s="3102"/>
      <c r="C15" s="3208"/>
      <c r="D15" s="3194"/>
      <c r="E15" s="140" t="s">
        <v>2139</v>
      </c>
      <c r="F15" s="2428"/>
      <c r="G15" s="2428"/>
      <c r="H15" s="2428"/>
      <c r="I15" s="1829"/>
    </row>
    <row r="16" spans="1:12" ht="12.75">
      <c r="A16" s="3176"/>
      <c r="B16" s="3102"/>
      <c r="C16" s="3207"/>
      <c r="D16" s="3194"/>
      <c r="E16" s="140" t="s">
        <v>2140</v>
      </c>
      <c r="F16" s="2428"/>
      <c r="G16" s="2428"/>
      <c r="H16" s="2428"/>
      <c r="I16" s="1829"/>
    </row>
    <row r="17" spans="1:35" ht="15">
      <c r="A17" s="2429" t="s">
        <v>2141</v>
      </c>
      <c r="B17" s="64"/>
      <c r="C17" s="141">
        <f>SUM(C5:C16)</f>
        <v>5</v>
      </c>
      <c r="D17" s="141">
        <f>SUM(D5:D16)</f>
        <v>5</v>
      </c>
      <c r="E17" s="138"/>
      <c r="F17" s="138"/>
      <c r="G17" s="138"/>
      <c r="H17" s="138"/>
      <c r="I17" s="138"/>
      <c r="K17" s="2427"/>
      <c r="L17" s="2430" t="s">
        <v>2142</v>
      </c>
      <c r="M17" s="2430" t="s">
        <v>2143</v>
      </c>
    </row>
    <row r="18" spans="1:35" ht="15.75" thickBot="1">
      <c r="A18" s="2431" t="s">
        <v>2144</v>
      </c>
      <c r="B18" s="2432"/>
      <c r="C18" s="142">
        <f>ROUND(C17/SUM(C17:D17),2)</f>
        <v>0.5</v>
      </c>
      <c r="D18" s="142">
        <f>1-C18</f>
        <v>0.5</v>
      </c>
      <c r="E18" s="138"/>
      <c r="F18" s="138"/>
      <c r="G18" s="138"/>
      <c r="H18" s="138"/>
      <c r="I18" s="138"/>
      <c r="K18" s="2427" t="s">
        <v>2145</v>
      </c>
      <c r="L18" s="2427">
        <f>IF(C1="",'数据-汇总表'!E3,SUMIF(项目类型,C1,'数据-汇总表'!E17:E26)+SUMIF(项目类型,C1,'数据-汇总表'!I17:I26))</f>
        <v>31807.97</v>
      </c>
      <c r="M18" s="2427">
        <f>IF(C1="",'数据-汇总表'!E3,SUMIF(项目类型,C1,'数据-汇总表'!E17:E26))</f>
        <v>31807.97</v>
      </c>
    </row>
    <row r="19" spans="1:35" ht="15">
      <c r="A19" s="2433" t="s">
        <v>2146</v>
      </c>
      <c r="B19" s="2434" t="s">
        <v>2147</v>
      </c>
      <c r="C19" s="143">
        <f ca="1">SUMIF(INDIRECT("'"&amp;C4&amp;"'"&amp;"!A:A"),结果表!B19,INDIRECT("'"&amp;C4&amp;"'"&amp;"!B:B"))</f>
        <v>82351</v>
      </c>
      <c r="D19" s="144">
        <f ca="1">SUMIF(INDIRECT("'"&amp;D4&amp;"'"&amp;"!A:A"),结果表!B19,INDIRECT("'"&amp;D4&amp;"'"&amp;"!B:B"))</f>
        <v>66616</v>
      </c>
      <c r="E19" s="2433" t="s">
        <v>2148</v>
      </c>
      <c r="F19" s="2434" t="s">
        <v>2147</v>
      </c>
      <c r="G19" s="145">
        <f ca="1">ROUND(C19*$C$18+D19*$D$18,0)</f>
        <v>74484</v>
      </c>
      <c r="H19" s="2435" t="s">
        <v>2149</v>
      </c>
      <c r="I19" s="138"/>
      <c r="K19" s="2427" t="s">
        <v>2150</v>
      </c>
      <c r="L19" s="2427">
        <f>IF(C1="",'数据-汇总表'!D3,SUMIF(项目类型,C1,'数据-汇总表'!D17:D26)+SUMIF(项目类型,C1,'数据-汇总表'!H17:H27))</f>
        <v>10333.02</v>
      </c>
      <c r="M19" s="2427">
        <f>IF(C1="",'数据-汇总表'!D3,SUMIF(项目类型,C1,'数据-汇总表'!D17:D26))</f>
        <v>10333.02</v>
      </c>
    </row>
    <row r="20" spans="1:35" ht="15">
      <c r="A20" s="2436"/>
      <c r="B20" s="1248" t="s">
        <v>2151</v>
      </c>
      <c r="C20" s="146">
        <f ca="1">SUMIF(INDIRECT("'"&amp;C4&amp;"'"&amp;"!A:A"),结果表!B20,INDIRECT("'"&amp;C4&amp;"'"&amp;"!B:B"))</f>
        <v>25890</v>
      </c>
      <c r="D20" s="147">
        <f ca="1">SUMIF(INDIRECT("'"&amp;D4&amp;"'"&amp;"!A:A"),结果表!B20,INDIRECT("'"&amp;D4&amp;"'"&amp;"!B:B"))</f>
        <v>20943</v>
      </c>
      <c r="E20" s="2436"/>
      <c r="F20" s="1248" t="s">
        <v>2151</v>
      </c>
      <c r="G20" s="148">
        <f ca="1">ROUND(C20*$C$18+D20*$D$18,0)</f>
        <v>23417</v>
      </c>
      <c r="H20" s="981" t="s">
        <v>2152</v>
      </c>
      <c r="I20" s="138"/>
    </row>
    <row r="21" spans="1:35" ht="15" customHeight="1" thickBot="1">
      <c r="A21" s="1001"/>
      <c r="B21" s="2437" t="s">
        <v>2153</v>
      </c>
      <c r="C21" s="787">
        <f ca="1">ROUND(C19*10000/L19,0)</f>
        <v>79697</v>
      </c>
      <c r="D21" s="788">
        <f ca="1">ROUND(D19*10000/L19,0)</f>
        <v>64469</v>
      </c>
      <c r="E21" s="1001"/>
      <c r="F21" s="2437" t="s">
        <v>2153</v>
      </c>
      <c r="G21" s="149">
        <f ca="1">ROUND(G19*10000/L19,0)</f>
        <v>72083</v>
      </c>
      <c r="H21" s="2438" t="s">
        <v>2152</v>
      </c>
      <c r="I21" s="138"/>
    </row>
    <row r="22" spans="1:35" ht="15" thickBot="1">
      <c r="A22" s="2279" t="s">
        <v>2154</v>
      </c>
      <c r="B22" s="2439"/>
      <c r="C22" s="2440"/>
      <c r="D22" s="789">
        <f ca="1">IF(C19&lt;D19,D19/C19-1,C19/D19-1)</f>
        <v>0.23620451543172805</v>
      </c>
      <c r="E22" s="138"/>
      <c r="F22" s="138"/>
      <c r="G22" s="138"/>
      <c r="H22" s="138"/>
      <c r="I22" s="138"/>
    </row>
    <row r="23" spans="1:35" ht="13.5" thickBot="1">
      <c r="A23" s="2417"/>
      <c r="B23" s="2417"/>
      <c r="C23" s="2417"/>
      <c r="D23" s="2417"/>
      <c r="E23" s="138"/>
      <c r="F23" s="138"/>
      <c r="G23" s="138"/>
      <c r="H23" s="138"/>
      <c r="I23" s="138"/>
      <c r="K23" s="793">
        <f ca="1">ROUND(G20*面积!B1/10000,0)</f>
        <v>37947</v>
      </c>
    </row>
    <row r="24" spans="1:35" ht="14.25">
      <c r="A24" s="3215" t="s">
        <v>2155</v>
      </c>
      <c r="B24" s="2434" t="s">
        <v>2147</v>
      </c>
      <c r="C24" s="145">
        <f>IF(B30=0,0,D30)</f>
        <v>0</v>
      </c>
      <c r="D24" s="2441"/>
      <c r="E24" s="138"/>
      <c r="F24" s="138"/>
      <c r="G24" s="138"/>
      <c r="H24" s="138"/>
      <c r="I24" s="138"/>
      <c r="K24" s="793">
        <f ca="1">G19-K23</f>
        <v>36537</v>
      </c>
    </row>
    <row r="25" spans="1:35" ht="14.25">
      <c r="A25" s="3216"/>
      <c r="B25" s="1248"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4.25">
      <c r="A27" s="2443"/>
      <c r="B27" s="151">
        <v>0</v>
      </c>
      <c r="C27" s="151">
        <v>0</v>
      </c>
      <c r="D27" s="152">
        <f>ROUND(C27*B27/10000,0)</f>
        <v>0</v>
      </c>
      <c r="E27" s="138"/>
      <c r="F27" s="138"/>
      <c r="G27" s="138"/>
      <c r="H27" s="138"/>
      <c r="I27" s="138"/>
      <c r="K27" s="793">
        <v>36136</v>
      </c>
      <c r="L27" s="793">
        <f>K27/面积!B1*10000</f>
        <v>22299.386668131239</v>
      </c>
    </row>
    <row r="28" spans="1:35" ht="14.25">
      <c r="A28" s="2443"/>
      <c r="B28" s="151"/>
      <c r="C28" s="151"/>
      <c r="D28" s="152"/>
      <c r="E28" s="138"/>
      <c r="F28" s="138"/>
      <c r="G28" s="138"/>
      <c r="H28" s="138"/>
      <c r="I28" s="138"/>
      <c r="K28" s="793">
        <v>35106</v>
      </c>
      <c r="L28" s="793">
        <f>K28/面积!B2*10000</f>
        <v>22499.461643372062</v>
      </c>
    </row>
    <row r="29" spans="1:35" ht="14.25">
      <c r="A29" s="2443"/>
      <c r="B29" s="151"/>
      <c r="C29" s="151"/>
      <c r="D29" s="152"/>
      <c r="E29" s="138"/>
      <c r="F29" s="138"/>
      <c r="G29" s="138"/>
      <c r="H29" s="138"/>
      <c r="I29" s="138"/>
      <c r="K29" s="793">
        <f>K27+K28</f>
        <v>71242</v>
      </c>
    </row>
    <row r="30" spans="1:35" ht="14.25">
      <c r="A30" s="151" t="s">
        <v>2160</v>
      </c>
      <c r="B30" s="151"/>
      <c r="C30" s="151"/>
      <c r="D30" s="151"/>
      <c r="E30" s="2925" t="s">
        <v>3034</v>
      </c>
      <c r="F30" s="138"/>
      <c r="G30" s="138"/>
      <c r="H30" s="138"/>
      <c r="I30" s="138"/>
    </row>
    <row r="31" spans="1:35" s="2445" customFormat="1" ht="15" thickBot="1">
      <c r="A31" s="2444"/>
      <c r="B31" s="2444"/>
      <c r="C31" s="2444"/>
      <c r="D31" s="2444"/>
      <c r="E31" s="138"/>
      <c r="F31" s="138"/>
      <c r="G31" s="138"/>
      <c r="H31" s="138"/>
      <c r="I31" s="138"/>
      <c r="J31" s="793"/>
      <c r="K31" s="793"/>
      <c r="L31" s="793"/>
      <c r="M31" s="793"/>
      <c r="N31" s="793"/>
      <c r="O31" s="793"/>
      <c r="P31" s="793"/>
      <c r="Q31" s="793"/>
      <c r="R31" s="793"/>
      <c r="S31" s="793"/>
      <c r="T31" s="793"/>
      <c r="U31" s="793"/>
      <c r="V31" s="793"/>
      <c r="W31" s="793"/>
      <c r="X31" s="793"/>
      <c r="Y31" s="793"/>
      <c r="Z31" s="793"/>
      <c r="AA31" s="2422"/>
      <c r="AB31" s="2422"/>
      <c r="AC31" s="2422"/>
      <c r="AD31" s="2422"/>
      <c r="AE31" s="2422"/>
      <c r="AF31" s="2422"/>
      <c r="AG31" s="2422"/>
      <c r="AH31" s="2422"/>
      <c r="AI31" s="2422"/>
    </row>
    <row r="32" spans="1:35" ht="15.75" thickBot="1">
      <c r="A32" s="2446" t="s">
        <v>2161</v>
      </c>
      <c r="B32" s="2447"/>
      <c r="C32" s="153">
        <f ca="1">IF(D32="总价",G19-C24,G20-C25)</f>
        <v>74484</v>
      </c>
      <c r="D32" s="2448" t="s">
        <v>2162</v>
      </c>
      <c r="E32" s="138"/>
      <c r="F32" s="138"/>
      <c r="G32" s="138"/>
      <c r="H32" s="138"/>
      <c r="I32" s="138"/>
    </row>
    <row r="33" spans="1:15" ht="15">
      <c r="A33" s="958" t="s">
        <v>2163</v>
      </c>
      <c r="B33" s="2449"/>
      <c r="C33" s="2450"/>
      <c r="D33" s="2451"/>
      <c r="E33" s="2452" t="s">
        <v>2164</v>
      </c>
      <c r="F33" s="2453" t="str">
        <f>IF(D32="楼面单价","取值（单价）","取值（总价）")</f>
        <v>取值（总价）</v>
      </c>
      <c r="G33" s="138"/>
      <c r="H33" s="138"/>
      <c r="I33" s="138"/>
    </row>
    <row r="34" spans="1:15" ht="15">
      <c r="A34" s="2454"/>
      <c r="B34" s="2455" t="s">
        <v>2165</v>
      </c>
      <c r="C34" s="157" t="e">
        <f ca="1">IF(C33="自定义",F34,C32-C35)</f>
        <v>#REF!</v>
      </c>
      <c r="D34" s="1056" t="e">
        <f ca="1">IF(C33="自定义",ROUND(C34/C32,3),IF(C33="收益比率",SUMIF(INDIRECT("'"&amp;D33&amp;"'"&amp;"!b:b"),"土地收益比率",INDIRECT("'"&amp;D33&amp;"'"&amp;"!c:c")),SUMIF(INDIRECT("'"&amp;D33&amp;"'"&amp;"!b:b"),"土地成本比率",INDIRECT("'"&amp;D33&amp;"'"&amp;"!c:c"))))</f>
        <v>#REF!</v>
      </c>
      <c r="E34" s="2456" t="s">
        <v>2166</v>
      </c>
      <c r="F34" s="1734"/>
      <c r="G34" s="138"/>
      <c r="H34" s="138"/>
      <c r="I34" s="138"/>
    </row>
    <row r="35" spans="1:15" ht="15.75" thickBot="1">
      <c r="A35" s="2457"/>
      <c r="B35" s="2458" t="s">
        <v>2167</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59" t="s">
        <v>2168</v>
      </c>
      <c r="F35" s="163"/>
      <c r="G35" s="138"/>
      <c r="H35" s="138"/>
      <c r="I35" s="138"/>
    </row>
    <row r="36" spans="1:15" ht="15.75" thickBot="1">
      <c r="A36" s="3195" t="s">
        <v>2169</v>
      </c>
      <c r="B36" s="2460" t="s">
        <v>2170</v>
      </c>
      <c r="C36" s="154"/>
      <c r="D36" s="2461"/>
      <c r="E36" s="2462"/>
      <c r="F36" s="2463"/>
      <c r="G36" s="138"/>
      <c r="H36" s="138"/>
      <c r="I36" s="138"/>
    </row>
    <row r="37" spans="1:15" ht="15.75" thickBot="1">
      <c r="A37" s="3196"/>
      <c r="B37" s="2265" t="s">
        <v>2171</v>
      </c>
      <c r="C37" s="156"/>
      <c r="D37" s="1393"/>
      <c r="E37" s="1393"/>
      <c r="F37" s="2463"/>
      <c r="G37" s="138"/>
      <c r="H37" s="138"/>
      <c r="I37" s="138"/>
    </row>
    <row r="38" spans="1:15" ht="15.75" thickBot="1">
      <c r="A38" s="3197"/>
      <c r="B38" s="2464" t="s">
        <v>2172</v>
      </c>
      <c r="C38" s="725"/>
      <c r="D38" s="2465" t="s">
        <v>2173</v>
      </c>
      <c r="E38" s="1393"/>
      <c r="F38" s="2463"/>
      <c r="G38" s="138"/>
      <c r="H38" s="138"/>
      <c r="I38" s="138"/>
    </row>
    <row r="39" spans="1:15" ht="15">
      <c r="A39" s="2436" t="s">
        <v>2174</v>
      </c>
      <c r="B39" s="2466" t="s">
        <v>2175</v>
      </c>
      <c r="C39" s="2467" t="s">
        <v>2176</v>
      </c>
      <c r="D39" s="2467" t="s">
        <v>2177</v>
      </c>
      <c r="E39" s="2468" t="s">
        <v>2178</v>
      </c>
      <c r="F39" s="2463"/>
      <c r="G39" s="138"/>
      <c r="H39" s="138"/>
      <c r="I39" s="138"/>
    </row>
    <row r="40" spans="1:15" ht="14.25">
      <c r="A40" s="2469" t="s">
        <v>2179</v>
      </c>
      <c r="B40" s="158"/>
      <c r="C40" s="159"/>
      <c r="D40" s="159"/>
      <c r="E40" s="160"/>
      <c r="F40" s="2463"/>
      <c r="G40" s="138"/>
      <c r="H40" s="138"/>
      <c r="I40" s="138"/>
    </row>
    <row r="41" spans="1:15" ht="14.25">
      <c r="A41" s="2469" t="s">
        <v>2180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212" t="s">
        <v>2183</v>
      </c>
      <c r="B45" s="3213"/>
      <c r="C45" s="3214"/>
      <c r="D45" s="164">
        <f ca="1">ROUND(H101*F45,0)</f>
        <v>74484</v>
      </c>
      <c r="E45" s="165" t="s">
        <v>2184</v>
      </c>
      <c r="F45" s="166">
        <v>1</v>
      </c>
      <c r="G45" s="167" t="s">
        <v>2185</v>
      </c>
      <c r="H45" s="138"/>
      <c r="I45" s="138"/>
      <c r="J45" s="3131" t="s">
        <v>2186</v>
      </c>
      <c r="K45" s="3131"/>
      <c r="L45" s="3131"/>
      <c r="M45" s="3131"/>
      <c r="N45" s="3131"/>
      <c r="O45" s="3131"/>
    </row>
    <row r="46" spans="1:15" ht="14.25" customHeight="1">
      <c r="A46" s="3209" t="s">
        <v>2187</v>
      </c>
      <c r="B46" s="3210"/>
      <c r="C46" s="3210"/>
      <c r="D46" s="3210"/>
      <c r="E46" s="3210"/>
      <c r="F46" s="3210"/>
      <c r="G46" s="3211"/>
      <c r="H46" s="2479"/>
      <c r="I46" s="168"/>
      <c r="J46" s="1807">
        <v>1</v>
      </c>
      <c r="K46" s="3131" t="s">
        <v>2188</v>
      </c>
      <c r="L46" s="3131"/>
      <c r="M46" s="3132"/>
      <c r="N46" s="3132"/>
      <c r="O46" s="3132"/>
    </row>
    <row r="47" spans="1:15" ht="12" customHeight="1">
      <c r="A47" s="169" t="s">
        <v>2189</v>
      </c>
      <c r="B47" s="170"/>
      <c r="C47" s="171"/>
      <c r="D47" s="172" t="s">
        <v>2190</v>
      </c>
      <c r="E47" s="24" t="s">
        <v>2191</v>
      </c>
      <c r="F47" s="173" t="s">
        <v>2192</v>
      </c>
      <c r="G47" s="174" t="s">
        <v>2193</v>
      </c>
      <c r="H47" s="2479"/>
      <c r="I47" s="168"/>
      <c r="J47" s="1807">
        <v>2</v>
      </c>
      <c r="K47" s="3131" t="s">
        <v>2194</v>
      </c>
      <c r="L47" s="3131"/>
      <c r="M47" s="3133">
        <f>'数据-取费表'!B2</f>
        <v>43570</v>
      </c>
      <c r="N47" s="3133"/>
      <c r="O47" s="3133"/>
    </row>
    <row r="48" spans="1:15" ht="25.5">
      <c r="A48" s="3199" t="s">
        <v>2195</v>
      </c>
      <c r="B48" s="3200"/>
      <c r="C48" s="3200"/>
      <c r="D48" s="140">
        <f>IF(H48="情况1",0,IF(H48="情况2",D52,IF(H48="情况3",D53,IF(H48="情况4",D54))))</f>
        <v>0</v>
      </c>
      <c r="E48" s="1796" t="str">
        <f>IF(H48="情况4","(销售额-原购置价)×税（费）率","销售额×税（费）率")</f>
        <v>销售额×税（费）率</v>
      </c>
      <c r="F48" s="175" t="str">
        <f>IF(H48="情况1","免征",'数据-取费表'!B41)</f>
        <v>免征</v>
      </c>
      <c r="G48" s="2480" t="s">
        <v>2196</v>
      </c>
      <c r="H48" s="2481" t="s">
        <v>2197</v>
      </c>
      <c r="I48" s="2479"/>
      <c r="J48" s="1807">
        <v>3</v>
      </c>
      <c r="K48" s="3131" t="s">
        <v>2198</v>
      </c>
      <c r="L48" s="3131"/>
      <c r="M48" s="3134">
        <f ca="1">H101</f>
        <v>74484</v>
      </c>
      <c r="N48" s="3134"/>
      <c r="O48" s="3134"/>
    </row>
    <row r="49" spans="1:35" ht="25.5" customHeight="1">
      <c r="A49" s="176" t="s">
        <v>2199</v>
      </c>
      <c r="B49" s="3179" t="s">
        <v>2200</v>
      </c>
      <c r="C49" s="3179"/>
      <c r="D49" s="177">
        <v>0</v>
      </c>
      <c r="E49" s="23" t="s">
        <v>2201</v>
      </c>
      <c r="F49" s="28" t="s">
        <v>34</v>
      </c>
      <c r="G49" s="3160"/>
      <c r="H49" s="138"/>
      <c r="I49" s="2482"/>
      <c r="J49" s="1807">
        <v>4</v>
      </c>
      <c r="K49" s="3131" t="str">
        <f>IF(项目基本情况!E8="房地产抵押价值","房地产抵押价值","抵押担保权已注销时的房地产抵押价值")</f>
        <v>抵押担保权已注销时的房地产抵押价值</v>
      </c>
      <c r="L49" s="3131"/>
      <c r="M49" s="3134" t="str">
        <f>IF(项目基本情况!E8="房地产抵押价值",H107,H109)</f>
        <v>——</v>
      </c>
      <c r="N49" s="3134"/>
      <c r="O49" s="3134"/>
    </row>
    <row r="50" spans="1:35" ht="25.5" customHeight="1">
      <c r="A50" s="178"/>
      <c r="B50" s="3179" t="s">
        <v>2202</v>
      </c>
      <c r="C50" s="3179"/>
      <c r="D50" s="179"/>
      <c r="E50" s="31"/>
      <c r="F50" s="180"/>
      <c r="G50" s="3161"/>
      <c r="H50" s="138"/>
      <c r="I50" s="2482"/>
      <c r="J50" s="3131" t="s">
        <v>2203</v>
      </c>
      <c r="K50" s="3131"/>
      <c r="L50" s="3131"/>
      <c r="M50" s="3131"/>
      <c r="N50" s="3131"/>
      <c r="O50" s="3131"/>
    </row>
    <row r="51" spans="1:35" ht="12" customHeight="1">
      <c r="A51" s="181"/>
      <c r="B51" s="3179" t="s">
        <v>2204</v>
      </c>
      <c r="C51" s="3179"/>
      <c r="D51" s="182"/>
      <c r="E51" s="30"/>
      <c r="F51" s="180"/>
      <c r="G51" s="3162"/>
      <c r="H51" s="138"/>
      <c r="I51" s="2482"/>
      <c r="J51" s="2483" t="s">
        <v>2205</v>
      </c>
      <c r="K51" s="3131" t="s">
        <v>2206</v>
      </c>
      <c r="L51" s="3131"/>
      <c r="M51" s="2483" t="s">
        <v>2207</v>
      </c>
      <c r="N51" s="2483" t="s">
        <v>2208</v>
      </c>
      <c r="O51" s="2483" t="s">
        <v>2209</v>
      </c>
    </row>
    <row r="52" spans="1:35" ht="24" customHeight="1">
      <c r="A52" s="183" t="s">
        <v>2210</v>
      </c>
      <c r="B52" s="3179" t="s">
        <v>2211</v>
      </c>
      <c r="C52" s="3179"/>
      <c r="D52" s="182">
        <f ca="1">ROUND(D45*'数据-取费表'!B41/(1+'数据-取费表'!C42),0)</f>
        <v>3902</v>
      </c>
      <c r="E52" s="11" t="s">
        <v>2212</v>
      </c>
      <c r="F52" s="184">
        <f>'数据-取费表'!B41</f>
        <v>5.5000000000000007E-2</v>
      </c>
      <c r="G52" s="2484"/>
      <c r="H52" s="138"/>
      <c r="I52" s="2482"/>
      <c r="J52" s="1807">
        <v>1</v>
      </c>
      <c r="K52" s="3154" t="s">
        <v>2213</v>
      </c>
      <c r="L52" s="3154"/>
      <c r="M52" s="1749">
        <f>D48</f>
        <v>0</v>
      </c>
      <c r="N52" s="1807" t="str">
        <f>E48</f>
        <v>销售额×税（费）率</v>
      </c>
      <c r="O52" s="1750" t="str">
        <f>F48</f>
        <v>免征</v>
      </c>
    </row>
    <row r="53" spans="1:35" ht="12" customHeight="1">
      <c r="A53" s="183" t="s">
        <v>2214</v>
      </c>
      <c r="B53" s="3180" t="s">
        <v>2215</v>
      </c>
      <c r="C53" s="3181"/>
      <c r="D53" s="182">
        <f ca="1">ROUND(D45*'数据-取费表'!B41/(1+'数据-取费表'!C42),0)</f>
        <v>3902</v>
      </c>
      <c r="E53" s="11" t="s">
        <v>2212</v>
      </c>
      <c r="F53" s="184">
        <f>'数据-取费表'!B41</f>
        <v>5.5000000000000007E-2</v>
      </c>
      <c r="G53" s="2484"/>
      <c r="H53" s="138"/>
      <c r="I53" s="2482"/>
      <c r="J53" s="1807">
        <v>2</v>
      </c>
      <c r="K53" s="3154" t="s">
        <v>2216</v>
      </c>
      <c r="L53" s="3154"/>
      <c r="M53" s="1749">
        <f t="shared" ref="M53:O54" ca="1" si="0">D55</f>
        <v>37</v>
      </c>
      <c r="N53" s="1807" t="str">
        <f t="shared" si="0"/>
        <v>销售额×税（费）率</v>
      </c>
      <c r="O53" s="1750">
        <f t="shared" si="0"/>
        <v>5.0000000000000001E-4</v>
      </c>
    </row>
    <row r="54" spans="1:35" ht="12" customHeight="1">
      <c r="A54" s="183" t="s">
        <v>2217</v>
      </c>
      <c r="B54" s="3180" t="s">
        <v>2218</v>
      </c>
      <c r="C54" s="3181"/>
      <c r="D54" s="182">
        <f ca="1">C68</f>
        <v>3902</v>
      </c>
      <c r="E54" s="30" t="s">
        <v>2219</v>
      </c>
      <c r="F54" s="184">
        <f>'数据-取费表'!B41</f>
        <v>5.5000000000000007E-2</v>
      </c>
      <c r="G54" s="2484"/>
      <c r="H54" s="2485"/>
      <c r="I54" s="2482"/>
      <c r="J54" s="1807">
        <v>3</v>
      </c>
      <c r="K54" s="3154" t="s">
        <v>2220</v>
      </c>
      <c r="L54" s="3154"/>
      <c r="M54" s="1749">
        <f t="shared" ca="1" si="0"/>
        <v>42225</v>
      </c>
      <c r="N54" s="1807" t="str">
        <f t="shared" si="0"/>
        <v>增值额×税（费）率</v>
      </c>
      <c r="O54" s="1751" t="str">
        <f t="shared" si="0"/>
        <v>——</v>
      </c>
    </row>
    <row r="55" spans="1:35" ht="24" customHeight="1">
      <c r="A55" s="3218" t="s">
        <v>2221</v>
      </c>
      <c r="B55" s="3200"/>
      <c r="C55" s="3200"/>
      <c r="D55" s="185">
        <f ca="1">IF(H55="个人住宅",0,ROUND(D45*I55,0))</f>
        <v>37</v>
      </c>
      <c r="E55" s="11" t="s">
        <v>2222</v>
      </c>
      <c r="F55" s="184">
        <f>IF(H55="正常",I55,"免征")</f>
        <v>5.0000000000000001E-4</v>
      </c>
      <c r="G55" s="2484"/>
      <c r="H55" s="2481" t="s">
        <v>2223</v>
      </c>
      <c r="I55" s="186">
        <f>'数据-取费表'!B49</f>
        <v>5.0000000000000001E-4</v>
      </c>
      <c r="J55" s="1807" t="str">
        <f>IF(H59="非个人房产","",4)</f>
        <v/>
      </c>
      <c r="K55" s="3154" t="str">
        <f>IF(H59="非个人房产","——","个人所得税")</f>
        <v>——</v>
      </c>
      <c r="L55" s="3154"/>
      <c r="M55" s="1752" t="str">
        <f>D59</f>
        <v>——</v>
      </c>
      <c r="N55" s="1805" t="str">
        <f>E59</f>
        <v>——</v>
      </c>
      <c r="O55" s="1753" t="str">
        <f>F59</f>
        <v>——</v>
      </c>
    </row>
    <row r="56" spans="1:35" ht="24.75">
      <c r="A56" s="3218" t="s">
        <v>2224</v>
      </c>
      <c r="B56" s="3200"/>
      <c r="C56" s="3200"/>
      <c r="D56" s="185">
        <f ca="1">IF(H56="个人住宅",D57,D58)</f>
        <v>42225</v>
      </c>
      <c r="E56" s="11" t="s">
        <v>2225</v>
      </c>
      <c r="F56" s="184" t="str">
        <f>IF(H56="正常",F58,"免征")</f>
        <v>——</v>
      </c>
      <c r="G56" s="2486" t="s">
        <v>2226</v>
      </c>
      <c r="H56" s="2487" t="s">
        <v>2223</v>
      </c>
      <c r="I56" s="2488"/>
      <c r="J56" s="1807" t="str">
        <f>IF(项目基本情况!K6="上海银行",IF(J55="",4,J55+1),"")</f>
        <v/>
      </c>
      <c r="K56" s="3137" t="str">
        <f>IF(项目基本情况!K6="上海银行","其他处置费用","")</f>
        <v/>
      </c>
      <c r="L56" s="3138"/>
      <c r="M56" s="1749" t="str">
        <f>IF(项目基本情况!K6="上海银行",M69,"")</f>
        <v/>
      </c>
      <c r="N56" s="3140" t="str">
        <f>IF(项目基本情况!K6="上海银行","包含处置中涉及的律师、诉讼、拍卖、评估等费用","")</f>
        <v/>
      </c>
      <c r="O56" s="3141"/>
    </row>
    <row r="57" spans="1:35" ht="12.75">
      <c r="A57" s="183" t="s">
        <v>2199</v>
      </c>
      <c r="B57" s="3185" t="s">
        <v>2227</v>
      </c>
      <c r="C57" s="3186"/>
      <c r="D57" s="187">
        <v>0</v>
      </c>
      <c r="E57" s="23" t="s">
        <v>2201</v>
      </c>
      <c r="F57" s="155"/>
      <c r="G57" s="2484"/>
      <c r="H57" s="2488"/>
      <c r="I57" s="2488"/>
      <c r="J57" s="3154">
        <f>IF(AND(J55="",J56=""),4,IF(项目基本情况!K6="上海银行",结果表!J56+1,结果表!J55+1))</f>
        <v>4</v>
      </c>
      <c r="K57" s="3154" t="s">
        <v>2228</v>
      </c>
      <c r="L57" s="2489" t="s">
        <v>2229</v>
      </c>
      <c r="M57" s="1754"/>
      <c r="N57" s="1755">
        <f ca="1">SUMIF(M52:M56,"&lt;9e307")</f>
        <v>42262</v>
      </c>
      <c r="O57" s="2490"/>
      <c r="P57" s="1748" t="e">
        <f ca="1">N57/M49</f>
        <v>#VALUE!</v>
      </c>
    </row>
    <row r="58" spans="1:35" ht="24.75">
      <c r="A58" s="183" t="s">
        <v>2210</v>
      </c>
      <c r="B58" s="3185" t="s">
        <v>2230</v>
      </c>
      <c r="C58" s="3198"/>
      <c r="D58" s="185">
        <f ca="1">IF(H58="转让取得",C81,C97)</f>
        <v>42225</v>
      </c>
      <c r="E58" s="11" t="s">
        <v>2225</v>
      </c>
      <c r="F58" s="24" t="s">
        <v>34</v>
      </c>
      <c r="G58" s="2484"/>
      <c r="H58" s="2487" t="s">
        <v>2231</v>
      </c>
      <c r="I58" s="2488"/>
      <c r="J58" s="3154"/>
      <c r="K58" s="3154"/>
      <c r="L58" s="2489" t="s">
        <v>2232</v>
      </c>
      <c r="M58" s="1756"/>
      <c r="N58" s="2491" t="str">
        <f ca="1">NUMBERSTRING(INT(N57*10000),2)&amp;"元整"</f>
        <v>肆亿贰仟贰佰陆拾贰万元整</v>
      </c>
      <c r="O58" s="2492"/>
    </row>
    <row r="59" spans="1:35" ht="24.75" thickBot="1">
      <c r="A59" s="3158" t="s">
        <v>2233</v>
      </c>
      <c r="B59" s="3159"/>
      <c r="C59" s="3159"/>
      <c r="D59" s="188" t="str">
        <f>IF(H59="非个人房产","——",IF(H59="个人住宅",0,ROUND(D45*I59,0)))</f>
        <v>——</v>
      </c>
      <c r="E59" s="189" t="str">
        <f>IF(H59="非个人房产","——","销售额×税（费）率")</f>
        <v>——</v>
      </c>
      <c r="F59" s="190" t="str">
        <f>IF(H59="非个人房产","——",IF(H59="个人住宅","免征",I59))</f>
        <v>——</v>
      </c>
      <c r="G59" s="2493" t="s">
        <v>2226</v>
      </c>
      <c r="H59" s="2487" t="s">
        <v>2234</v>
      </c>
      <c r="I59" s="191">
        <v>0.01</v>
      </c>
      <c r="J59" s="3156">
        <f>J57+1</f>
        <v>5</v>
      </c>
      <c r="K59" s="3154" t="s">
        <v>2235</v>
      </c>
      <c r="L59" s="1807" t="s">
        <v>2229</v>
      </c>
      <c r="M59" s="1757"/>
      <c r="N59" s="1758" t="e">
        <f ca="1">M49-N57</f>
        <v>#VALUE!</v>
      </c>
      <c r="O59" s="2494"/>
    </row>
    <row r="60" spans="1:35" ht="12" customHeight="1">
      <c r="A60" s="2495"/>
      <c r="B60" s="2417"/>
      <c r="C60" s="2417"/>
      <c r="D60" s="2417"/>
      <c r="E60" s="2165"/>
      <c r="F60" s="2488"/>
      <c r="G60" s="2488"/>
      <c r="H60" s="2496"/>
      <c r="I60" s="138"/>
      <c r="J60" s="3157"/>
      <c r="K60" s="3154"/>
      <c r="L60" s="2489" t="s">
        <v>2232</v>
      </c>
      <c r="M60" s="1756"/>
      <c r="N60" s="2491" t="e">
        <f ca="1">NUMBERSTRING(INT(N59*10000),2)&amp;"元整"</f>
        <v>#VALUE!</v>
      </c>
      <c r="O60" s="2492"/>
    </row>
    <row r="61" spans="1:35" ht="13.5" thickBot="1">
      <c r="A61" s="3217" t="s">
        <v>2236</v>
      </c>
      <c r="B61" s="3217"/>
      <c r="C61" s="3217"/>
      <c r="D61" s="3217"/>
      <c r="E61" s="3217"/>
      <c r="F61" s="2488"/>
      <c r="G61" s="2488"/>
      <c r="H61" s="2496"/>
      <c r="I61" s="138"/>
      <c r="J61" s="1807">
        <f>J59+1</f>
        <v>6</v>
      </c>
      <c r="K61" s="3154" t="s">
        <v>2237</v>
      </c>
      <c r="L61" s="3154"/>
      <c r="M61" s="1759"/>
      <c r="N61" s="1760" t="e">
        <f ca="1">ROUND(N59*10000/'数据-汇总表'!E3,0)</f>
        <v>#VALUE!</v>
      </c>
      <c r="O61" s="2497"/>
    </row>
    <row r="62" spans="1:35" ht="12.75">
      <c r="A62" s="3174" t="s">
        <v>2238</v>
      </c>
      <c r="B62" s="3175"/>
      <c r="C62" s="1799"/>
      <c r="D62" s="1799" t="s">
        <v>2239</v>
      </c>
      <c r="E62" s="192" t="s">
        <v>2240</v>
      </c>
      <c r="F62" s="2488"/>
      <c r="G62" s="2488"/>
      <c r="H62" s="2496"/>
      <c r="I62" s="138"/>
    </row>
    <row r="63" spans="1:35" ht="12.75">
      <c r="A63" s="203" t="s">
        <v>775</v>
      </c>
      <c r="B63" s="193" t="s">
        <v>2241</v>
      </c>
      <c r="C63" s="194">
        <f ca="1">ROUND((C64+C65)/(1+'数据-取费表'!C42),0)</f>
        <v>70937</v>
      </c>
      <c r="D63" s="195"/>
      <c r="E63" s="196"/>
      <c r="F63" s="2488"/>
      <c r="G63" s="2488"/>
      <c r="H63" s="2496"/>
      <c r="I63" s="138"/>
      <c r="J63" s="3139" t="s">
        <v>2242</v>
      </c>
      <c r="K63" s="2498" t="s">
        <v>2243</v>
      </c>
      <c r="L63" s="1747" t="e">
        <f>IF(M49&gt;10000,M49*0.5%,IF(AND(M49&gt;1000,M49&lt;=10000),M49*1%,IF(AND(M49&gt;100,M49&lt;=1000),M49*3%,IF(AND(M49&gt;10,M49&lt;=100),M49*5%,M49*8%))))</f>
        <v>#VALUE!</v>
      </c>
      <c r="M63" s="24" t="e">
        <f>ROUND(L63,1)</f>
        <v>#VALUE!</v>
      </c>
      <c r="Z63" s="2422"/>
      <c r="AI63" s="2423"/>
    </row>
    <row r="64" spans="1:35" ht="14.25" customHeight="1">
      <c r="A64" s="197" t="s">
        <v>770</v>
      </c>
      <c r="B64" s="198" t="s">
        <v>2244</v>
      </c>
      <c r="C64" s="199">
        <f ca="1">D45</f>
        <v>74484</v>
      </c>
      <c r="D64" s="200" t="s">
        <v>32</v>
      </c>
      <c r="E64" s="201"/>
      <c r="F64" s="2488"/>
      <c r="G64" s="2488"/>
      <c r="H64" s="2496"/>
      <c r="I64" s="138"/>
      <c r="J64" s="3139"/>
      <c r="K64" s="2498" t="s">
        <v>2245</v>
      </c>
      <c r="L64" s="1747"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2"/>
      <c r="AI64" s="2423"/>
    </row>
    <row r="65" spans="1:35" ht="14.25" customHeight="1">
      <c r="A65" s="197" t="s">
        <v>771</v>
      </c>
      <c r="B65" s="198" t="s">
        <v>2247</v>
      </c>
      <c r="C65" s="202"/>
      <c r="D65" s="200"/>
      <c r="E65" s="201"/>
      <c r="F65" s="2488"/>
      <c r="G65" s="2488"/>
      <c r="H65" s="2496"/>
      <c r="I65" s="138"/>
      <c r="J65" s="3139"/>
      <c r="K65" s="2498" t="s">
        <v>2248</v>
      </c>
      <c r="L65" s="1747" t="e">
        <f>IF(M49&gt;1000,M49*0.1%,IF(AND(M49&gt;500,M49&lt;=1000),M49*0.5%,IF(AND(M49&gt;50,M49&lt;=500),M49*1%,IF(AND(M49&gt;1,M49&lt;=50),M49*1.5%))))</f>
        <v>#VALUE!</v>
      </c>
      <c r="M65" s="24" t="e">
        <f t="shared" si="1"/>
        <v>#VALUE!</v>
      </c>
      <c r="N65" s="138" t="s">
        <v>2246</v>
      </c>
      <c r="Z65" s="2422"/>
      <c r="AI65" s="2423"/>
    </row>
    <row r="66" spans="1:35" ht="14.25" customHeight="1">
      <c r="A66" s="203" t="s">
        <v>772</v>
      </c>
      <c r="B66" s="204" t="s">
        <v>2249</v>
      </c>
      <c r="C66" s="205"/>
      <c r="D66" s="206" t="s">
        <v>32</v>
      </c>
      <c r="E66" s="1771" t="s">
        <v>1367</v>
      </c>
      <c r="F66" s="2488"/>
      <c r="G66" s="2488"/>
      <c r="H66" s="2496"/>
      <c r="I66" s="138"/>
      <c r="J66" s="3139"/>
      <c r="K66" s="2498" t="s">
        <v>2250</v>
      </c>
      <c r="L66" s="1747" t="e">
        <f>M49*0.5%</f>
        <v>#VALUE!</v>
      </c>
      <c r="M66" s="24" t="e">
        <f>IF(L66&gt;0.5,0.5,ROUND(L66,0))</f>
        <v>#VALUE!</v>
      </c>
      <c r="N66" s="138" t="s">
        <v>2251</v>
      </c>
      <c r="Z66" s="2422"/>
      <c r="AI66" s="2423"/>
    </row>
    <row r="67" spans="1:35" ht="14.25" customHeight="1">
      <c r="A67" s="203" t="s">
        <v>773</v>
      </c>
      <c r="B67" s="204" t="s">
        <v>2252</v>
      </c>
      <c r="C67" s="207">
        <f ca="1">C63-C66</f>
        <v>70937</v>
      </c>
      <c r="D67" s="200" t="s">
        <v>32</v>
      </c>
      <c r="E67" s="201"/>
      <c r="F67" s="2488"/>
      <c r="G67" s="2488"/>
      <c r="H67" s="2496"/>
      <c r="I67" s="138"/>
      <c r="J67" s="3139"/>
      <c r="K67" s="2498" t="s">
        <v>2253</v>
      </c>
      <c r="L67" s="1747"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2254</v>
      </c>
      <c r="C68" s="210">
        <f ca="1">IF(C67&lt;=0,0,ROUND(C67*D68,0))</f>
        <v>3902</v>
      </c>
      <c r="D68" s="211">
        <f>'数据-取费表'!B41</f>
        <v>5.5000000000000007E-2</v>
      </c>
      <c r="E68" s="212"/>
      <c r="F68" s="2488"/>
      <c r="G68" s="2488"/>
      <c r="H68" s="2496"/>
      <c r="I68" s="138"/>
      <c r="J68" s="3139"/>
      <c r="K68" s="2498" t="s">
        <v>2255</v>
      </c>
      <c r="L68" s="1747"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5"/>
      <c r="G69" s="2165"/>
      <c r="H69" s="2164"/>
      <c r="I69" s="2417"/>
      <c r="J69" s="3139"/>
      <c r="K69" s="2498" t="s">
        <v>2256</v>
      </c>
      <c r="L69" s="2504"/>
      <c r="M69" s="24" t="e">
        <f>ROUND(SUM(M63:M68),0)</f>
        <v>#VALUE!</v>
      </c>
      <c r="N69" s="1748" t="e">
        <f>M69/M49</f>
        <v>#VALUE!</v>
      </c>
      <c r="O69" s="793"/>
      <c r="P69" s="793"/>
      <c r="Q69" s="793"/>
      <c r="R69" s="793"/>
      <c r="S69" s="793"/>
      <c r="T69" s="793"/>
      <c r="U69" s="793"/>
      <c r="V69" s="793"/>
      <c r="W69" s="793"/>
      <c r="X69" s="793"/>
      <c r="Y69" s="793"/>
      <c r="Z69" s="2422"/>
      <c r="AA69" s="2422"/>
      <c r="AB69" s="2422"/>
      <c r="AC69" s="2422"/>
      <c r="AD69" s="2422"/>
      <c r="AE69" s="2422"/>
      <c r="AF69" s="2422"/>
      <c r="AG69" s="2422"/>
      <c r="AH69" s="2422"/>
    </row>
    <row r="70" spans="1:35" s="2506" customFormat="1" ht="15" thickBot="1">
      <c r="A70" s="3183" t="s">
        <v>2257</v>
      </c>
      <c r="B70" s="3184"/>
      <c r="C70" s="3184"/>
      <c r="D70" s="3184"/>
      <c r="E70" s="3184"/>
      <c r="F70" s="3184"/>
      <c r="G70" s="3184"/>
      <c r="H70" s="3184"/>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74" t="s">
        <v>2238</v>
      </c>
      <c r="B71" s="3175"/>
      <c r="C71" s="1799"/>
      <c r="D71" s="1799"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2258</v>
      </c>
      <c r="C72" s="207">
        <f ca="1">ROUND(D45/(1+'数据-取费表'!C42),0)</f>
        <v>70937</v>
      </c>
      <c r="D72" s="200" t="s">
        <v>32</v>
      </c>
      <c r="E72" s="1798"/>
      <c r="F72" s="1792"/>
      <c r="G72" s="1792"/>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2259</v>
      </c>
      <c r="C73" s="207">
        <f ca="1">C74+C78</f>
        <v>355</v>
      </c>
      <c r="D73" s="200" t="s">
        <v>32</v>
      </c>
      <c r="E73" s="1798"/>
      <c r="F73" s="1792"/>
      <c r="G73" s="1792"/>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1798"/>
      <c r="F74" s="1792"/>
      <c r="G74" s="1792"/>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2261</v>
      </c>
      <c r="C75" s="218"/>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180" t="s">
        <v>2266</v>
      </c>
      <c r="F76" s="3179"/>
      <c r="G76" s="3179"/>
      <c r="H76" s="3182"/>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2" t="s">
        <v>2269</v>
      </c>
      <c r="H77" s="1803"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355</v>
      </c>
      <c r="D78" s="226">
        <f>'数据-取费表'!B43</f>
        <v>5.000000000000001E-3</v>
      </c>
      <c r="E78" s="3171" t="s">
        <v>2271</v>
      </c>
      <c r="F78" s="3172"/>
      <c r="G78" s="3172"/>
      <c r="H78" s="3173"/>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2272</v>
      </c>
      <c r="C79" s="207">
        <f ca="1">C72-C73</f>
        <v>70582</v>
      </c>
      <c r="D79" s="200" t="s">
        <v>32</v>
      </c>
      <c r="E79" s="1798"/>
      <c r="F79" s="1792"/>
      <c r="G79" s="1792"/>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f ca="1">IF(C79&lt;=0,0,C79/C73)</f>
        <v>198.82253521126759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2274</v>
      </c>
      <c r="C81" s="228">
        <f ca="1">ROUND(IF(C79&lt;=0,0,IF(C80&gt;=200%,C79*60%-C73*35%,IF(C80&gt;=100%,C79*50%-C73*15%,IF(C80&gt;=50%,C79*40%-C73*5%,IF(C80&lt;50%,C79*30%,0))))),0)</f>
        <v>42225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1"/>
      <c r="B82" s="732"/>
      <c r="C82" s="7"/>
      <c r="D82" s="7"/>
      <c r="E82" s="732"/>
      <c r="F82" s="732"/>
      <c r="G82" s="732"/>
      <c r="H82" s="733"/>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83" t="s">
        <v>2275</v>
      </c>
      <c r="B83" s="3184"/>
      <c r="C83" s="3184"/>
      <c r="D83" s="3184"/>
      <c r="E83" s="3184"/>
      <c r="F83" s="3184"/>
      <c r="G83" s="3184"/>
      <c r="H83" s="3184"/>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74" t="s">
        <v>2238</v>
      </c>
      <c r="B84" s="3175"/>
      <c r="C84" s="1799"/>
      <c r="D84" s="1799"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2258</v>
      </c>
      <c r="C85" s="207">
        <f ca="1">ROUND(D45/(1+'数据-取费表'!C42),0)</f>
        <v>70937</v>
      </c>
      <c r="D85" s="200" t="s">
        <v>32</v>
      </c>
      <c r="E85" s="1798"/>
      <c r="F85" s="1792"/>
      <c r="G85" s="1792"/>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2259</v>
      </c>
      <c r="C86" s="207">
        <f ca="1">IF(H88="仅含出让金",C87+C90+C91+C92+C93+C94,C87+C91+C92+C93+C94)</f>
        <v>355</v>
      </c>
      <c r="D86" s="235"/>
      <c r="E86" s="1798"/>
      <c r="F86" s="1792"/>
      <c r="G86" s="1792"/>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2276</v>
      </c>
      <c r="C87" s="225">
        <f>C88+C89</f>
        <v>0</v>
      </c>
      <c r="D87" s="226"/>
      <c r="E87" s="1794"/>
      <c r="F87" s="1795"/>
      <c r="G87" s="1795"/>
      <c r="H87" s="1797"/>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2277</v>
      </c>
      <c r="C88" s="236"/>
      <c r="D88" s="226"/>
      <c r="E88" s="237" t="s">
        <v>2278</v>
      </c>
      <c r="F88" s="1795"/>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2267</v>
      </c>
      <c r="C89" s="225">
        <f>ROUND(C88*D89,0)</f>
        <v>0</v>
      </c>
      <c r="D89" s="226">
        <f>'数据-取费表'!B48+'数据-取费表'!B49</f>
        <v>3.0499999999999999E-2</v>
      </c>
      <c r="E89" s="237" t="s">
        <v>2280</v>
      </c>
      <c r="F89" s="1795"/>
      <c r="G89" s="1795"/>
      <c r="H89" s="1797"/>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2281</v>
      </c>
      <c r="C90" s="236"/>
      <c r="D90" s="226"/>
      <c r="E90" s="237" t="str">
        <f>IF(H88="-","土地取得成本中已包含该笔费用"," ")</f>
        <v xml:space="preserve"> </v>
      </c>
      <c r="F90" s="1795"/>
      <c r="G90" s="1795"/>
      <c r="H90" s="1797"/>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171" t="s">
        <v>2284</v>
      </c>
      <c r="F91" s="3172"/>
      <c r="G91" s="3172"/>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171" t="s">
        <v>2288</v>
      </c>
      <c r="F92" s="3172"/>
      <c r="G92" s="3172"/>
      <c r="H92" s="3173"/>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355</v>
      </c>
      <c r="D93" s="226">
        <f>'数据-取费表'!B43</f>
        <v>5.000000000000001E-3</v>
      </c>
      <c r="E93" s="3171" t="s">
        <v>2271</v>
      </c>
      <c r="F93" s="3172"/>
      <c r="G93" s="3172"/>
      <c r="H93" s="3173"/>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219" t="s">
        <v>2292</v>
      </c>
      <c r="F94" s="3220"/>
      <c r="G94" s="3220"/>
      <c r="H94" s="3221"/>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2272</v>
      </c>
      <c r="C95" s="207">
        <f ca="1">ROUND(C85-C86,0)</f>
        <v>70582</v>
      </c>
      <c r="D95" s="200" t="s">
        <v>32</v>
      </c>
      <c r="E95" s="1798"/>
      <c r="F95" s="1792"/>
      <c r="G95" s="1792"/>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f ca="1">IF(C95&lt;=0,0,C95/C86)</f>
        <v>198.82253521126759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2274</v>
      </c>
      <c r="C97" s="228">
        <f ca="1">ROUND(IF(C95&lt;=0,0,IF(C96&gt;=200%,C95*60%-C86*35%,IF(C96&gt;=100%,C95*50%-C86*15%,IF(C96&gt;=50%,C95*40%-C86*5%,IF(C96&lt;50%,C95*30%,0))))),0)</f>
        <v>42225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2293</v>
      </c>
      <c r="B99" s="2417"/>
      <c r="C99" s="2417"/>
      <c r="D99" s="2417"/>
      <c r="E99" s="2165"/>
      <c r="F99" s="2165"/>
      <c r="G99" s="2165"/>
      <c r="H99" s="2164"/>
      <c r="I99" s="138"/>
    </row>
    <row r="100" spans="1:35" ht="18.75" customHeight="1">
      <c r="A100" s="3123" t="s">
        <v>2294</v>
      </c>
      <c r="B100" s="3124"/>
      <c r="C100" s="3124"/>
      <c r="D100" s="3155"/>
      <c r="E100" s="3124" t="s">
        <v>2295</v>
      </c>
      <c r="F100" s="3124"/>
      <c r="G100" s="3124"/>
      <c r="H100" s="3155"/>
      <c r="I100" s="138"/>
    </row>
    <row r="101" spans="1:35" ht="18.75" customHeight="1">
      <c r="A101" s="3163" t="s">
        <v>2296</v>
      </c>
      <c r="B101" s="3164"/>
      <c r="C101" s="734" t="str">
        <f>C4</f>
        <v>比较法-办公</v>
      </c>
      <c r="D101" s="735" t="str">
        <f>D4</f>
        <v>收益法</v>
      </c>
      <c r="E101" s="3135" t="s">
        <v>2297</v>
      </c>
      <c r="F101" s="3136"/>
      <c r="G101" s="2519" t="s">
        <v>2298</v>
      </c>
      <c r="H101" s="1046">
        <f ca="1">H118</f>
        <v>74484</v>
      </c>
      <c r="I101" s="138"/>
    </row>
    <row r="102" spans="1:35" ht="18.75" customHeight="1">
      <c r="A102" s="3165" t="s">
        <v>2299</v>
      </c>
      <c r="B102" s="2519" t="s">
        <v>2298</v>
      </c>
      <c r="C102" s="734">
        <f ca="1">C19</f>
        <v>82351</v>
      </c>
      <c r="D102" s="735">
        <f ca="1">D19</f>
        <v>66616</v>
      </c>
      <c r="E102" s="3135"/>
      <c r="F102" s="3136"/>
      <c r="G102" s="2519" t="s">
        <v>2300</v>
      </c>
      <c r="H102" s="371">
        <f ca="1">I118</f>
        <v>23417</v>
      </c>
      <c r="I102" s="138"/>
    </row>
    <row r="103" spans="1:35" ht="42.75" customHeight="1">
      <c r="A103" s="3165"/>
      <c r="B103" s="2519" t="s">
        <v>2300</v>
      </c>
      <c r="C103" s="736">
        <f ca="1">C20</f>
        <v>25890</v>
      </c>
      <c r="D103" s="737">
        <f ca="1">D20</f>
        <v>20943</v>
      </c>
      <c r="E103" s="3129" t="s">
        <v>2301</v>
      </c>
      <c r="F103" s="3130"/>
      <c r="G103" s="2520" t="s">
        <v>2302</v>
      </c>
      <c r="H103" s="1046">
        <f>IF(D36="正常操作",H104+H105+H106,H105+H106)</f>
        <v>0</v>
      </c>
      <c r="I103" s="138"/>
    </row>
    <row r="104" spans="1:35" ht="18.75" customHeight="1">
      <c r="A104" s="3165" t="s">
        <v>2303</v>
      </c>
      <c r="B104" s="2521" t="s">
        <v>2298</v>
      </c>
      <c r="C104" s="738">
        <f ca="1">H118</f>
        <v>74484</v>
      </c>
      <c r="D104" s="739"/>
      <c r="E104" s="2265" t="s">
        <v>2304</v>
      </c>
      <c r="F104" s="2257"/>
      <c r="G104" s="2520" t="s">
        <v>2302</v>
      </c>
      <c r="H104" s="1047">
        <f>IF(D36="同一抵押权人同一抵押物续贷",C36&amp;"（未扣减，详见特别提示）",C36)</f>
        <v>0</v>
      </c>
      <c r="I104" s="138"/>
    </row>
    <row r="105" spans="1:35" ht="18.75" customHeight="1" thickBot="1">
      <c r="A105" s="3177"/>
      <c r="B105" s="2522" t="s">
        <v>2300</v>
      </c>
      <c r="C105" s="740">
        <f ca="1">I118</f>
        <v>23417</v>
      </c>
      <c r="D105" s="741"/>
      <c r="E105" s="2265" t="s">
        <v>2305</v>
      </c>
      <c r="F105" s="2257"/>
      <c r="G105" s="2520" t="s">
        <v>2302</v>
      </c>
      <c r="H105" s="1047">
        <f>C37</f>
        <v>0</v>
      </c>
      <c r="I105" s="138"/>
    </row>
    <row r="106" spans="1:35" ht="18.75" customHeight="1">
      <c r="A106" s="2417" t="s">
        <v>2306</v>
      </c>
      <c r="B106" s="2417"/>
      <c r="C106" s="2417"/>
      <c r="D106" s="2417"/>
      <c r="E106" s="2523" t="s">
        <v>2307</v>
      </c>
      <c r="F106" s="2257"/>
      <c r="G106" s="2520" t="s">
        <v>2302</v>
      </c>
      <c r="H106" s="1047">
        <f>C38</f>
        <v>0</v>
      </c>
      <c r="I106" s="138"/>
    </row>
    <row r="107" spans="1:35" ht="18.75" customHeight="1">
      <c r="A107" s="138"/>
      <c r="B107" s="138"/>
      <c r="C107" s="138"/>
      <c r="D107" s="138"/>
      <c r="E107" s="3166" t="str">
        <f>IF(项目基本情况!E8="已注销","——","3.房地产抵押价值")</f>
        <v>3.房地产抵押价值</v>
      </c>
      <c r="F107" s="3136"/>
      <c r="G107" s="2519" t="s">
        <v>2298</v>
      </c>
      <c r="H107" s="1046">
        <f ca="1">IF(E107="——","——",H101-H103)</f>
        <v>74484</v>
      </c>
      <c r="I107" s="138"/>
    </row>
    <row r="108" spans="1:35" ht="18.75" customHeight="1">
      <c r="A108" s="138"/>
      <c r="B108" s="138"/>
      <c r="C108" s="138"/>
      <c r="D108" s="138"/>
      <c r="E108" s="3166"/>
      <c r="F108" s="3136"/>
      <c r="G108" s="2519" t="s">
        <v>2300</v>
      </c>
      <c r="H108" s="371">
        <f ca="1">ROUND(H107*10000/'数据-汇总表'!E3,0)</f>
        <v>11174</v>
      </c>
      <c r="I108" s="138"/>
    </row>
    <row r="109" spans="1:35" ht="18.75" customHeight="1">
      <c r="A109" s="138"/>
      <c r="B109" s="138"/>
      <c r="C109" s="138"/>
      <c r="D109" s="138"/>
      <c r="E109" s="3166" t="str">
        <f>IF(项目基本情况!E8="已注销及未注销","4.抵押担保权已注销时的房地产抵押价值",IF(项目基本情况!E8="已注销","3.抵押担保权已注销时的房地产抵押价值","——"))</f>
        <v>——</v>
      </c>
      <c r="F109" s="3136"/>
      <c r="G109" s="2519" t="s">
        <v>2298</v>
      </c>
      <c r="H109" s="348" t="str">
        <f>IF(E109="——","——",H101-H105-H106)</f>
        <v>——</v>
      </c>
      <c r="I109" s="138"/>
    </row>
    <row r="110" spans="1:35" ht="18.75" customHeight="1">
      <c r="A110" s="138"/>
      <c r="B110" s="138"/>
      <c r="C110" s="138"/>
      <c r="D110" s="138"/>
      <c r="E110" s="3166"/>
      <c r="F110" s="3136"/>
      <c r="G110" s="2519" t="s">
        <v>2300</v>
      </c>
      <c r="H110" s="371" t="str">
        <f>IF(H109="——","——",ROUND(H109*10000/'数据-汇总表'!E3,0))</f>
        <v>——</v>
      </c>
      <c r="I110" s="138"/>
    </row>
    <row r="111" spans="1:35" ht="18.75" customHeight="1">
      <c r="A111" s="138"/>
      <c r="B111" s="138"/>
      <c r="C111" s="138"/>
      <c r="D111" s="138"/>
      <c r="E111" s="3167" t="str">
        <f>IF(项目基本情况!E9="抵押净值",IF(OR(项目基本情况!E8="已注销",项目基本情况!E8="房地产抵押价值"),"4.抵押净值","5.抵押净值"),"——")</f>
        <v>——</v>
      </c>
      <c r="F111" s="3168"/>
      <c r="G111" s="2519" t="s">
        <v>2298</v>
      </c>
      <c r="H111" s="1046" t="str">
        <f>IF(E111="——","——",N59)</f>
        <v>——</v>
      </c>
      <c r="I111" s="138"/>
    </row>
    <row r="112" spans="1:35" ht="18.75" customHeight="1" thickBot="1">
      <c r="A112" s="138"/>
      <c r="B112" s="138"/>
      <c r="C112" s="138"/>
      <c r="D112" s="138"/>
      <c r="E112" s="3169"/>
      <c r="F112" s="3170"/>
      <c r="G112" s="2524" t="s">
        <v>2300</v>
      </c>
      <c r="H112" s="788" t="str">
        <f>IF(E111="——","——",N61)</f>
        <v>——</v>
      </c>
      <c r="I112" s="138"/>
    </row>
    <row r="113" spans="1:11" ht="18.75" customHeight="1">
      <c r="A113" s="138"/>
      <c r="B113" s="138"/>
      <c r="C113" s="138"/>
      <c r="D113" s="138"/>
      <c r="E113" s="3178" t="s">
        <v>2306</v>
      </c>
      <c r="F113" s="3178"/>
      <c r="G113" s="3178"/>
      <c r="H113" s="3178"/>
      <c r="I113" s="138"/>
    </row>
    <row r="114" spans="1:11" ht="3.75" customHeight="1">
      <c r="A114" s="2417"/>
      <c r="B114" s="2417"/>
      <c r="C114" s="2417"/>
      <c r="D114" s="2417"/>
      <c r="E114" s="2495"/>
      <c r="F114" s="2495"/>
      <c r="G114" s="2495"/>
      <c r="H114" s="2495"/>
      <c r="I114" s="2417"/>
    </row>
    <row r="115" spans="1:11" ht="18.75" customHeight="1">
      <c r="A115" s="3191" t="s">
        <v>2308</v>
      </c>
      <c r="B115" s="3192"/>
      <c r="C115" s="3192"/>
      <c r="D115" s="3192"/>
      <c r="E115" s="3192"/>
      <c r="F115" s="3192"/>
      <c r="G115" s="3192"/>
      <c r="H115" s="3192"/>
      <c r="I115" s="3193"/>
    </row>
    <row r="116" spans="1:11" ht="27" customHeight="1">
      <c r="A116" s="3102" t="s">
        <v>2309</v>
      </c>
      <c r="B116" s="3145" t="s">
        <v>2310</v>
      </c>
      <c r="C116" s="3145" t="s">
        <v>2311</v>
      </c>
      <c r="D116" s="3151" t="s">
        <v>2312</v>
      </c>
      <c r="E116" s="3152"/>
      <c r="F116" s="3187" t="s">
        <v>2313</v>
      </c>
      <c r="G116" s="3187"/>
      <c r="H116" s="3102" t="s">
        <v>2314</v>
      </c>
      <c r="I116" s="3102"/>
    </row>
    <row r="117" spans="1:11" ht="18.75" customHeight="1">
      <c r="A117" s="3102"/>
      <c r="B117" s="3146"/>
      <c r="C117" s="3146"/>
      <c r="D117" s="1793" t="s">
        <v>2315</v>
      </c>
      <c r="E117" s="1793" t="s">
        <v>2316</v>
      </c>
      <c r="F117" s="1793" t="s">
        <v>2315</v>
      </c>
      <c r="G117" s="1793" t="s">
        <v>2317</v>
      </c>
      <c r="H117" s="1793" t="s">
        <v>2315</v>
      </c>
      <c r="I117" s="1793" t="s">
        <v>2317</v>
      </c>
    </row>
    <row r="118" spans="1:11" ht="24.75" customHeight="1">
      <c r="A118" s="2525" t="str">
        <f>项目基本情况!S2</f>
        <v>北京市房地产</v>
      </c>
      <c r="B118" s="1793">
        <f>M18</f>
        <v>31807.97</v>
      </c>
      <c r="C118" s="1793">
        <f>M19</f>
        <v>10333.02</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74484</v>
      </c>
      <c r="I118" s="1793">
        <f ca="1">ROUND(IF(D32="楼面单价",C32,H118*10000/B118),0)</f>
        <v>23417</v>
      </c>
    </row>
    <row r="119" spans="1:11" ht="18.75" customHeight="1">
      <c r="A119" s="3102" t="s">
        <v>2318</v>
      </c>
      <c r="B119" s="3102"/>
      <c r="C119" s="3102"/>
      <c r="D119" s="3147" t="e">
        <f ca="1">NUMBERSTRING(INT(D118*10000),2)&amp;"元整"</f>
        <v>#REF!</v>
      </c>
      <c r="E119" s="3148"/>
      <c r="F119" s="3147" t="e">
        <f ca="1">NUMBERSTRING(INT(F118*10000),2)&amp;"元整"</f>
        <v>#REF!</v>
      </c>
      <c r="G119" s="3148"/>
      <c r="H119" s="3147" t="str">
        <f ca="1">NUMBERSTRING(INT(H118*10000),2)&amp;"元整"</f>
        <v>柒亿肆仟肆佰捌拾肆万元整</v>
      </c>
      <c r="I119" s="3148"/>
    </row>
    <row r="120" spans="1:11" ht="18.75" customHeight="1">
      <c r="A120" s="3142" t="str">
        <f>IF(项目基本情况!B9="房地产市场价值","",MID(E103,3,LEN(E103)-2))</f>
        <v/>
      </c>
      <c r="B120" s="3143"/>
      <c r="C120" s="3144"/>
      <c r="D120" s="3142">
        <f>H103</f>
        <v>0</v>
      </c>
      <c r="E120" s="3143"/>
      <c r="F120" s="3143"/>
      <c r="G120" s="3143"/>
      <c r="H120" s="3143"/>
      <c r="I120" s="3144"/>
      <c r="K120" s="2422" t="str">
        <f>IF(D120=0,"故，本次评估不存在"&amp;A120,"故，本次评估"&amp;A120&amp;"为人民币"&amp;D120&amp;"万元整。")</f>
        <v>故，本次评估不存在</v>
      </c>
    </row>
    <row r="121" spans="1:11" ht="18.75" customHeight="1">
      <c r="A121" s="3188" t="s">
        <v>2318</v>
      </c>
      <c r="B121" s="3189"/>
      <c r="C121" s="3190"/>
      <c r="D121" s="3147" t="str">
        <f>IF(D120=0,"零元整",NUMBERSTRING(INT(D120*10000),2)&amp;"元整")</f>
        <v>零元整</v>
      </c>
      <c r="E121" s="3149"/>
      <c r="F121" s="3149"/>
      <c r="G121" s="3149"/>
      <c r="H121" s="3149"/>
      <c r="I121" s="3148"/>
    </row>
    <row r="122" spans="1:11" ht="18.75" customHeight="1">
      <c r="A122" s="3153" t="str">
        <f>IF(项目基本情况!B9="房地产市场价值","",MID(E107,3,LEN(E107)-2))</f>
        <v/>
      </c>
      <c r="B122" s="3153"/>
      <c r="C122" s="3153"/>
      <c r="D122" s="3142">
        <f ca="1">H107</f>
        <v>74484</v>
      </c>
      <c r="E122" s="3143"/>
      <c r="F122" s="3143"/>
      <c r="G122" s="3143"/>
      <c r="H122" s="3143"/>
      <c r="I122" s="3144"/>
    </row>
    <row r="123" spans="1:11" ht="18.75" customHeight="1">
      <c r="A123" s="3102" t="s">
        <v>2318</v>
      </c>
      <c r="B123" s="3102"/>
      <c r="C123" s="3102"/>
      <c r="D123" s="3147" t="str">
        <f ca="1">NUMBERSTRING(INT(D122*10000),2)&amp;"元整"</f>
        <v>柒亿肆仟肆佰捌拾肆万元整</v>
      </c>
      <c r="E123" s="3149"/>
      <c r="F123" s="3149"/>
      <c r="G123" s="3149"/>
      <c r="H123" s="3149"/>
      <c r="I123" s="3148"/>
    </row>
    <row r="124" spans="1:11" ht="18.75" customHeight="1">
      <c r="A124" s="3153" t="str">
        <f>IF(项目基本情况!B9="房地产市场价值","",MID(E109,3,LEN(E109)-2))</f>
        <v/>
      </c>
      <c r="B124" s="3153"/>
      <c r="C124" s="3153"/>
      <c r="D124" s="3142" t="str">
        <f>H109</f>
        <v>——</v>
      </c>
      <c r="E124" s="3143"/>
      <c r="F124" s="3143"/>
      <c r="G124" s="3143"/>
      <c r="H124" s="3143"/>
      <c r="I124" s="3144"/>
    </row>
    <row r="125" spans="1:11" ht="18.75" customHeight="1">
      <c r="A125" s="3102" t="s">
        <v>2318</v>
      </c>
      <c r="B125" s="3102"/>
      <c r="C125" s="3102"/>
      <c r="D125" s="3147" t="e">
        <f>NUMBERSTRING(INT(D124*10000),2)&amp;"元整"</f>
        <v>#VALUE!</v>
      </c>
      <c r="E125" s="3149"/>
      <c r="F125" s="3149"/>
      <c r="G125" s="3149"/>
      <c r="H125" s="3149"/>
      <c r="I125" s="3148"/>
    </row>
    <row r="126" spans="1:11" ht="18.75" customHeight="1">
      <c r="A126" s="3153" t="str">
        <f>IF(项目基本情况!B9="房地产市场价值","",MID(E111,3,LEN(E111)-2))</f>
        <v/>
      </c>
      <c r="B126" s="3153"/>
      <c r="C126" s="3153"/>
      <c r="D126" s="3142" t="str">
        <f>H111</f>
        <v>——</v>
      </c>
      <c r="E126" s="3143"/>
      <c r="F126" s="3143"/>
      <c r="G126" s="3143"/>
      <c r="H126" s="3143"/>
      <c r="I126" s="3144"/>
    </row>
    <row r="127" spans="1:11" ht="18.75" customHeight="1">
      <c r="A127" s="3102" t="s">
        <v>2318</v>
      </c>
      <c r="B127" s="3102"/>
      <c r="C127" s="3102"/>
      <c r="D127" s="3147" t="e">
        <f>NUMBERSTRING(INT(D126*10000),2)&amp;"元整"</f>
        <v>#VALUE!</v>
      </c>
      <c r="E127" s="3149"/>
      <c r="F127" s="3149"/>
      <c r="G127" s="3149"/>
      <c r="H127" s="3149"/>
      <c r="I127" s="3148"/>
    </row>
    <row r="128" spans="1:11" ht="21.75" customHeight="1">
      <c r="A128" s="3150" t="s">
        <v>2319</v>
      </c>
      <c r="B128" s="3150"/>
      <c r="C128" s="3150"/>
      <c r="D128" s="3150"/>
      <c r="E128" s="3150"/>
      <c r="F128" s="3150"/>
      <c r="G128" s="3150"/>
      <c r="H128" s="3150"/>
      <c r="I128" s="3150"/>
    </row>
    <row r="129" spans="1:35" ht="21.75" customHeight="1">
      <c r="A129" s="2526" t="s">
        <v>2320</v>
      </c>
      <c r="B129" s="2527"/>
      <c r="C129" s="2528" t="s">
        <v>2321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3"/>
    </row>
    <row r="135" spans="1:35" ht="21.75" customHeight="1">
      <c r="A135" s="793"/>
      <c r="B135" s="793"/>
      <c r="C135" s="793"/>
      <c r="D135" s="793"/>
      <c r="E135" s="793"/>
      <c r="F135" s="2542" t="s">
        <v>2322</v>
      </c>
      <c r="G135" s="2543"/>
      <c r="H135" s="2543"/>
      <c r="I135" s="2544" t="s">
        <v>2323</v>
      </c>
    </row>
    <row r="136" spans="1:35" ht="21.75" customHeight="1">
      <c r="A136" s="793"/>
      <c r="B136" s="2545" t="s">
        <v>2324</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3"/>
      <c r="C138" s="2543"/>
      <c r="D138" s="2543"/>
      <c r="E138" s="2543"/>
      <c r="F138" s="2543"/>
      <c r="G138" s="2543"/>
      <c r="H138" s="2543"/>
      <c r="I138" s="2544" t="s">
        <v>2325</v>
      </c>
    </row>
    <row r="139" spans="1:35" ht="21.75" customHeight="1">
      <c r="A139" s="793"/>
      <c r="B139" s="2545" t="s">
        <v>2326</v>
      </c>
      <c r="C139" s="793"/>
      <c r="D139" s="793"/>
      <c r="E139" s="793"/>
      <c r="F139" s="793"/>
      <c r="G139" s="793"/>
      <c r="H139" s="793"/>
      <c r="I139" s="793"/>
    </row>
    <row r="140" spans="1:35" ht="21.75" customHeight="1">
      <c r="A140" s="793"/>
      <c r="B140" s="2545"/>
      <c r="C140" s="793"/>
      <c r="D140" s="793"/>
      <c r="E140" s="793"/>
      <c r="F140" s="793"/>
      <c r="G140" s="793"/>
      <c r="H140" s="793"/>
      <c r="I140" s="793"/>
    </row>
    <row r="141" spans="1:35" ht="21.75" customHeight="1">
      <c r="A141" s="793"/>
      <c r="B141" s="2543"/>
      <c r="C141" s="2543"/>
      <c r="D141" s="2543"/>
      <c r="E141" s="2543"/>
      <c r="F141" s="2543"/>
      <c r="G141" s="2543"/>
      <c r="H141" s="2543"/>
      <c r="I141" s="2544" t="s">
        <v>2325</v>
      </c>
    </row>
    <row r="142" spans="1:35" ht="21.75" customHeight="1">
      <c r="A142" s="793"/>
      <c r="B142" s="2545"/>
      <c r="C142" s="2546"/>
      <c r="D142" s="2547"/>
      <c r="E142" s="2547"/>
      <c r="F142" s="2339"/>
      <c r="G142" s="793"/>
      <c r="H142" s="793"/>
      <c r="I142" s="793"/>
    </row>
    <row r="143" spans="1:35" s="139" customFormat="1" ht="21.75" customHeight="1">
      <c r="A143" s="793"/>
      <c r="B143" s="2545"/>
      <c r="C143" s="2546"/>
      <c r="D143" s="2547"/>
      <c r="E143" s="2547"/>
      <c r="F143" s="233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88" priority="21" stopIfTrue="1" operator="equal">
      <formula>25</formula>
    </cfRule>
  </conditionalFormatting>
  <conditionalFormatting sqref="C8:C9">
    <cfRule type="cellIs" dxfId="187" priority="19" stopIfTrue="1" operator="equal">
      <formula>15</formula>
    </cfRule>
  </conditionalFormatting>
  <conditionalFormatting sqref="C14:C16">
    <cfRule type="cellIs" dxfId="186" priority="13" stopIfTrue="1" operator="equal">
      <formula>30</formula>
    </cfRule>
  </conditionalFormatting>
  <conditionalFormatting sqref="D5:D7">
    <cfRule type="cellIs" dxfId="185" priority="10" stopIfTrue="1" operator="equal">
      <formula>25</formula>
    </cfRule>
  </conditionalFormatting>
  <conditionalFormatting sqref="D8:D9">
    <cfRule type="cellIs" dxfId="184" priority="9" stopIfTrue="1" operator="equal">
      <formula>15</formula>
    </cfRule>
  </conditionalFormatting>
  <conditionalFormatting sqref="C10:D13">
    <cfRule type="cellIs" dxfId="183" priority="8" stopIfTrue="1" operator="equal">
      <formula>15</formula>
    </cfRule>
  </conditionalFormatting>
  <conditionalFormatting sqref="D14:D16">
    <cfRule type="cellIs" dxfId="182" priority="6" stopIfTrue="1" operator="equal">
      <formula>30</formula>
    </cfRule>
  </conditionalFormatting>
  <conditionalFormatting sqref="C90">
    <cfRule type="expression" dxfId="181" priority="3" stopIfTrue="1">
      <formula>$H$88&lt;&gt;"仅含出让金"</formula>
    </cfRule>
  </conditionalFormatting>
  <conditionalFormatting sqref="C91">
    <cfRule type="expression" dxfId="180" priority="2" stopIfTrue="1">
      <formula>$H$91="由企业提供"</formula>
    </cfRule>
  </conditionalFormatting>
  <conditionalFormatting sqref="E36">
    <cfRule type="expression" dxfId="17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5"/>
      <c r="C1" s="2554" t="s">
        <v>2429</v>
      </c>
      <c r="D1" s="242"/>
      <c r="E1" s="242"/>
      <c r="F1" s="242"/>
      <c r="G1" s="1380">
        <f>MATCH(B1,'数据-取费表'!A6:A16,0)+5</f>
        <v>9</v>
      </c>
      <c r="H1" s="1283" t="str">
        <f>IF(ISERROR(FIND("住宅",B1)),"非住宅","住宅")</f>
        <v>非住宅</v>
      </c>
    </row>
    <row r="2" spans="1:8" s="244" customFormat="1" ht="18" customHeight="1">
      <c r="A2" s="245" t="s">
        <v>2328</v>
      </c>
      <c r="B2" s="246">
        <f ca="1">ROUND(IF(D2="——",C52/10000,C52/10000-E2),0)</f>
        <v>32464</v>
      </c>
      <c r="C2" s="243" t="s">
        <v>2329</v>
      </c>
      <c r="D2" s="2548" t="s">
        <v>70</v>
      </c>
      <c r="E2" s="1441" t="e">
        <f ca="1">SUMIF(INDIRECT("'"&amp;G2&amp;"'"&amp;"!A:A"),"承租人权益价值",INDIRECT("'"&amp;G2&amp;"'"&amp;"!c:c"))</f>
        <v>#REF!</v>
      </c>
      <c r="F2" s="2549" t="s">
        <v>2329</v>
      </c>
      <c r="G2" s="2550"/>
    </row>
    <row r="3" spans="1:8" s="244" customFormat="1" ht="18" customHeight="1" thickBot="1">
      <c r="A3" s="247" t="s">
        <v>2330</v>
      </c>
      <c r="B3" s="248">
        <f ca="1">ROUND(B2*10000/(IF(B1="",'数据-汇总表'!E3,INDIRECT("'数据-取费表'!k"&amp;$G$1))),0)</f>
        <v>4870</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12664927</v>
      </c>
      <c r="D5" s="255" t="s">
        <v>2335</v>
      </c>
      <c r="E5" s="256" t="s">
        <v>2336</v>
      </c>
      <c r="F5" s="256" t="s">
        <v>2337</v>
      </c>
      <c r="G5" s="257"/>
    </row>
    <row r="6" spans="1:8" s="258" customFormat="1" ht="13.5" customHeight="1">
      <c r="A6" s="950" t="s">
        <v>2338</v>
      </c>
      <c r="B6" s="259" t="s">
        <v>2339</v>
      </c>
      <c r="C6" s="260"/>
      <c r="D6" s="261"/>
      <c r="E6" s="262"/>
      <c r="F6" s="262"/>
      <c r="G6" s="263"/>
    </row>
    <row r="7" spans="1:8" s="258" customFormat="1" ht="13.5" customHeight="1">
      <c r="A7" s="950" t="s">
        <v>2340</v>
      </c>
      <c r="B7" s="259" t="s">
        <v>2341</v>
      </c>
      <c r="C7" s="264">
        <f>ROUND(C6*F7,0)</f>
        <v>0</v>
      </c>
      <c r="D7" s="264"/>
      <c r="E7" s="262"/>
      <c r="F7" s="265">
        <f>'数据-取费表'!B48+'数据-取费表'!B49</f>
        <v>3.0499999999999999E-2</v>
      </c>
      <c r="G7" s="263"/>
    </row>
    <row r="8" spans="1:8" s="267" customFormat="1">
      <c r="A8" s="950" t="s">
        <v>2342</v>
      </c>
      <c r="B8" s="259" t="s">
        <v>2343</v>
      </c>
      <c r="C8" s="264">
        <f ca="1">IF(G8="已包含在土地购买价格中",0,C9+C10)</f>
        <v>12664927</v>
      </c>
      <c r="D8" s="266"/>
      <c r="E8" s="264"/>
      <c r="F8" s="265"/>
      <c r="G8" s="2551"/>
    </row>
    <row r="9" spans="1:8" s="258" customFormat="1" ht="13.5" customHeight="1">
      <c r="A9" s="951" t="s">
        <v>800</v>
      </c>
      <c r="B9" s="268" t="s">
        <v>2344</v>
      </c>
      <c r="C9" s="269">
        <f ca="1">ROUND(D9*E9,0)</f>
        <v>0</v>
      </c>
      <c r="D9" s="1033">
        <f ca="1">IF(B1="",'数据-汇总表'!E5,IF(INDIRECT("'数据-取费表'!c"&amp;$G$1)="住宅",INDIRECT("'数据-取费表'!k"&amp;$G$1),0))</f>
        <v>0</v>
      </c>
      <c r="E9" s="269">
        <f>'数据-取费表'!B27</f>
        <v>0</v>
      </c>
      <c r="F9" s="265"/>
      <c r="G9" s="270"/>
    </row>
    <row r="10" spans="1:8" s="258" customFormat="1" ht="13.5" customHeight="1">
      <c r="A10" s="951" t="s">
        <v>801</v>
      </c>
      <c r="B10" s="268" t="s">
        <v>2346</v>
      </c>
      <c r="C10" s="269">
        <f ca="1">ROUND(D10*E10,0)</f>
        <v>12664927</v>
      </c>
      <c r="D10" s="1033">
        <f ca="1">IF(B1="",'数据-汇总表'!E6,IF(INDIRECT("'数据-取费表'!c"&amp;$G$1)="住宅",INDIRECT("'数据-取费表'!s"&amp;$G$1),INDIRECT("'数据-取费表'!k"&amp;$G$1)+INDIRECT("'数据-取费表'!s"&amp;$G$1)))</f>
        <v>66657.509999999995</v>
      </c>
      <c r="E10" s="269">
        <f>'数据-取费表'!B28</f>
        <v>190</v>
      </c>
      <c r="F10" s="265"/>
      <c r="G10" s="270"/>
    </row>
    <row r="11" spans="1:8" s="258" customFormat="1" ht="13.5" hidden="1" customHeight="1">
      <c r="A11" s="271" t="s">
        <v>7</v>
      </c>
      <c r="B11" s="259" t="s">
        <v>2347</v>
      </c>
      <c r="C11" s="255"/>
      <c r="D11" s="1035"/>
      <c r="E11" s="262"/>
      <c r="F11" s="262"/>
      <c r="G11" s="263"/>
    </row>
    <row r="12" spans="1:8" s="258" customFormat="1" ht="13.5" hidden="1" customHeight="1">
      <c r="A12" s="271" t="s">
        <v>8</v>
      </c>
      <c r="B12" s="259" t="s">
        <v>2430</v>
      </c>
      <c r="C12" s="255">
        <v>0</v>
      </c>
      <c r="D12" s="1035"/>
      <c r="E12" s="272"/>
      <c r="F12" s="265">
        <v>3.0499999999999999E-2</v>
      </c>
      <c r="G12" s="263"/>
    </row>
    <row r="13" spans="1:8" s="258" customFormat="1" ht="13.5" hidden="1" customHeight="1">
      <c r="A13" s="271" t="s">
        <v>9</v>
      </c>
      <c r="B13" s="259" t="s">
        <v>2431</v>
      </c>
      <c r="C13" s="255"/>
      <c r="D13" s="1035"/>
      <c r="E13" s="262"/>
      <c r="F13" s="262"/>
      <c r="G13" s="263"/>
    </row>
    <row r="14" spans="1:8" s="258" customFormat="1" ht="13.5" hidden="1" customHeight="1">
      <c r="A14" s="271" t="s">
        <v>10</v>
      </c>
      <c r="B14" s="259" t="s">
        <v>2343</v>
      </c>
      <c r="C14" s="255"/>
      <c r="D14" s="1035"/>
      <c r="E14" s="262"/>
      <c r="F14" s="262"/>
      <c r="G14" s="263" t="s">
        <v>2432</v>
      </c>
    </row>
    <row r="15" spans="1:8" s="258" customFormat="1" ht="13.5" hidden="1" customHeight="1">
      <c r="A15" s="271" t="s">
        <v>11</v>
      </c>
      <c r="B15" s="259" t="s">
        <v>2433</v>
      </c>
      <c r="C15" s="264"/>
      <c r="D15" s="1035"/>
      <c r="E15" s="262"/>
      <c r="F15" s="262"/>
      <c r="G15" s="263" t="s">
        <v>2434</v>
      </c>
    </row>
    <row r="16" spans="1:8" s="258" customFormat="1" ht="13.5" hidden="1" customHeight="1">
      <c r="A16" s="271" t="s">
        <v>12</v>
      </c>
      <c r="B16" s="259" t="s">
        <v>2343</v>
      </c>
      <c r="C16" s="264"/>
      <c r="D16" s="1035"/>
      <c r="E16" s="262"/>
      <c r="F16" s="262"/>
      <c r="G16" s="263"/>
    </row>
    <row r="17" spans="1:7" s="258" customFormat="1" ht="13.5" hidden="1" customHeight="1">
      <c r="A17" s="271" t="s">
        <v>13</v>
      </c>
      <c r="B17" s="259" t="s">
        <v>2435</v>
      </c>
      <c r="C17" s="273"/>
      <c r="D17" s="1036"/>
      <c r="E17" s="273"/>
      <c r="F17" s="273"/>
      <c r="G17" s="263" t="s">
        <v>2434</v>
      </c>
    </row>
    <row r="18" spans="1:7" s="258" customFormat="1" ht="13.5" hidden="1" customHeight="1">
      <c r="A18" s="271" t="s">
        <v>14</v>
      </c>
      <c r="B18" s="259" t="s">
        <v>2436</v>
      </c>
      <c r="C18" s="264">
        <v>0</v>
      </c>
      <c r="D18" s="1035"/>
      <c r="E18" s="262"/>
      <c r="F18" s="265">
        <v>3.0499999999999999E-2</v>
      </c>
      <c r="G18" s="263" t="s">
        <v>2437</v>
      </c>
    </row>
    <row r="19" spans="1:7" s="267" customFormat="1" ht="13.5" customHeight="1">
      <c r="A19" s="299" t="s">
        <v>2438</v>
      </c>
      <c r="B19" s="254" t="s">
        <v>2439</v>
      </c>
      <c r="C19" s="255">
        <f ca="1">IF(G19="已包含在土地取得成本中","0",ROUND(D19*E19,0))</f>
        <v>13331502</v>
      </c>
      <c r="D19" s="1037">
        <f ca="1">D9+D10</f>
        <v>66657.509999999995</v>
      </c>
      <c r="E19" s="255">
        <f>'数据-取费表'!B31</f>
        <v>200</v>
      </c>
      <c r="F19" s="275"/>
      <c r="G19" s="2551"/>
    </row>
    <row r="20" spans="1:7" s="258" customFormat="1" ht="13.5" customHeight="1">
      <c r="A20" s="299" t="s">
        <v>2440</v>
      </c>
      <c r="B20" s="254" t="s">
        <v>2441</v>
      </c>
      <c r="C20" s="276">
        <f ca="1">ROUND((C5+C19)*F20,0)</f>
        <v>519929</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1">
        <f ca="1">ROUND(SUM(C23:C25),0)</f>
        <v>2553012</v>
      </c>
      <c r="D22" s="279">
        <f ca="1">C26</f>
        <v>1E-3</v>
      </c>
      <c r="E22" s="280" t="s">
        <v>2445</v>
      </c>
      <c r="F22" s="281">
        <f ca="1">'数据-取费表'!B40</f>
        <v>4.7500000000000001E-2</v>
      </c>
      <c r="G22" s="278" t="str">
        <f>IF('数据-取费表'!B22&lt;=1,"单利计息","复利计息")</f>
        <v>复利计息</v>
      </c>
    </row>
    <row r="23" spans="1:7" s="258" customFormat="1" ht="13.5" customHeight="1">
      <c r="A23" s="952" t="s">
        <v>2338</v>
      </c>
      <c r="B23" s="259" t="s">
        <v>2449</v>
      </c>
      <c r="C23" s="1382">
        <f ca="1">ROUND(IF('数据-取费表'!B22&lt;=1,C5*F22*'数据-取费表'!B22,C5*(POWER((1+F22),'数据-取费表'!B22)-1)),0)</f>
        <v>1231743</v>
      </c>
      <c r="D23" s="282"/>
      <c r="E23" s="282"/>
      <c r="F23" s="283"/>
      <c r="G23" s="284" t="s">
        <v>2450</v>
      </c>
    </row>
    <row r="24" spans="1:7" s="258" customFormat="1" ht="13.5" customHeight="1">
      <c r="A24" s="952" t="s">
        <v>2340</v>
      </c>
      <c r="B24" s="259" t="s">
        <v>2451</v>
      </c>
      <c r="C24" s="1382">
        <f ca="1">ROUND(IF('数据-取费表'!B22&lt;=1,C19*F22*('数据-取费表'!B19/2+'数据-取费表'!B20),C19*(POWER((1+F22),('数据-取费表'!B19/2+'数据-取费表'!B20))-1)),0)</f>
        <v>1296572</v>
      </c>
      <c r="D24" s="282"/>
      <c r="E24" s="282"/>
      <c r="F24" s="283"/>
      <c r="G24" s="284" t="s">
        <v>2452</v>
      </c>
    </row>
    <row r="25" spans="1:7" s="258" customFormat="1" ht="24">
      <c r="A25" s="952" t="s">
        <v>2342</v>
      </c>
      <c r="B25" s="259" t="s">
        <v>2453</v>
      </c>
      <c r="C25" s="1382">
        <f ca="1">ROUND(IF('数据-取费表'!B22&lt;=1,C20*F22*'数据-取费表'!B22/2,C20*(POWER((1+F22),'数据-取费表'!B22/2)-1)),0)</f>
        <v>24697</v>
      </c>
      <c r="D25" s="282"/>
      <c r="E25" s="285"/>
      <c r="F25" s="283"/>
      <c r="G25" s="286" t="s">
        <v>2454</v>
      </c>
    </row>
    <row r="26" spans="1:7" s="258" customFormat="1">
      <c r="A26" s="952" t="s">
        <v>795</v>
      </c>
      <c r="B26" s="259" t="s">
        <v>2377</v>
      </c>
      <c r="C26" s="282">
        <f ca="1">ROUND(IF('数据-取费表'!B22&lt;=1,F21*F22*'数据-取费表'!B22/2,F21*(POWER((1+F22),'数据-取费表'!B22/2)-1)),4)</f>
        <v>1E-3</v>
      </c>
      <c r="D26" s="282"/>
      <c r="E26" s="285"/>
      <c r="F26" s="283"/>
      <c r="G26" s="287"/>
    </row>
    <row r="27" spans="1:7" s="258" customFormat="1" ht="24.75">
      <c r="A27" s="299" t="s">
        <v>2378</v>
      </c>
      <c r="B27" s="288" t="s">
        <v>2379</v>
      </c>
      <c r="C27" s="289">
        <f ca="1">C28</f>
        <v>5303272</v>
      </c>
      <c r="D27" s="279">
        <f ca="1">C29</f>
        <v>4.0000000000000001E-3</v>
      </c>
      <c r="E27" s="280" t="s">
        <v>2380</v>
      </c>
      <c r="F27" s="290">
        <f ca="1">IF(B1="",'数据-取费表'!Q16,INDIRECT("'数据-取费表'!q"&amp;$G$1))</f>
        <v>0.2</v>
      </c>
      <c r="G27" s="291" t="s">
        <v>2381</v>
      </c>
    </row>
    <row r="28" spans="1:7" s="258" customFormat="1" ht="13.5" customHeight="1">
      <c r="A28" s="952" t="s">
        <v>791</v>
      </c>
      <c r="B28" s="292" t="s">
        <v>2382</v>
      </c>
      <c r="C28" s="293">
        <f ca="1">ROUND((C5+C19+C20)*F27,0)</f>
        <v>5303272</v>
      </c>
      <c r="D28" s="279"/>
      <c r="E28" s="280"/>
      <c r="F28" s="290"/>
      <c r="G28" s="291"/>
    </row>
    <row r="29" spans="1:7" s="258" customFormat="1" ht="13.5" customHeight="1">
      <c r="A29" s="952" t="s">
        <v>792</v>
      </c>
      <c r="B29" s="292" t="s">
        <v>2383</v>
      </c>
      <c r="C29" s="282">
        <f ca="1">ROUND(C21*F27,4)</f>
        <v>4.0000000000000001E-3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37256278</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208371376</v>
      </c>
      <c r="D33" s="276"/>
      <c r="E33" s="256"/>
      <c r="F33" s="285"/>
      <c r="G33" s="278"/>
    </row>
    <row r="34" spans="1:7" s="302" customFormat="1" ht="13.5" customHeight="1">
      <c r="A34" s="952" t="s">
        <v>791</v>
      </c>
      <c r="B34" s="259" t="s">
        <v>2391</v>
      </c>
      <c r="C34" s="264">
        <f ca="1">ROUND(IF(B1="",SUMPRODUCT('数据-取费表'!K6:K14,'数据-取费表'!L6:L14),INDIRECT("'数据-取费表'!l"&amp;$G$1)*INDIRECT("'数据-取费表'!k"&amp;$G$1)+'数据-取费表'!L14*INDIRECT("'数据-取费表'!S"&amp;$G$1)),0)</f>
        <v>186641028</v>
      </c>
      <c r="D34" s="261"/>
      <c r="E34" s="264"/>
      <c r="F34" s="301"/>
      <c r="G34" s="263"/>
    </row>
    <row r="35" spans="1:7" ht="13.5" customHeight="1">
      <c r="A35" s="952" t="s">
        <v>796</v>
      </c>
      <c r="B35" s="259" t="s">
        <v>2393</v>
      </c>
      <c r="C35" s="264">
        <f ca="1">ROUND(C34*F35,0)</f>
        <v>5599231</v>
      </c>
      <c r="D35" s="264"/>
      <c r="E35" s="264"/>
      <c r="F35" s="303">
        <f>'数据-取费表'!B33</f>
        <v>0.03</v>
      </c>
      <c r="G35" s="263" t="s">
        <v>2394</v>
      </c>
    </row>
    <row r="36" spans="1:7" ht="24">
      <c r="A36" s="952" t="s">
        <v>797</v>
      </c>
      <c r="B36" s="259" t="s">
        <v>2395</v>
      </c>
      <c r="C36" s="264">
        <f ca="1">ROUND(IF(B1="",SUM('数据-取费表'!AP6:AP13)*F36,IF(INDIRECT("'数据-取费表'!c"&amp;$G$1)="住宅",INDIRECT("'数据-取费表'!k"&amp;$G$1)*INDIRECT("'数据-取费表'!l"&amp;$G$1)*F36,0)),0)</f>
        <v>0</v>
      </c>
      <c r="D36" s="264"/>
      <c r="E36" s="264"/>
      <c r="F36" s="303">
        <f>'数据-取费表'!B34</f>
        <v>0.05</v>
      </c>
      <c r="G36" s="304" t="s">
        <v>2396</v>
      </c>
    </row>
    <row r="37" spans="1:7" s="302" customFormat="1" ht="13.5" customHeight="1">
      <c r="A37" s="952" t="s">
        <v>798</v>
      </c>
      <c r="B37" s="259" t="s">
        <v>2397</v>
      </c>
      <c r="C37" s="293">
        <f ca="1">ROUND(E37*D37,0)</f>
        <v>13331502</v>
      </c>
      <c r="D37" s="261">
        <f ca="1">D19</f>
        <v>66657.509999999995</v>
      </c>
      <c r="E37" s="293">
        <f>'数据-取费表'!B35</f>
        <v>200</v>
      </c>
      <c r="F37" s="303"/>
      <c r="G37" s="305"/>
    </row>
    <row r="38" spans="1:7" ht="13.5" customHeight="1">
      <c r="A38" s="952" t="s">
        <v>799</v>
      </c>
      <c r="B38" s="259" t="s">
        <v>2399</v>
      </c>
      <c r="C38" s="264">
        <f ca="1">ROUND(C34*F38,0)</f>
        <v>2799615</v>
      </c>
      <c r="D38" s="264"/>
      <c r="E38" s="264"/>
      <c r="F38" s="303">
        <f>'数据-取费表'!B36</f>
        <v>1.4999999999999999E-2</v>
      </c>
      <c r="G38" s="263" t="s">
        <v>2394</v>
      </c>
    </row>
    <row r="39" spans="1:7" s="258" customFormat="1" ht="13.5" customHeight="1">
      <c r="A39" s="299" t="s">
        <v>2400</v>
      </c>
      <c r="B39" s="254" t="s">
        <v>2401</v>
      </c>
      <c r="C39" s="276">
        <f ca="1">ROUND(C33*F20,0)</f>
        <v>4167428</v>
      </c>
      <c r="D39" s="276"/>
      <c r="E39" s="276"/>
      <c r="F39" s="277"/>
      <c r="G39" s="278" t="s">
        <v>2402</v>
      </c>
    </row>
    <row r="40" spans="1:7" s="258" customFormat="1" ht="13.5" customHeight="1">
      <c r="A40" s="299" t="s">
        <v>2403</v>
      </c>
      <c r="B40" s="254" t="s">
        <v>2404</v>
      </c>
      <c r="C40" s="1726">
        <f>F21</f>
        <v>0.02</v>
      </c>
      <c r="D40" s="280" t="s">
        <v>2405</v>
      </c>
      <c r="E40" s="276"/>
      <c r="F40" s="277"/>
      <c r="G40" s="278" t="s">
        <v>2406</v>
      </c>
    </row>
    <row r="41" spans="1:7" s="258" customFormat="1" ht="13.5" customHeight="1">
      <c r="A41" s="299" t="s">
        <v>2407</v>
      </c>
      <c r="B41" s="254" t="s">
        <v>2408</v>
      </c>
      <c r="C41" s="276">
        <f ca="1">ROUND(SUM(C42:C43),0)</f>
        <v>10095593</v>
      </c>
      <c r="D41" s="279">
        <f ca="1">C44</f>
        <v>1E-3</v>
      </c>
      <c r="E41" s="280" t="s">
        <v>2405</v>
      </c>
      <c r="F41" s="281"/>
      <c r="G41" s="278" t="str">
        <f>IF('数据-取费表'!B22&lt;=1,"单利计息","复利计息")</f>
        <v>复利计息</v>
      </c>
    </row>
    <row r="42" spans="1:7" ht="13.5" customHeight="1">
      <c r="A42" s="952" t="s">
        <v>791</v>
      </c>
      <c r="B42" s="259" t="s">
        <v>2409</v>
      </c>
      <c r="C42" s="282">
        <f ca="1">ROUND(IF('数据-取费表'!B22&lt;=1,C33*F22*'数据-取费表'!B20/2,C33*(POWER((1+F22),'数据-取费表'!B20/2)-1)),0)</f>
        <v>9897640</v>
      </c>
      <c r="D42" s="282"/>
      <c r="E42" s="282"/>
      <c r="F42" s="283"/>
      <c r="G42" s="3222" t="s">
        <v>2457</v>
      </c>
    </row>
    <row r="43" spans="1:7" ht="13.5" customHeight="1">
      <c r="A43" s="952" t="s">
        <v>792</v>
      </c>
      <c r="B43" s="259" t="s">
        <v>2411</v>
      </c>
      <c r="C43" s="282">
        <f ca="1">ROUND(IF('数据-取费表'!B22&lt;=1,C39*F22*'数据-取费表'!B20/2,C39*(POWER((1+F22),'数据-取费表'!B20/2)-1)),0)</f>
        <v>197953</v>
      </c>
      <c r="D43" s="282"/>
      <c r="E43" s="282"/>
      <c r="F43" s="283"/>
      <c r="G43" s="3223"/>
    </row>
    <row r="44" spans="1:7" ht="13.5" customHeight="1">
      <c r="A44" s="952" t="s">
        <v>793</v>
      </c>
      <c r="B44" s="259" t="s">
        <v>2412</v>
      </c>
      <c r="C44" s="282">
        <f ca="1">ROUND(IF('数据-取费表'!B22&lt;=1,C40*F22*'数据-取费表'!B20/2,C40*(POWER((1+F22),'数据-取费表'!B20/2)-1)),4)</f>
        <v>1E-3</v>
      </c>
      <c r="D44" s="282"/>
      <c r="E44" s="282"/>
      <c r="F44" s="283"/>
      <c r="G44" s="3224"/>
    </row>
    <row r="45" spans="1:7" s="258" customFormat="1" ht="13.5" customHeight="1">
      <c r="A45" s="299" t="s">
        <v>2413</v>
      </c>
      <c r="B45" s="288" t="s">
        <v>2379</v>
      </c>
      <c r="C45" s="289">
        <f ca="1">C46</f>
        <v>42507761</v>
      </c>
      <c r="D45" s="279">
        <f ca="1">C47</f>
        <v>4.0000000000000001E-3</v>
      </c>
      <c r="E45" s="280" t="s">
        <v>2405</v>
      </c>
      <c r="F45" s="290"/>
      <c r="G45" s="291" t="s">
        <v>2414</v>
      </c>
    </row>
    <row r="46" spans="1:7" s="258" customFormat="1" ht="13.5" customHeight="1">
      <c r="A46" s="952" t="s">
        <v>791</v>
      </c>
      <c r="B46" s="292" t="s">
        <v>2415</v>
      </c>
      <c r="C46" s="293">
        <f ca="1">ROUND((C33+C39)*F27,0)</f>
        <v>42507761</v>
      </c>
      <c r="D46" s="307"/>
      <c r="E46" s="280"/>
      <c r="F46" s="290"/>
      <c r="G46" s="291"/>
    </row>
    <row r="47" spans="1:7" s="258" customFormat="1" ht="13.5" customHeight="1">
      <c r="A47" s="952" t="s">
        <v>792</v>
      </c>
      <c r="B47" s="292" t="s">
        <v>2416</v>
      </c>
      <c r="C47" s="282">
        <f ca="1">ROUND(C40*F27,4)</f>
        <v>4.0000000000000001E-3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287385821</v>
      </c>
      <c r="D49" s="276"/>
      <c r="E49" s="276"/>
      <c r="F49" s="308"/>
      <c r="G49" s="278" t="s">
        <v>2420</v>
      </c>
    </row>
    <row r="50" spans="1:7" s="302" customFormat="1">
      <c r="A50" s="299" t="s">
        <v>2421</v>
      </c>
      <c r="B50" s="254" t="s">
        <v>2422</v>
      </c>
      <c r="C50" s="276"/>
      <c r="D50" s="276"/>
      <c r="E50" s="276"/>
      <c r="F50" s="308">
        <f>IF('数据-取费表'!B24=0,'数据-取费表'!N16,1)</f>
        <v>1</v>
      </c>
      <c r="G50" s="291"/>
    </row>
    <row r="51" spans="1:7" ht="16.5" customHeight="1">
      <c r="A51" s="299" t="s">
        <v>2424</v>
      </c>
      <c r="B51" s="254" t="s">
        <v>2459</v>
      </c>
      <c r="C51" s="276">
        <f ca="1">ROUND(C49*F50,0)</f>
        <v>287385821</v>
      </c>
      <c r="D51" s="276"/>
      <c r="E51" s="276"/>
      <c r="F51" s="308"/>
      <c r="G51" s="278" t="s">
        <v>2426</v>
      </c>
    </row>
    <row r="52" spans="1:7" s="252" customFormat="1" ht="16.5" thickBot="1">
      <c r="A52" s="309" t="s">
        <v>2427</v>
      </c>
      <c r="B52" s="310"/>
      <c r="C52" s="311">
        <f ca="1">C31+C51</f>
        <v>324642099</v>
      </c>
      <c r="D52" s="310"/>
      <c r="E52" s="310"/>
      <c r="F52" s="310"/>
      <c r="G52" s="312"/>
    </row>
    <row r="55" spans="1:7" ht="15">
      <c r="B55" s="314" t="s">
        <v>2428</v>
      </c>
      <c r="C55" s="315"/>
    </row>
    <row r="56" spans="1:7">
      <c r="B56" s="317" t="s">
        <v>1509</v>
      </c>
      <c r="C56" s="319">
        <f ca="1">1-C57</f>
        <v>0.11499999999999999</v>
      </c>
    </row>
    <row r="57" spans="1:7">
      <c r="B57" s="317" t="s">
        <v>1510</v>
      </c>
      <c r="C57" s="318">
        <f ca="1">ROUND(C51/C52,3)</f>
        <v>0.88500000000000001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3036" t="str">
        <f>项目基本情况!B1</f>
        <v>北京市房地产市场价值预评估</v>
      </c>
      <c r="C37" s="3036"/>
      <c r="D37" s="3036"/>
      <c r="E37" s="3036"/>
      <c r="F37" s="3036"/>
      <c r="G37" s="3036"/>
      <c r="H37" s="3036"/>
      <c r="I37" s="3036"/>
    </row>
    <row r="38" spans="1:9">
      <c r="A38" s="1017"/>
      <c r="B38" s="1017"/>
    </row>
    <row r="39" spans="1:9">
      <c r="A39" s="1015" t="s">
        <v>818</v>
      </c>
      <c r="B39" s="1015" t="s">
        <v>820</v>
      </c>
    </row>
    <row r="40" spans="1:9">
      <c r="A40" s="1015"/>
      <c r="B40" s="1940">
        <f>项目基本情况!B5</f>
        <v>0</v>
      </c>
    </row>
    <row r="41" spans="1:9">
      <c r="A41" s="1015"/>
      <c r="B41" s="1015"/>
    </row>
    <row r="42" spans="1:9">
      <c r="A42" s="1015" t="s">
        <v>818</v>
      </c>
      <c r="B42" s="1015" t="s">
        <v>821</v>
      </c>
    </row>
    <row r="43" spans="1:9">
      <c r="A43" s="1015"/>
      <c r="B43" s="1940" t="s">
        <v>822</v>
      </c>
    </row>
    <row r="44" spans="1:9">
      <c r="A44" s="1015"/>
      <c r="B44" s="1015"/>
    </row>
    <row r="45" spans="1:9">
      <c r="A45" s="1015" t="s">
        <v>818</v>
      </c>
      <c r="B45" s="1015" t="s">
        <v>823</v>
      </c>
    </row>
    <row r="46" spans="1:9" s="1015" customFormat="1" ht="12.75">
      <c r="B46" s="1940" t="str">
        <f ca="1">项目基本情况!K4</f>
        <v>吴薇（注册号：1419970001)、郑燚（注册号：1120070131)</v>
      </c>
    </row>
    <row r="47" spans="1:9">
      <c r="A47" s="1015"/>
      <c r="B47" s="1015" t="str">
        <f>项目基本情况!K5</f>
        <v/>
      </c>
    </row>
    <row r="48" spans="1:9">
      <c r="A48" s="1015" t="s">
        <v>818</v>
      </c>
      <c r="B48" s="1015"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2460</v>
      </c>
      <c r="B1" s="1582"/>
      <c r="C1" s="1583"/>
      <c r="D1" s="1581"/>
      <c r="E1" s="320"/>
      <c r="F1" s="320"/>
      <c r="G1" s="1582"/>
      <c r="H1" s="320"/>
      <c r="I1" s="320"/>
      <c r="J1" s="320"/>
      <c r="K1" s="320">
        <f>MATCH(C1,'数据-取费表'!A6:A16,0)+5</f>
        <v>9</v>
      </c>
    </row>
    <row r="2" spans="1:33" ht="18" customHeight="1">
      <c r="A2" s="245" t="s">
        <v>2328</v>
      </c>
      <c r="B2" s="248">
        <f ca="1">C32</f>
        <v>-1505</v>
      </c>
      <c r="C2" s="320" t="s">
        <v>2461</v>
      </c>
      <c r="D2" s="320"/>
      <c r="E2" s="320"/>
      <c r="F2" s="320"/>
      <c r="G2" s="320"/>
      <c r="H2" s="320"/>
      <c r="I2" s="320"/>
      <c r="J2" s="320"/>
      <c r="K2" s="320"/>
    </row>
    <row r="3" spans="1:33" ht="18" customHeight="1" thickBot="1">
      <c r="A3" s="247" t="s">
        <v>2330</v>
      </c>
      <c r="B3" s="248">
        <f ca="1">ROUND(B2*10000/IF(C1="",'数据-汇总表'!E3,INDIRECT("'数据-取费表'!K"&amp;$K$1)),0)</f>
        <v>-226</v>
      </c>
      <c r="C3" s="320" t="s">
        <v>2462</v>
      </c>
      <c r="D3" s="320"/>
      <c r="E3" s="320"/>
      <c r="F3" s="320"/>
      <c r="G3" s="320"/>
      <c r="H3" s="320"/>
      <c r="I3" s="320"/>
      <c r="J3" s="320"/>
      <c r="K3" s="320"/>
    </row>
    <row r="4" spans="1:33" s="957" customFormat="1" ht="16.5" customHeight="1">
      <c r="A4" s="954" t="s">
        <v>2463</v>
      </c>
      <c r="B4" s="955"/>
      <c r="C4" s="997">
        <f>SUM(C8:K8)</f>
        <v>0</v>
      </c>
      <c r="D4" s="955"/>
      <c r="E4" s="955"/>
      <c r="F4" s="955"/>
      <c r="G4" s="955"/>
      <c r="H4" s="955"/>
      <c r="I4" s="955"/>
      <c r="J4" s="955"/>
      <c r="K4" s="956"/>
    </row>
    <row r="5" spans="1:33" s="961" customFormat="1" ht="24.75">
      <c r="A5" s="958" t="s">
        <v>2464</v>
      </c>
      <c r="B5" s="959" t="s">
        <v>2465</v>
      </c>
      <c r="C5" s="2555" t="s">
        <v>2466</v>
      </c>
      <c r="D5" s="2555" t="s">
        <v>2467</v>
      </c>
      <c r="E5" s="2555" t="s">
        <v>2468</v>
      </c>
      <c r="F5" s="2555"/>
      <c r="G5" s="2555"/>
      <c r="H5" s="2555"/>
      <c r="I5" s="2555"/>
      <c r="J5" s="2555"/>
      <c r="K5" s="2555"/>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40" t="s">
        <v>2469</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6" t="s">
        <v>2472</v>
      </c>
      <c r="B8" s="177" t="s">
        <v>2473</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2474</v>
      </c>
      <c r="B9" s="955"/>
      <c r="C9" s="955"/>
      <c r="D9" s="955"/>
      <c r="E9" s="955"/>
      <c r="F9" s="955"/>
      <c r="G9" s="955"/>
      <c r="H9" s="955"/>
      <c r="I9" s="955"/>
      <c r="J9" s="955"/>
      <c r="K9" s="956"/>
    </row>
    <row r="10" spans="1:33" s="971" customFormat="1" ht="13.5" customHeight="1">
      <c r="A10" s="958" t="s">
        <v>2475</v>
      </c>
      <c r="B10" s="8" t="s">
        <v>2476</v>
      </c>
      <c r="C10" s="967" t="s">
        <v>2477</v>
      </c>
      <c r="D10" s="968" t="s">
        <v>2478</v>
      </c>
      <c r="E10" s="968" t="s">
        <v>2479</v>
      </c>
      <c r="F10" s="968" t="s">
        <v>2480</v>
      </c>
      <c r="G10" s="8"/>
      <c r="H10" s="969"/>
      <c r="I10" s="969"/>
      <c r="J10" s="969"/>
      <c r="K10" s="970"/>
    </row>
    <row r="11" spans="1:33" s="976" customFormat="1" ht="13.5" customHeight="1">
      <c r="A11" s="972" t="s">
        <v>1330</v>
      </c>
      <c r="B11" s="973" t="s">
        <v>2481</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1331</v>
      </c>
      <c r="B12" s="973" t="s">
        <v>2482</v>
      </c>
      <c r="C12" s="24">
        <f ca="1">ROUND(C11*F12,0)</f>
        <v>0</v>
      </c>
      <c r="D12" s="974"/>
      <c r="E12" s="375"/>
      <c r="F12" s="977">
        <f>'数据-取费表'!B33</f>
        <v>0.03</v>
      </c>
      <c r="G12" s="8" t="s">
        <v>2483</v>
      </c>
      <c r="H12" s="969"/>
      <c r="I12" s="969"/>
      <c r="J12" s="969"/>
      <c r="K12" s="970"/>
    </row>
    <row r="13" spans="1:33" s="976" customFormat="1" ht="13.5" customHeight="1">
      <c r="A13" s="972" t="s">
        <v>1332</v>
      </c>
      <c r="B13" s="973" t="s">
        <v>2484</v>
      </c>
      <c r="C13" s="24">
        <f ca="1">ROUND(IF(C1="",SUMIF('数据-取费表'!C:C,"住宅",'数据-取费表'!P:P)*F13,IF(INDIRECT("'数据-取费表'!c"&amp;$K$1)="住宅",INDIRECT("'数据-取费表'!P"&amp;$K$1)*F13,0)),0)</f>
        <v>0</v>
      </c>
      <c r="D13" s="1034"/>
      <c r="E13" s="375"/>
      <c r="F13" s="977">
        <f>'数据-取费表'!B34</f>
        <v>0.05</v>
      </c>
      <c r="G13" s="8" t="s">
        <v>2485</v>
      </c>
      <c r="H13" s="969"/>
      <c r="I13" s="969"/>
      <c r="J13" s="969"/>
      <c r="K13" s="970"/>
    </row>
    <row r="14" spans="1:33" s="978" customFormat="1" ht="13.5" customHeight="1">
      <c r="A14" s="972" t="s">
        <v>1333</v>
      </c>
      <c r="B14" s="973" t="s">
        <v>2486</v>
      </c>
      <c r="C14" s="24">
        <f ca="1">ROUND(D14*E14*F11/10000,0)</f>
        <v>0</v>
      </c>
      <c r="D14" s="1034">
        <f ca="1">IF(C1="",'数据-汇总表'!E3,INDIRECT("'数据-取费表'!K"&amp;$K$1)+INDIRECT("'数据-取费表'!S"&amp;$K$1))</f>
        <v>66657.509999999995</v>
      </c>
      <c r="E14" s="24">
        <f>'数据-取费表'!B35</f>
        <v>200</v>
      </c>
      <c r="F14" s="977"/>
      <c r="G14" s="8" t="s">
        <v>2487</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1334</v>
      </c>
      <c r="B15" s="973" t="s">
        <v>2488</v>
      </c>
      <c r="C15" s="984">
        <f ca="1">ROUND(C11*F15,0)</f>
        <v>0</v>
      </c>
      <c r="D15" s="979"/>
      <c r="E15" s="984"/>
      <c r="F15" s="985">
        <f>'数据-取费表'!B36</f>
        <v>1.4999999999999999E-2</v>
      </c>
      <c r="G15" s="140" t="s">
        <v>2489</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2490</v>
      </c>
      <c r="C16" s="984">
        <f ca="1">SUM(C11:C15)</f>
        <v>0</v>
      </c>
      <c r="D16" s="979"/>
      <c r="E16" s="984"/>
      <c r="F16" s="985"/>
      <c r="G16" s="140"/>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2491</v>
      </c>
      <c r="C17" s="24">
        <f ca="1">ROUND(D17*E17/10000,0)</f>
        <v>0</v>
      </c>
      <c r="D17" s="1034">
        <f ca="1">D14</f>
        <v>66657.509999999995</v>
      </c>
      <c r="E17" s="24">
        <f>'数据-取费表'!B32</f>
        <v>0</v>
      </c>
      <c r="F17" s="979"/>
      <c r="G17" s="140" t="s">
        <v>2492</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1335</v>
      </c>
      <c r="B18" s="973" t="s">
        <v>2493</v>
      </c>
      <c r="C18" s="24">
        <f ca="1">C19+C20-IF(C1="",'数据-取费表'!B29,IF(G18="已全部缴纳",C19+C20,H18))</f>
        <v>1266</v>
      </c>
      <c r="D18" s="1034"/>
      <c r="E18" s="24"/>
      <c r="F18" s="977"/>
      <c r="G18" s="2557"/>
      <c r="H18" s="1578"/>
      <c r="I18" s="2558" t="s">
        <v>2494</v>
      </c>
      <c r="J18" s="980"/>
      <c r="K18" s="981"/>
    </row>
    <row r="19" spans="1:33" s="976" customFormat="1" ht="13.5" customHeight="1">
      <c r="A19" s="972" t="s">
        <v>805</v>
      </c>
      <c r="B19" s="973" t="s">
        <v>2495</v>
      </c>
      <c r="C19" s="24">
        <f ca="1">ROUND(D19*E19/10000,0)</f>
        <v>0</v>
      </c>
      <c r="D19" s="1034">
        <f ca="1">IF(C1="",'数据-汇总表'!E5,IF(INDIRECT("'数据-取费表'!c"&amp;$K$1)="住宅",INDIRECT("'数据-取费表'!k"&amp;$K$1),0))</f>
        <v>0</v>
      </c>
      <c r="E19" s="24">
        <f>'数据-取费表'!B27</f>
        <v>0</v>
      </c>
      <c r="F19" s="977"/>
      <c r="G19" s="15"/>
      <c r="H19" s="1580"/>
      <c r="I19" s="982"/>
      <c r="J19" s="982"/>
      <c r="K19" s="983"/>
    </row>
    <row r="20" spans="1:33" s="976" customFormat="1" ht="13.5" customHeight="1">
      <c r="A20" s="972" t="s">
        <v>806</v>
      </c>
      <c r="B20" s="973" t="s">
        <v>2496</v>
      </c>
      <c r="C20" s="24">
        <f ca="1">ROUND(D20*E20/10000,0)</f>
        <v>1266</v>
      </c>
      <c r="D20" s="1034">
        <f ca="1">IF(C1="",'数据-汇总表'!E6,IF(INDIRECT("'数据-取费表'!c"&amp;$K$1)="住宅",INDIRECT("'数据-取费表'!s"&amp;$K$1),INDIRECT("'数据-取费表'!k"&amp;$K$1)+INDIRECT("'数据-取费表'!s"&amp;$K$1)))</f>
        <v>66657.509999999995</v>
      </c>
      <c r="E20" s="24">
        <f>'数据-取费表'!B28</f>
        <v>190</v>
      </c>
      <c r="F20" s="977"/>
      <c r="G20" s="15"/>
      <c r="H20" s="982"/>
      <c r="I20" s="982"/>
      <c r="J20" s="982"/>
      <c r="K20" s="983"/>
    </row>
    <row r="21" spans="1:33" s="976" customFormat="1" ht="13.5" customHeight="1">
      <c r="A21" s="962" t="s">
        <v>802</v>
      </c>
      <c r="B21" s="986" t="s">
        <v>2497</v>
      </c>
      <c r="C21" s="987">
        <f ca="1">C16+C17+C18</f>
        <v>1266</v>
      </c>
      <c r="D21" s="988"/>
      <c r="E21" s="325"/>
      <c r="F21" s="325"/>
      <c r="G21" s="140" t="s">
        <v>2498</v>
      </c>
      <c r="H21" s="980"/>
      <c r="I21" s="980"/>
      <c r="J21" s="980"/>
      <c r="K21" s="981"/>
    </row>
    <row r="22" spans="1:33" s="976" customFormat="1" ht="13.5" customHeight="1">
      <c r="A22" s="962" t="s">
        <v>2470</v>
      </c>
      <c r="B22" s="986" t="s">
        <v>2499</v>
      </c>
      <c r="C22" s="987">
        <f ca="1">ROUND(C21*F22,0)</f>
        <v>25</v>
      </c>
      <c r="D22" s="325"/>
      <c r="E22" s="325"/>
      <c r="F22" s="989">
        <f>'数据-取费表'!B37</f>
        <v>0.02</v>
      </c>
      <c r="G22" s="8" t="s">
        <v>2500</v>
      </c>
      <c r="H22" s="969"/>
      <c r="I22" s="969"/>
      <c r="J22" s="969"/>
      <c r="K22" s="970"/>
    </row>
    <row r="23" spans="1:33" s="976" customFormat="1" ht="13.5" customHeight="1">
      <c r="A23" s="962" t="s">
        <v>2472</v>
      </c>
      <c r="B23" s="986" t="s">
        <v>2501</v>
      </c>
      <c r="C23" s="987">
        <f ca="1">ROUND(C4*F23*F11,0)</f>
        <v>0</v>
      </c>
      <c r="D23" s="325"/>
      <c r="E23" s="325"/>
      <c r="F23" s="989">
        <f>'数据-取费表'!B38</f>
        <v>0.02</v>
      </c>
      <c r="G23" s="8" t="s">
        <v>2502</v>
      </c>
      <c r="H23" s="969"/>
      <c r="I23" s="969"/>
      <c r="J23" s="969"/>
      <c r="K23" s="970"/>
    </row>
    <row r="24" spans="1:33" s="976" customFormat="1" ht="13.5" customHeight="1">
      <c r="A24" s="962" t="s">
        <v>2503</v>
      </c>
      <c r="B24" s="986" t="s">
        <v>2504</v>
      </c>
      <c r="C24" s="324">
        <f>ROUND(F24/(1+'数据-取费表'!C42),4)</f>
        <v>2.9000000000000001E-2</v>
      </c>
      <c r="D24" s="325" t="s">
        <v>15</v>
      </c>
      <c r="E24" s="325"/>
      <c r="F24" s="989">
        <f>'数据-取费表'!B48+'数据-取费表'!B49</f>
        <v>3.0499999999999999E-2</v>
      </c>
      <c r="G24" s="8" t="s">
        <v>2505</v>
      </c>
      <c r="H24" s="991"/>
      <c r="I24" s="991"/>
      <c r="J24" s="991"/>
      <c r="K24" s="992"/>
    </row>
    <row r="25" spans="1:33" s="976" customFormat="1" ht="13.5" customHeight="1">
      <c r="A25" s="962" t="s">
        <v>2506</v>
      </c>
      <c r="B25" s="988" t="s">
        <v>2507</v>
      </c>
      <c r="C25" s="1357">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2508</v>
      </c>
      <c r="C26" s="1358">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2509</v>
      </c>
      <c r="C27" s="1359">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80"/>
      <c r="I27" s="980"/>
      <c r="J27" s="980"/>
      <c r="K27" s="981"/>
    </row>
    <row r="28" spans="1:33" s="333" customFormat="1" ht="13.5" customHeight="1">
      <c r="A28" s="962" t="s">
        <v>2510</v>
      </c>
      <c r="B28" s="2560" t="s">
        <v>2511</v>
      </c>
      <c r="C28" s="331">
        <f ca="1">C30</f>
        <v>258</v>
      </c>
      <c r="D28" s="324">
        <f ca="1">C29</f>
        <v>0</v>
      </c>
      <c r="E28" s="326" t="s">
        <v>15</v>
      </c>
      <c r="F28" s="332">
        <f ca="1">IF(C1="",'数据-取费表'!Q16,INDIRECT("'数据-取费表'!q"&amp;$K$1))</f>
        <v>0.2</v>
      </c>
      <c r="G28" s="990"/>
      <c r="H28" s="991"/>
      <c r="I28" s="991"/>
      <c r="J28" s="991"/>
      <c r="K28" s="992"/>
    </row>
    <row r="29" spans="1:33" s="335" customFormat="1" ht="13.5" customHeight="1">
      <c r="A29" s="972" t="s">
        <v>803</v>
      </c>
      <c r="B29" s="995" t="s">
        <v>2512</v>
      </c>
      <c r="C29" s="328">
        <f ca="1">ROUND((1+C24)*F28*'数据-取费表'!B24/'数据-取费表'!B20,4)</f>
        <v>0</v>
      </c>
      <c r="D29" s="328"/>
      <c r="E29" s="329"/>
      <c r="F29" s="334"/>
      <c r="G29" s="140" t="s">
        <v>2513</v>
      </c>
      <c r="H29" s="980"/>
      <c r="I29" s="980"/>
      <c r="J29" s="980"/>
      <c r="K29" s="981"/>
    </row>
    <row r="30" spans="1:33" s="335" customFormat="1" ht="13.5" customHeight="1">
      <c r="A30" s="972" t="s">
        <v>804</v>
      </c>
      <c r="B30" s="995" t="s">
        <v>2514</v>
      </c>
      <c r="C30" s="336">
        <f ca="1">ROUND((C21+C22+C23)*F28,0)</f>
        <v>258</v>
      </c>
      <c r="D30" s="328"/>
      <c r="E30" s="329"/>
      <c r="F30" s="334"/>
      <c r="G30" s="140"/>
      <c r="H30" s="980"/>
      <c r="I30" s="980"/>
      <c r="J30" s="980"/>
      <c r="K30" s="981"/>
    </row>
    <row r="31" spans="1:33" s="976" customFormat="1" ht="13.5" customHeight="1" thickBot="1">
      <c r="A31" s="2561" t="s">
        <v>2515</v>
      </c>
      <c r="B31" s="1006" t="s">
        <v>2516</v>
      </c>
      <c r="C31" s="1007">
        <f>ROUND(C4*F31/(1+'数据-取费表'!C42),0)</f>
        <v>0</v>
      </c>
      <c r="D31" s="1008"/>
      <c r="E31" s="1009"/>
      <c r="F31" s="1010">
        <f>'数据-取费表'!B41</f>
        <v>5.5000000000000007E-2</v>
      </c>
      <c r="G31" s="1011" t="s">
        <v>2517</v>
      </c>
      <c r="H31" s="1012"/>
      <c r="I31" s="1012"/>
      <c r="J31" s="1012"/>
      <c r="K31" s="1013"/>
    </row>
    <row r="32" spans="1:33" s="971" customFormat="1" ht="13.5" customHeight="1" thickBot="1">
      <c r="A32" s="1001" t="s">
        <v>2518</v>
      </c>
      <c r="B32" s="1002"/>
      <c r="C32" s="1003">
        <f ca="1">ROUND((C4-C21-C22-C23-C25-C28-C31)/(1+C24+D25+D28),0)</f>
        <v>-1505</v>
      </c>
      <c r="D32" s="1002"/>
      <c r="E32" s="1002"/>
      <c r="F32" s="1002"/>
      <c r="G32" s="1004" t="s">
        <v>2519</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C1" zoomScaleNormal="100" zoomScaleSheetLayoutView="100" zoomScalePageLayoutView="80" workbookViewId="0">
      <selection activeCell="F25" sqref="F25"/>
    </sheetView>
  </sheetViews>
  <sheetFormatPr defaultColWidth="12.625" defaultRowHeight="21.75" customHeight="1"/>
  <cols>
    <col min="1" max="2" width="12.625" style="2423"/>
    <col min="3" max="4" width="12.625" style="2423" customWidth="1"/>
    <col min="5" max="9" width="12.625" style="2423"/>
    <col min="10" max="11" width="12.625" style="793" customWidth="1"/>
    <col min="12" max="12" width="12.625" style="793"/>
    <col min="13" max="13" width="14.125" style="793" bestFit="1" customWidth="1"/>
    <col min="14" max="26" width="12.625" style="793"/>
    <col min="27" max="35" width="12.625" style="2422"/>
    <col min="36" max="16384" width="12.625" style="2423"/>
  </cols>
  <sheetData>
    <row r="1" spans="1:12" ht="21.75" customHeight="1" thickBot="1">
      <c r="A1" s="2224" t="s">
        <v>2118</v>
      </c>
      <c r="B1" s="2417"/>
      <c r="C1" s="2418" t="s">
        <v>1373</v>
      </c>
      <c r="D1" s="2417"/>
      <c r="E1" s="2417"/>
      <c r="F1" s="2419" t="s">
        <v>2119</v>
      </c>
      <c r="G1" s="2069" t="s">
        <v>3124</v>
      </c>
      <c r="H1" s="2420" t="str">
        <f>IF(G1="现房","——","估价对象范围")</f>
        <v>——</v>
      </c>
      <c r="I1" s="2421"/>
    </row>
    <row r="2" spans="1:12" ht="21.75" customHeight="1" thickBot="1">
      <c r="A2" s="3201" t="str">
        <f>项目基本情况!S2</f>
        <v>北京市房地产</v>
      </c>
      <c r="B2" s="3202"/>
      <c r="C2" s="3202"/>
      <c r="D2" s="3202"/>
      <c r="E2" s="3202"/>
      <c r="F2" s="3202"/>
      <c r="G2" s="3202"/>
      <c r="H2" s="3202"/>
      <c r="I2" s="3203"/>
    </row>
    <row r="3" spans="1:12" ht="12.75">
      <c r="A3" s="3204" t="s">
        <v>2120</v>
      </c>
      <c r="B3" s="3205"/>
      <c r="C3" s="3205"/>
      <c r="D3" s="3205"/>
      <c r="E3" s="3205"/>
      <c r="F3" s="3205"/>
      <c r="G3" s="3205"/>
      <c r="H3" s="3205"/>
      <c r="I3" s="3205"/>
    </row>
    <row r="4" spans="1:12" ht="14.25">
      <c r="A4" s="2424" t="s">
        <v>2121</v>
      </c>
      <c r="B4" s="2425" t="s">
        <v>2122</v>
      </c>
      <c r="C4" s="2426" t="s">
        <v>3156</v>
      </c>
      <c r="D4" s="2426" t="s">
        <v>3069</v>
      </c>
      <c r="E4" s="3185" t="s">
        <v>2123</v>
      </c>
      <c r="F4" s="3198"/>
      <c r="G4" s="3198"/>
      <c r="H4" s="3198"/>
      <c r="I4" s="3186"/>
      <c r="K4" s="2427"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2427"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176" t="s">
        <v>2124</v>
      </c>
      <c r="B5" s="3102">
        <v>25</v>
      </c>
      <c r="C5" s="3206"/>
      <c r="D5" s="3194"/>
      <c r="E5" s="140" t="s">
        <v>2125</v>
      </c>
      <c r="F5" s="2428"/>
      <c r="G5" s="2428"/>
      <c r="H5" s="2428"/>
      <c r="I5" s="1829"/>
    </row>
    <row r="6" spans="1:12" ht="12.75">
      <c r="A6" s="3176"/>
      <c r="B6" s="3102"/>
      <c r="C6" s="3208"/>
      <c r="D6" s="3194"/>
      <c r="E6" s="140" t="s">
        <v>2126</v>
      </c>
      <c r="F6" s="2428"/>
      <c r="G6" s="2428"/>
      <c r="H6" s="2428"/>
      <c r="I6" s="1829"/>
    </row>
    <row r="7" spans="1:12" ht="12.75">
      <c r="A7" s="3176"/>
      <c r="B7" s="3102"/>
      <c r="C7" s="3207"/>
      <c r="D7" s="3194"/>
      <c r="E7" s="140" t="s">
        <v>2127</v>
      </c>
      <c r="F7" s="2428"/>
      <c r="G7" s="2428"/>
      <c r="H7" s="2428"/>
      <c r="I7" s="1829"/>
    </row>
    <row r="8" spans="1:12" ht="12.75">
      <c r="A8" s="3176" t="s">
        <v>2128</v>
      </c>
      <c r="B8" s="3102">
        <v>15</v>
      </c>
      <c r="C8" s="3206"/>
      <c r="D8" s="3194"/>
      <c r="E8" s="140" t="s">
        <v>2129</v>
      </c>
      <c r="F8" s="2428"/>
      <c r="G8" s="2428"/>
      <c r="H8" s="2428"/>
      <c r="I8" s="1829"/>
    </row>
    <row r="9" spans="1:12" ht="12.75">
      <c r="A9" s="3176"/>
      <c r="B9" s="3102"/>
      <c r="C9" s="3207"/>
      <c r="D9" s="3194"/>
      <c r="E9" s="140" t="s">
        <v>2130</v>
      </c>
      <c r="F9" s="2428"/>
      <c r="G9" s="2428"/>
      <c r="H9" s="2428"/>
      <c r="I9" s="1829"/>
    </row>
    <row r="10" spans="1:12" ht="12.75">
      <c r="A10" s="3176" t="s">
        <v>2131</v>
      </c>
      <c r="B10" s="3102">
        <v>15</v>
      </c>
      <c r="C10" s="3206"/>
      <c r="D10" s="3194"/>
      <c r="E10" s="140" t="s">
        <v>2132</v>
      </c>
      <c r="F10" s="2428"/>
      <c r="G10" s="2428"/>
      <c r="H10" s="2428"/>
      <c r="I10" s="1829"/>
    </row>
    <row r="11" spans="1:12" ht="12.75">
      <c r="A11" s="3176"/>
      <c r="B11" s="3102"/>
      <c r="C11" s="3207"/>
      <c r="D11" s="3194"/>
      <c r="E11" s="140" t="s">
        <v>2133</v>
      </c>
      <c r="F11" s="2428"/>
      <c r="G11" s="2428"/>
      <c r="H11" s="2428"/>
      <c r="I11" s="1829"/>
    </row>
    <row r="12" spans="1:12" ht="12.75">
      <c r="A12" s="3176" t="s">
        <v>2134</v>
      </c>
      <c r="B12" s="3102">
        <v>15</v>
      </c>
      <c r="C12" s="3206"/>
      <c r="D12" s="3194"/>
      <c r="E12" s="140" t="s">
        <v>2135</v>
      </c>
      <c r="F12" s="2428"/>
      <c r="G12" s="2428"/>
      <c r="H12" s="2428"/>
      <c r="I12" s="1829"/>
    </row>
    <row r="13" spans="1:12" ht="12.75">
      <c r="A13" s="3176"/>
      <c r="B13" s="3102"/>
      <c r="C13" s="3207"/>
      <c r="D13" s="3194"/>
      <c r="E13" s="140" t="s">
        <v>2136</v>
      </c>
      <c r="F13" s="2428"/>
      <c r="G13" s="2428"/>
      <c r="H13" s="2428"/>
      <c r="I13" s="1829"/>
    </row>
    <row r="14" spans="1:12" ht="12.75">
      <c r="A14" s="3176" t="s">
        <v>2137</v>
      </c>
      <c r="B14" s="3102">
        <v>30</v>
      </c>
      <c r="C14" s="3206">
        <v>5</v>
      </c>
      <c r="D14" s="3194">
        <v>5</v>
      </c>
      <c r="E14" s="140" t="s">
        <v>2138</v>
      </c>
      <c r="F14" s="2428"/>
      <c r="G14" s="2428"/>
      <c r="H14" s="2428"/>
      <c r="I14" s="1829"/>
    </row>
    <row r="15" spans="1:12" ht="12.75">
      <c r="A15" s="3176"/>
      <c r="B15" s="3102"/>
      <c r="C15" s="3208"/>
      <c r="D15" s="3194"/>
      <c r="E15" s="140" t="s">
        <v>2139</v>
      </c>
      <c r="F15" s="2428"/>
      <c r="G15" s="2428"/>
      <c r="H15" s="2428"/>
      <c r="I15" s="1829"/>
    </row>
    <row r="16" spans="1:12" ht="12.75">
      <c r="A16" s="3176"/>
      <c r="B16" s="3102"/>
      <c r="C16" s="3207"/>
      <c r="D16" s="3194"/>
      <c r="E16" s="140" t="s">
        <v>2140</v>
      </c>
      <c r="F16" s="2428"/>
      <c r="G16" s="2428"/>
      <c r="H16" s="2428"/>
      <c r="I16" s="1829"/>
    </row>
    <row r="17" spans="1:35" ht="15">
      <c r="A17" s="2429" t="s">
        <v>2141</v>
      </c>
      <c r="B17" s="64"/>
      <c r="C17" s="141">
        <f>SUM(C5:C16)</f>
        <v>5</v>
      </c>
      <c r="D17" s="141">
        <f>SUM(D5:D16)</f>
        <v>5</v>
      </c>
      <c r="E17" s="138"/>
      <c r="F17" s="138"/>
      <c r="G17" s="138"/>
      <c r="H17" s="138"/>
      <c r="I17" s="138"/>
      <c r="K17" s="2427"/>
      <c r="L17" s="2430" t="s">
        <v>2142</v>
      </c>
      <c r="M17" s="2430" t="s">
        <v>2143</v>
      </c>
    </row>
    <row r="18" spans="1:35" ht="15.75" thickBot="1">
      <c r="A18" s="2431" t="s">
        <v>2144</v>
      </c>
      <c r="B18" s="2432"/>
      <c r="C18" s="142">
        <f>ROUND(C17/SUM(C17:D17),2)</f>
        <v>0.5</v>
      </c>
      <c r="D18" s="142">
        <f>1-C18</f>
        <v>0.5</v>
      </c>
      <c r="E18" s="138"/>
      <c r="F18" s="138"/>
      <c r="G18" s="138"/>
      <c r="H18" s="138"/>
      <c r="I18" s="138"/>
      <c r="K18" s="2427" t="s">
        <v>2145</v>
      </c>
      <c r="L18" s="2427">
        <f>IF(C1="",'数据-汇总表'!E3,SUMIF(项目类型,C1,'数据-汇总表'!E17:E26)+SUMIF(项目类型,C1,'数据-汇总表'!I17:I26))</f>
        <v>18643.309999999998</v>
      </c>
      <c r="M18" s="2427">
        <f>IF(C1="",'数据-汇总表'!E3,SUMIF(项目类型,C1,'数据-汇总表'!E17:E26))</f>
        <v>18643.309999999998</v>
      </c>
    </row>
    <row r="19" spans="1:35" ht="15">
      <c r="A19" s="2433" t="s">
        <v>2146</v>
      </c>
      <c r="B19" s="2434" t="s">
        <v>2147</v>
      </c>
      <c r="C19" s="143">
        <f ca="1">SUMIF(INDIRECT("'"&amp;C4&amp;"'"&amp;"!A:A"),'结果表-商业'!B19,INDIRECT("'"&amp;C4&amp;"'"&amp;"!B:B"))</f>
        <v>39513</v>
      </c>
      <c r="D19" s="144">
        <f ca="1">SUMIF(INDIRECT("'"&amp;D4&amp;"'"&amp;"!A:A"),'结果表-商业'!B19,INDIRECT("'"&amp;D4&amp;"'"&amp;"!B:B"))</f>
        <v>41889</v>
      </c>
      <c r="E19" s="2433" t="s">
        <v>2148</v>
      </c>
      <c r="F19" s="2434" t="s">
        <v>2147</v>
      </c>
      <c r="G19" s="145">
        <f ca="1">ROUND(C19*$C$18+D19*$D$18,0)</f>
        <v>40701</v>
      </c>
      <c r="H19" s="2435" t="s">
        <v>2149</v>
      </c>
      <c r="I19" s="138"/>
      <c r="K19" s="2427" t="s">
        <v>2150</v>
      </c>
      <c r="L19" s="2427">
        <f>IF(C1="",'数据-汇总表'!D3,SUMIF(项目类型,C1,'数据-汇总表'!D17:D26)+SUMIF(项目类型,C1,'数据-汇总表'!H17:H27))</f>
        <v>6056.4</v>
      </c>
      <c r="M19" s="2427">
        <f>IF(C1="",'数据-汇总表'!D3,SUMIF(项目类型,C1,'数据-汇总表'!D17:D26))</f>
        <v>6056.4</v>
      </c>
    </row>
    <row r="20" spans="1:35" ht="15">
      <c r="A20" s="2436"/>
      <c r="B20" s="1248" t="s">
        <v>2151</v>
      </c>
      <c r="C20" s="146">
        <f ca="1">SUMIF(INDIRECT("'"&amp;C4&amp;"'"&amp;"!A:A"),'结果表-商业'!B20,INDIRECT("'"&amp;C4&amp;"'"&amp;"!B:B"))</f>
        <v>21194</v>
      </c>
      <c r="D20" s="147">
        <f ca="1">SUMIF(INDIRECT("'"&amp;D4&amp;"'"&amp;"!A:A"),'结果表-商业'!B20,INDIRECT("'"&amp;D4&amp;"'"&amp;"!B:B"))</f>
        <v>22469</v>
      </c>
      <c r="E20" s="2436"/>
      <c r="F20" s="1248" t="s">
        <v>2151</v>
      </c>
      <c r="G20" s="148">
        <f ca="1">ROUND(C20*$C$18+D20*$D$18,0)</f>
        <v>21832</v>
      </c>
      <c r="H20" s="981" t="s">
        <v>2152</v>
      </c>
      <c r="I20" s="138"/>
    </row>
    <row r="21" spans="1:35" ht="15" customHeight="1" thickBot="1">
      <c r="A21" s="1001"/>
      <c r="B21" s="2437" t="s">
        <v>2153</v>
      </c>
      <c r="C21" s="787">
        <f ca="1">ROUND(C19*10000/L19,0)</f>
        <v>65242</v>
      </c>
      <c r="D21" s="788">
        <f ca="1">ROUND(D19*10000/L19,0)</f>
        <v>69165</v>
      </c>
      <c r="E21" s="1001"/>
      <c r="F21" s="2437" t="s">
        <v>2153</v>
      </c>
      <c r="G21" s="149">
        <f ca="1">ROUND(G19*10000/L19,0)</f>
        <v>67203</v>
      </c>
      <c r="H21" s="2438" t="s">
        <v>2152</v>
      </c>
      <c r="I21" s="138"/>
    </row>
    <row r="22" spans="1:35" ht="15" thickBot="1">
      <c r="A22" s="2279" t="s">
        <v>2154</v>
      </c>
      <c r="B22" s="2439"/>
      <c r="C22" s="2440"/>
      <c r="D22" s="789">
        <f ca="1">IF(C19&lt;D19,D19/C19-1,C19/D19-1)</f>
        <v>6.0132108420013708E-2</v>
      </c>
      <c r="E22" s="138"/>
      <c r="F22" s="138"/>
      <c r="G22" s="138"/>
      <c r="H22" s="138"/>
      <c r="I22" s="138"/>
    </row>
    <row r="23" spans="1:35" ht="13.5" thickBot="1">
      <c r="A23" s="2417"/>
      <c r="B23" s="2417"/>
      <c r="C23" s="2417"/>
      <c r="D23" s="2417"/>
      <c r="E23" s="138"/>
      <c r="F23" s="138"/>
      <c r="G23" s="138"/>
      <c r="H23" s="138"/>
      <c r="I23" s="138"/>
    </row>
    <row r="24" spans="1:35" ht="14.25">
      <c r="A24" s="3215" t="s">
        <v>2155</v>
      </c>
      <c r="B24" s="2434" t="s">
        <v>2147</v>
      </c>
      <c r="C24" s="145">
        <f>IF(B30=0,0,D30)</f>
        <v>0</v>
      </c>
      <c r="D24" s="2441"/>
      <c r="E24" s="138"/>
      <c r="F24" s="138"/>
      <c r="G24" s="138"/>
      <c r="H24" s="138"/>
      <c r="I24" s="138"/>
    </row>
    <row r="25" spans="1:35" ht="14.25">
      <c r="A25" s="3216"/>
      <c r="B25" s="1248"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2160</v>
      </c>
      <c r="B30" s="151"/>
      <c r="C30" s="151"/>
      <c r="D30" s="151"/>
      <c r="E30" s="2925" t="s">
        <v>3034</v>
      </c>
      <c r="F30" s="138"/>
      <c r="G30" s="138"/>
      <c r="H30" s="138"/>
      <c r="I30" s="138"/>
    </row>
    <row r="31" spans="1:35" s="2445" customFormat="1" ht="15" thickBot="1">
      <c r="A31" s="2444"/>
      <c r="B31" s="2444"/>
      <c r="C31" s="2444"/>
      <c r="D31" s="2444"/>
      <c r="E31" s="138"/>
      <c r="F31" s="138"/>
      <c r="G31" s="138"/>
      <c r="H31" s="138"/>
      <c r="I31" s="138"/>
      <c r="J31" s="793"/>
      <c r="K31" s="793"/>
      <c r="L31" s="793"/>
      <c r="M31" s="793"/>
      <c r="N31" s="793"/>
      <c r="O31" s="793"/>
      <c r="P31" s="793"/>
      <c r="Q31" s="793"/>
      <c r="R31" s="793"/>
      <c r="S31" s="793"/>
      <c r="T31" s="793"/>
      <c r="U31" s="793"/>
      <c r="V31" s="793"/>
      <c r="W31" s="793"/>
      <c r="X31" s="793"/>
      <c r="Y31" s="793"/>
      <c r="Z31" s="793"/>
      <c r="AA31" s="2422"/>
      <c r="AB31" s="2422"/>
      <c r="AC31" s="2422"/>
      <c r="AD31" s="2422"/>
      <c r="AE31" s="2422"/>
      <c r="AF31" s="2422"/>
      <c r="AG31" s="2422"/>
      <c r="AH31" s="2422"/>
      <c r="AI31" s="2422"/>
    </row>
    <row r="32" spans="1:35" ht="15.75" thickBot="1">
      <c r="A32" s="2446" t="s">
        <v>2161</v>
      </c>
      <c r="B32" s="2447"/>
      <c r="C32" s="153">
        <f ca="1">IF(D32="总价",G19-C24,G20-C25)</f>
        <v>40701</v>
      </c>
      <c r="D32" s="2448" t="s">
        <v>2162</v>
      </c>
      <c r="E32" s="138"/>
      <c r="F32" s="138"/>
      <c r="G32" s="138"/>
      <c r="H32" s="138"/>
      <c r="I32" s="138"/>
    </row>
    <row r="33" spans="1:15" ht="15">
      <c r="A33" s="958" t="s">
        <v>2163</v>
      </c>
      <c r="B33" s="2449"/>
      <c r="C33" s="2450"/>
      <c r="D33" s="2451"/>
      <c r="E33" s="2452" t="s">
        <v>2164</v>
      </c>
      <c r="F33" s="2944" t="str">
        <f>IF(D32="楼面单价","取值（单价）","取值（总价）")</f>
        <v>取值（总价）</v>
      </c>
      <c r="G33" s="138"/>
      <c r="H33" s="138"/>
      <c r="I33" s="138"/>
    </row>
    <row r="34" spans="1:15" ht="15">
      <c r="A34" s="2454"/>
      <c r="B34" s="2455" t="s">
        <v>2165</v>
      </c>
      <c r="C34" s="157" t="e">
        <f ca="1">IF(C33="自定义",F34,C32-C35)</f>
        <v>#REF!</v>
      </c>
      <c r="D34" s="1056" t="e">
        <f ca="1">IF(C33="自定义",ROUND(C34/C32,3),IF(C33="收益比率",SUMIF(INDIRECT("'"&amp;D33&amp;"'"&amp;"!b:b"),"土地收益比率",INDIRECT("'"&amp;D33&amp;"'"&amp;"!c:c")),SUMIF(INDIRECT("'"&amp;D33&amp;"'"&amp;"!b:b"),"土地成本比率",INDIRECT("'"&amp;D33&amp;"'"&amp;"!c:c"))))</f>
        <v>#REF!</v>
      </c>
      <c r="E34" s="2456" t="s">
        <v>2166</v>
      </c>
      <c r="F34" s="1734"/>
      <c r="G34" s="138"/>
      <c r="H34" s="138"/>
      <c r="I34" s="138"/>
    </row>
    <row r="35" spans="1:15" ht="15.75" thickBot="1">
      <c r="A35" s="2457"/>
      <c r="B35" s="2458" t="s">
        <v>2167</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59" t="s">
        <v>2168</v>
      </c>
      <c r="F35" s="163"/>
      <c r="G35" s="138"/>
      <c r="H35" s="138"/>
      <c r="I35" s="138"/>
    </row>
    <row r="36" spans="1:15" ht="15.75" thickBot="1">
      <c r="A36" s="3195" t="s">
        <v>2169</v>
      </c>
      <c r="B36" s="2460" t="s">
        <v>2170</v>
      </c>
      <c r="C36" s="154"/>
      <c r="D36" s="2461"/>
      <c r="E36" s="2462"/>
      <c r="F36" s="2463"/>
      <c r="G36" s="138"/>
      <c r="H36" s="138"/>
      <c r="I36" s="138"/>
    </row>
    <row r="37" spans="1:15" ht="15.75" thickBot="1">
      <c r="A37" s="3196"/>
      <c r="B37" s="2265" t="s">
        <v>2171</v>
      </c>
      <c r="C37" s="156"/>
      <c r="D37" s="1393"/>
      <c r="E37" s="1393"/>
      <c r="F37" s="2463"/>
      <c r="G37" s="138"/>
      <c r="H37" s="138"/>
      <c r="I37" s="138"/>
    </row>
    <row r="38" spans="1:15" ht="15.75" thickBot="1">
      <c r="A38" s="3197"/>
      <c r="B38" s="2464" t="s">
        <v>2172</v>
      </c>
      <c r="C38" s="725"/>
      <c r="D38" s="2465" t="s">
        <v>2173</v>
      </c>
      <c r="E38" s="1393"/>
      <c r="F38" s="2463"/>
      <c r="G38" s="138"/>
      <c r="H38" s="138"/>
      <c r="I38" s="138"/>
    </row>
    <row r="39" spans="1:15" ht="15">
      <c r="A39" s="2436" t="s">
        <v>2174</v>
      </c>
      <c r="B39" s="2466" t="s">
        <v>2157</v>
      </c>
      <c r="C39" s="2467" t="s">
        <v>2158</v>
      </c>
      <c r="D39" s="2467" t="s">
        <v>2177</v>
      </c>
      <c r="E39" s="2468" t="s">
        <v>2159</v>
      </c>
      <c r="F39" s="2463"/>
      <c r="G39" s="138"/>
      <c r="H39" s="138"/>
      <c r="I39" s="138"/>
    </row>
    <row r="40" spans="1:15" ht="14.25">
      <c r="A40" s="2469" t="s">
        <v>2179</v>
      </c>
      <c r="B40" s="158"/>
      <c r="C40" s="159"/>
      <c r="D40" s="159"/>
      <c r="E40" s="160"/>
      <c r="F40" s="2463"/>
      <c r="G40" s="138"/>
      <c r="H40" s="138"/>
      <c r="I40" s="138"/>
    </row>
    <row r="41" spans="1:15" ht="14.25">
      <c r="A41" s="2469" t="s">
        <v>2180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212" t="s">
        <v>2183</v>
      </c>
      <c r="B45" s="3213"/>
      <c r="C45" s="3214"/>
      <c r="D45" s="164">
        <f ca="1">ROUND(H101*F45,0)</f>
        <v>40701</v>
      </c>
      <c r="E45" s="165" t="s">
        <v>2184</v>
      </c>
      <c r="F45" s="166">
        <v>1</v>
      </c>
      <c r="G45" s="167" t="s">
        <v>2185</v>
      </c>
      <c r="H45" s="138"/>
      <c r="I45" s="138"/>
      <c r="J45" s="3131" t="s">
        <v>2186</v>
      </c>
      <c r="K45" s="3131"/>
      <c r="L45" s="3131"/>
      <c r="M45" s="3131"/>
      <c r="N45" s="3131"/>
      <c r="O45" s="3131"/>
    </row>
    <row r="46" spans="1:15" ht="14.25" customHeight="1">
      <c r="A46" s="3209" t="s">
        <v>2187</v>
      </c>
      <c r="B46" s="3210"/>
      <c r="C46" s="3210"/>
      <c r="D46" s="3210"/>
      <c r="E46" s="3210"/>
      <c r="F46" s="3210"/>
      <c r="G46" s="3211"/>
      <c r="H46" s="2479"/>
      <c r="I46" s="168"/>
      <c r="J46" s="2953">
        <v>1</v>
      </c>
      <c r="K46" s="3131" t="s">
        <v>2188</v>
      </c>
      <c r="L46" s="3131"/>
      <c r="M46" s="3132"/>
      <c r="N46" s="3132"/>
      <c r="O46" s="3132"/>
    </row>
    <row r="47" spans="1:15" ht="12" customHeight="1">
      <c r="A47" s="169" t="s">
        <v>2189</v>
      </c>
      <c r="B47" s="170"/>
      <c r="C47" s="171"/>
      <c r="D47" s="172" t="s">
        <v>2190</v>
      </c>
      <c r="E47" s="24" t="s">
        <v>2191</v>
      </c>
      <c r="F47" s="173" t="s">
        <v>2192</v>
      </c>
      <c r="G47" s="174" t="s">
        <v>2193</v>
      </c>
      <c r="H47" s="2479"/>
      <c r="I47" s="168"/>
      <c r="J47" s="2953">
        <v>2</v>
      </c>
      <c r="K47" s="3131" t="s">
        <v>2194</v>
      </c>
      <c r="L47" s="3131"/>
      <c r="M47" s="3133">
        <f>'数据-取费表'!B2</f>
        <v>43570</v>
      </c>
      <c r="N47" s="3133"/>
      <c r="O47" s="3133"/>
    </row>
    <row r="48" spans="1:15" ht="25.5">
      <c r="A48" s="3199" t="s">
        <v>2195</v>
      </c>
      <c r="B48" s="3200"/>
      <c r="C48" s="3200"/>
      <c r="D48" s="140">
        <f>IF(H48="情况1",0,IF(H48="情况2",D52,IF(H48="情况3",D53,IF(H48="情况4",D54))))</f>
        <v>0</v>
      </c>
      <c r="E48" s="2962" t="str">
        <f>IF(H48="情况4","(销售额-原购置价)×税（费）率","销售额×税（费）率")</f>
        <v>销售额×税（费）率</v>
      </c>
      <c r="F48" s="175" t="str">
        <f>IF(H48="情况1","免征",'数据-取费表'!B41)</f>
        <v>免征</v>
      </c>
      <c r="G48" s="2480" t="s">
        <v>2196</v>
      </c>
      <c r="H48" s="2481" t="s">
        <v>2197</v>
      </c>
      <c r="I48" s="2479"/>
      <c r="J48" s="2953">
        <v>3</v>
      </c>
      <c r="K48" s="3131" t="s">
        <v>2198</v>
      </c>
      <c r="L48" s="3131"/>
      <c r="M48" s="3134">
        <f ca="1">H101</f>
        <v>40701</v>
      </c>
      <c r="N48" s="3134"/>
      <c r="O48" s="3134"/>
    </row>
    <row r="49" spans="1:35" ht="25.5" customHeight="1">
      <c r="A49" s="176" t="s">
        <v>2199</v>
      </c>
      <c r="B49" s="3179" t="s">
        <v>2200</v>
      </c>
      <c r="C49" s="3179"/>
      <c r="D49" s="177">
        <v>0</v>
      </c>
      <c r="E49" s="23" t="s">
        <v>2201</v>
      </c>
      <c r="F49" s="28" t="s">
        <v>34</v>
      </c>
      <c r="G49" s="3160"/>
      <c r="H49" s="138"/>
      <c r="I49" s="2482"/>
      <c r="J49" s="2953">
        <v>4</v>
      </c>
      <c r="K49" s="3131" t="str">
        <f>IF(项目基本情况!E8="房地产抵押价值","房地产抵押价值","抵押担保权已注销时的房地产抵押价值")</f>
        <v>抵押担保权已注销时的房地产抵押价值</v>
      </c>
      <c r="L49" s="3131"/>
      <c r="M49" s="3134" t="str">
        <f>IF(项目基本情况!E8="房地产抵押价值",H107,H109)</f>
        <v>——</v>
      </c>
      <c r="N49" s="3134"/>
      <c r="O49" s="3134"/>
    </row>
    <row r="50" spans="1:35" ht="25.5" customHeight="1">
      <c r="A50" s="178"/>
      <c r="B50" s="3179" t="s">
        <v>2202</v>
      </c>
      <c r="C50" s="3179"/>
      <c r="D50" s="179"/>
      <c r="E50" s="31"/>
      <c r="F50" s="180"/>
      <c r="G50" s="3161"/>
      <c r="H50" s="138"/>
      <c r="I50" s="2482"/>
      <c r="J50" s="3131" t="s">
        <v>2203</v>
      </c>
      <c r="K50" s="3131"/>
      <c r="L50" s="3131"/>
      <c r="M50" s="3131"/>
      <c r="N50" s="3131"/>
      <c r="O50" s="3131"/>
    </row>
    <row r="51" spans="1:35" ht="12" customHeight="1">
      <c r="A51" s="181"/>
      <c r="B51" s="3179" t="s">
        <v>2204</v>
      </c>
      <c r="C51" s="3179"/>
      <c r="D51" s="182"/>
      <c r="E51" s="30"/>
      <c r="F51" s="180"/>
      <c r="G51" s="3162"/>
      <c r="H51" s="138"/>
      <c r="I51" s="2482"/>
      <c r="J51" s="2946" t="s">
        <v>2205</v>
      </c>
      <c r="K51" s="3131" t="s">
        <v>2206</v>
      </c>
      <c r="L51" s="3131"/>
      <c r="M51" s="2946" t="s">
        <v>2207</v>
      </c>
      <c r="N51" s="2946" t="s">
        <v>2208</v>
      </c>
      <c r="O51" s="2946" t="s">
        <v>2209</v>
      </c>
    </row>
    <row r="52" spans="1:35" ht="24" customHeight="1">
      <c r="A52" s="183" t="s">
        <v>2210</v>
      </c>
      <c r="B52" s="3179" t="s">
        <v>2211</v>
      </c>
      <c r="C52" s="3179"/>
      <c r="D52" s="182">
        <f ca="1">ROUND(D45*'数据-取费表'!B41/(1+'数据-取费表'!C42),0)</f>
        <v>2132</v>
      </c>
      <c r="E52" s="11" t="s">
        <v>2212</v>
      </c>
      <c r="F52" s="184">
        <f>'数据-取费表'!B41</f>
        <v>5.5000000000000007E-2</v>
      </c>
      <c r="G52" s="2484"/>
      <c r="H52" s="138"/>
      <c r="I52" s="2482"/>
      <c r="J52" s="2953">
        <v>1</v>
      </c>
      <c r="K52" s="3154" t="s">
        <v>2213</v>
      </c>
      <c r="L52" s="3154"/>
      <c r="M52" s="1749">
        <f>D48</f>
        <v>0</v>
      </c>
      <c r="N52" s="2953" t="str">
        <f>E48</f>
        <v>销售额×税（费）率</v>
      </c>
      <c r="O52" s="1750" t="str">
        <f>F48</f>
        <v>免征</v>
      </c>
    </row>
    <row r="53" spans="1:35" ht="12" customHeight="1">
      <c r="A53" s="183" t="s">
        <v>2214</v>
      </c>
      <c r="B53" s="3180" t="s">
        <v>2215</v>
      </c>
      <c r="C53" s="3181"/>
      <c r="D53" s="182">
        <f ca="1">ROUND(D45*'数据-取费表'!B41/(1+'数据-取费表'!C42),0)</f>
        <v>2132</v>
      </c>
      <c r="E53" s="11" t="s">
        <v>2212</v>
      </c>
      <c r="F53" s="184">
        <f>'数据-取费表'!B41</f>
        <v>5.5000000000000007E-2</v>
      </c>
      <c r="G53" s="2484"/>
      <c r="H53" s="138"/>
      <c r="I53" s="2482"/>
      <c r="J53" s="2953">
        <v>2</v>
      </c>
      <c r="K53" s="3154" t="s">
        <v>2216</v>
      </c>
      <c r="L53" s="3154"/>
      <c r="M53" s="1749">
        <f t="shared" ref="M53:O54" ca="1" si="0">D55</f>
        <v>20</v>
      </c>
      <c r="N53" s="2953" t="str">
        <f t="shared" si="0"/>
        <v>销售额×税（费）率</v>
      </c>
      <c r="O53" s="1750">
        <f t="shared" si="0"/>
        <v>5.0000000000000001E-4</v>
      </c>
    </row>
    <row r="54" spans="1:35" ht="12" customHeight="1">
      <c r="A54" s="183" t="s">
        <v>2217</v>
      </c>
      <c r="B54" s="3180" t="s">
        <v>2218</v>
      </c>
      <c r="C54" s="3181"/>
      <c r="D54" s="182">
        <f ca="1">C68</f>
        <v>2132</v>
      </c>
      <c r="E54" s="30" t="s">
        <v>2219</v>
      </c>
      <c r="F54" s="184">
        <f>'数据-取费表'!B41</f>
        <v>5.5000000000000007E-2</v>
      </c>
      <c r="G54" s="2484"/>
      <c r="H54" s="2485"/>
      <c r="I54" s="2482"/>
      <c r="J54" s="2953">
        <v>3</v>
      </c>
      <c r="K54" s="3154" t="s">
        <v>2220</v>
      </c>
      <c r="L54" s="3154"/>
      <c r="M54" s="1749">
        <f t="shared" ca="1" si="0"/>
        <v>23074</v>
      </c>
      <c r="N54" s="2953" t="str">
        <f t="shared" si="0"/>
        <v>增值额×税（费）率</v>
      </c>
      <c r="O54" s="1751" t="str">
        <f t="shared" si="0"/>
        <v>——</v>
      </c>
    </row>
    <row r="55" spans="1:35" ht="24" customHeight="1">
      <c r="A55" s="3218" t="s">
        <v>2221</v>
      </c>
      <c r="B55" s="3200"/>
      <c r="C55" s="3200"/>
      <c r="D55" s="185">
        <f ca="1">IF(H55="个人住宅",0,ROUND(D45*I55,0))</f>
        <v>20</v>
      </c>
      <c r="E55" s="11" t="s">
        <v>2222</v>
      </c>
      <c r="F55" s="184">
        <f>IF(H55="正常",I55,"免征")</f>
        <v>5.0000000000000001E-4</v>
      </c>
      <c r="G55" s="2484"/>
      <c r="H55" s="2481" t="s">
        <v>2223</v>
      </c>
      <c r="I55" s="186">
        <f>'数据-取费表'!B49</f>
        <v>5.0000000000000001E-4</v>
      </c>
      <c r="J55" s="2953" t="str">
        <f>IF(H59="非个人房产","",4)</f>
        <v/>
      </c>
      <c r="K55" s="3154" t="str">
        <f>IF(H59="非个人房产","——","个人所得税")</f>
        <v>——</v>
      </c>
      <c r="L55" s="3154"/>
      <c r="M55" s="1752" t="str">
        <f>D59</f>
        <v>——</v>
      </c>
      <c r="N55" s="2954" t="str">
        <f>E59</f>
        <v>——</v>
      </c>
      <c r="O55" s="1753" t="str">
        <f>F59</f>
        <v>——</v>
      </c>
    </row>
    <row r="56" spans="1:35" ht="24.75">
      <c r="A56" s="3218" t="s">
        <v>2224</v>
      </c>
      <c r="B56" s="3200"/>
      <c r="C56" s="3200"/>
      <c r="D56" s="185">
        <f ca="1">IF(H56="个人住宅",D57,D58)</f>
        <v>23074</v>
      </c>
      <c r="E56" s="11" t="s">
        <v>2225</v>
      </c>
      <c r="F56" s="184" t="str">
        <f>IF(H56="正常",F58,"免征")</f>
        <v>——</v>
      </c>
      <c r="G56" s="2486" t="s">
        <v>2226</v>
      </c>
      <c r="H56" s="2487" t="s">
        <v>2223</v>
      </c>
      <c r="I56" s="2488"/>
      <c r="J56" s="2953" t="str">
        <f>IF(项目基本情况!K6="上海银行",IF(J55="",4,J55+1),"")</f>
        <v/>
      </c>
      <c r="K56" s="3137" t="str">
        <f>IF(项目基本情况!K6="上海银行","其他处置费用","")</f>
        <v/>
      </c>
      <c r="L56" s="3138"/>
      <c r="M56" s="1749" t="str">
        <f>IF(项目基本情况!K6="上海银行",M69,"")</f>
        <v/>
      </c>
      <c r="N56" s="3140" t="str">
        <f>IF(项目基本情况!K6="上海银行","包含处置中涉及的律师、诉讼、拍卖、评估等费用","")</f>
        <v/>
      </c>
      <c r="O56" s="3141"/>
    </row>
    <row r="57" spans="1:35" ht="12.75">
      <c r="A57" s="183" t="s">
        <v>2199</v>
      </c>
      <c r="B57" s="3185" t="s">
        <v>2227</v>
      </c>
      <c r="C57" s="3186"/>
      <c r="D57" s="187">
        <v>0</v>
      </c>
      <c r="E57" s="23" t="s">
        <v>2201</v>
      </c>
      <c r="F57" s="155"/>
      <c r="G57" s="2484"/>
      <c r="H57" s="2488"/>
      <c r="I57" s="2488"/>
      <c r="J57" s="3154">
        <f>IF(AND(J55="",J56=""),4,IF(项目基本情况!K6="上海银行",'结果表-商业'!J56+1,'结果表-商业'!J55+1))</f>
        <v>4</v>
      </c>
      <c r="K57" s="3154" t="s">
        <v>2228</v>
      </c>
      <c r="L57" s="2489" t="s">
        <v>2229</v>
      </c>
      <c r="M57" s="1754"/>
      <c r="N57" s="1755">
        <f ca="1">SUMIF(M52:M56,"&lt;9e307")</f>
        <v>23094</v>
      </c>
      <c r="O57" s="2490"/>
      <c r="P57" s="1748" t="e">
        <f ca="1">N57/M49</f>
        <v>#VALUE!</v>
      </c>
    </row>
    <row r="58" spans="1:35" ht="24.75">
      <c r="A58" s="183" t="s">
        <v>2210</v>
      </c>
      <c r="B58" s="3185" t="s">
        <v>2230</v>
      </c>
      <c r="C58" s="3198"/>
      <c r="D58" s="185">
        <f ca="1">IF(H58="转让取得",C81,C97)</f>
        <v>23074</v>
      </c>
      <c r="E58" s="11" t="s">
        <v>2225</v>
      </c>
      <c r="F58" s="24" t="s">
        <v>34</v>
      </c>
      <c r="G58" s="2484"/>
      <c r="H58" s="2487" t="s">
        <v>2231</v>
      </c>
      <c r="I58" s="2488"/>
      <c r="J58" s="3154"/>
      <c r="K58" s="3154"/>
      <c r="L58" s="2489" t="s">
        <v>2232</v>
      </c>
      <c r="M58" s="1756"/>
      <c r="N58" s="2491" t="str">
        <f ca="1">NUMBERSTRING(INT(N57*10000),2)&amp;"元整"</f>
        <v>贰亿叁仟零玖拾肆万元整</v>
      </c>
      <c r="O58" s="2492"/>
    </row>
    <row r="59" spans="1:35" ht="24.75" thickBot="1">
      <c r="A59" s="3158" t="s">
        <v>2233</v>
      </c>
      <c r="B59" s="3159"/>
      <c r="C59" s="3159"/>
      <c r="D59" s="188" t="str">
        <f>IF(H59="非个人房产","——",IF(H59="个人住宅",0,ROUND(D45*I59,0)))</f>
        <v>——</v>
      </c>
      <c r="E59" s="189" t="str">
        <f>IF(H59="非个人房产","——","销售额×税（费）率")</f>
        <v>——</v>
      </c>
      <c r="F59" s="190" t="str">
        <f>IF(H59="非个人房产","——",IF(H59="个人住宅","免征",I59))</f>
        <v>——</v>
      </c>
      <c r="G59" s="2493" t="s">
        <v>2226</v>
      </c>
      <c r="H59" s="2487" t="s">
        <v>2234</v>
      </c>
      <c r="I59" s="191">
        <v>0.01</v>
      </c>
      <c r="J59" s="3156">
        <f>J57+1</f>
        <v>5</v>
      </c>
      <c r="K59" s="3154" t="s">
        <v>2235</v>
      </c>
      <c r="L59" s="2953" t="s">
        <v>2229</v>
      </c>
      <c r="M59" s="1757"/>
      <c r="N59" s="1758" t="e">
        <f ca="1">M49-N57</f>
        <v>#VALUE!</v>
      </c>
      <c r="O59" s="2494"/>
    </row>
    <row r="60" spans="1:35" ht="12" customHeight="1">
      <c r="A60" s="2495"/>
      <c r="B60" s="2417"/>
      <c r="C60" s="2417"/>
      <c r="D60" s="2417"/>
      <c r="E60" s="2165"/>
      <c r="F60" s="2488"/>
      <c r="G60" s="2488"/>
      <c r="H60" s="2496"/>
      <c r="I60" s="138"/>
      <c r="J60" s="3157"/>
      <c r="K60" s="3154"/>
      <c r="L60" s="2489" t="s">
        <v>2232</v>
      </c>
      <c r="M60" s="1756"/>
      <c r="N60" s="2491" t="e">
        <f ca="1">NUMBERSTRING(INT(N59*10000),2)&amp;"元整"</f>
        <v>#VALUE!</v>
      </c>
      <c r="O60" s="2492"/>
    </row>
    <row r="61" spans="1:35" ht="13.5" thickBot="1">
      <c r="A61" s="3217" t="s">
        <v>2236</v>
      </c>
      <c r="B61" s="3217"/>
      <c r="C61" s="3217"/>
      <c r="D61" s="3217"/>
      <c r="E61" s="3217"/>
      <c r="F61" s="2488"/>
      <c r="G61" s="2488"/>
      <c r="H61" s="2496"/>
      <c r="I61" s="138"/>
      <c r="J61" s="2953">
        <f>J59+1</f>
        <v>6</v>
      </c>
      <c r="K61" s="3154" t="s">
        <v>2237</v>
      </c>
      <c r="L61" s="3154"/>
      <c r="M61" s="1759"/>
      <c r="N61" s="1760" t="e">
        <f ca="1">ROUND(N59*10000/'数据-汇总表'!E3,0)</f>
        <v>#VALUE!</v>
      </c>
      <c r="O61" s="2497"/>
    </row>
    <row r="62" spans="1:35" ht="12.75">
      <c r="A62" s="3174" t="s">
        <v>2238</v>
      </c>
      <c r="B62" s="3175"/>
      <c r="C62" s="2958"/>
      <c r="D62" s="2958" t="s">
        <v>2239</v>
      </c>
      <c r="E62" s="192" t="s">
        <v>2240</v>
      </c>
      <c r="F62" s="2488"/>
      <c r="G62" s="2488"/>
      <c r="H62" s="2496"/>
      <c r="I62" s="138"/>
    </row>
    <row r="63" spans="1:35" ht="12.75">
      <c r="A63" s="203" t="s">
        <v>775</v>
      </c>
      <c r="B63" s="193" t="s">
        <v>2241</v>
      </c>
      <c r="C63" s="194">
        <f ca="1">ROUND((C64+C65)/(1+'数据-取费表'!C42),0)</f>
        <v>38763</v>
      </c>
      <c r="D63" s="195"/>
      <c r="E63" s="196"/>
      <c r="F63" s="2488"/>
      <c r="G63" s="2488"/>
      <c r="H63" s="2496"/>
      <c r="I63" s="138"/>
      <c r="J63" s="3139" t="s">
        <v>2242</v>
      </c>
      <c r="K63" s="2949" t="s">
        <v>2243</v>
      </c>
      <c r="L63" s="1747" t="e">
        <f>IF(M49&gt;10000,M49*0.5%,IF(AND(M49&gt;1000,M49&lt;=10000),M49*1%,IF(AND(M49&gt;100,M49&lt;=1000),M49*3%,IF(AND(M49&gt;10,M49&lt;=100),M49*5%,M49*8%))))</f>
        <v>#VALUE!</v>
      </c>
      <c r="M63" s="24" t="e">
        <f>ROUND(L63,1)</f>
        <v>#VALUE!</v>
      </c>
      <c r="Z63" s="2422"/>
      <c r="AI63" s="2423"/>
    </row>
    <row r="64" spans="1:35" ht="14.25" customHeight="1">
      <c r="A64" s="197" t="s">
        <v>770</v>
      </c>
      <c r="B64" s="198" t="s">
        <v>2244</v>
      </c>
      <c r="C64" s="199">
        <f ca="1">D45</f>
        <v>40701</v>
      </c>
      <c r="D64" s="200" t="s">
        <v>32</v>
      </c>
      <c r="E64" s="201"/>
      <c r="F64" s="2488"/>
      <c r="G64" s="2488"/>
      <c r="H64" s="2496"/>
      <c r="I64" s="138"/>
      <c r="J64" s="3139"/>
      <c r="K64" s="2949" t="s">
        <v>2245</v>
      </c>
      <c r="L64" s="1747"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2"/>
      <c r="AI64" s="2423"/>
    </row>
    <row r="65" spans="1:35" ht="14.25" customHeight="1">
      <c r="A65" s="197" t="s">
        <v>771</v>
      </c>
      <c r="B65" s="198" t="s">
        <v>2247</v>
      </c>
      <c r="C65" s="202"/>
      <c r="D65" s="200"/>
      <c r="E65" s="201"/>
      <c r="F65" s="2488"/>
      <c r="G65" s="2488"/>
      <c r="H65" s="2496"/>
      <c r="I65" s="138"/>
      <c r="J65" s="3139"/>
      <c r="K65" s="2949" t="s">
        <v>2248</v>
      </c>
      <c r="L65" s="1747" t="e">
        <f>IF(M49&gt;1000,M49*0.1%,IF(AND(M49&gt;500,M49&lt;=1000),M49*0.5%,IF(AND(M49&gt;50,M49&lt;=500),M49*1%,IF(AND(M49&gt;1,M49&lt;=50),M49*1.5%))))</f>
        <v>#VALUE!</v>
      </c>
      <c r="M65" s="24" t="e">
        <f t="shared" si="1"/>
        <v>#VALUE!</v>
      </c>
      <c r="N65" s="138" t="s">
        <v>2246</v>
      </c>
      <c r="Z65" s="2422"/>
      <c r="AI65" s="2423"/>
    </row>
    <row r="66" spans="1:35" ht="14.25" customHeight="1">
      <c r="A66" s="203" t="s">
        <v>772</v>
      </c>
      <c r="B66" s="204" t="s">
        <v>2249</v>
      </c>
      <c r="C66" s="205"/>
      <c r="D66" s="206" t="s">
        <v>32</v>
      </c>
      <c r="E66" s="1771" t="s">
        <v>1367</v>
      </c>
      <c r="F66" s="2488"/>
      <c r="G66" s="2488"/>
      <c r="H66" s="2496"/>
      <c r="I66" s="138"/>
      <c r="J66" s="3139"/>
      <c r="K66" s="2949" t="s">
        <v>2250</v>
      </c>
      <c r="L66" s="1747" t="e">
        <f>M49*0.5%</f>
        <v>#VALUE!</v>
      </c>
      <c r="M66" s="24" t="e">
        <f>IF(L66&gt;0.5,0.5,ROUND(L66,0))</f>
        <v>#VALUE!</v>
      </c>
      <c r="N66" s="138" t="s">
        <v>2251</v>
      </c>
      <c r="Z66" s="2422"/>
      <c r="AI66" s="2423"/>
    </row>
    <row r="67" spans="1:35" ht="14.25" customHeight="1">
      <c r="A67" s="203" t="s">
        <v>773</v>
      </c>
      <c r="B67" s="204" t="s">
        <v>2252</v>
      </c>
      <c r="C67" s="207">
        <f ca="1">C63-C66</f>
        <v>38763</v>
      </c>
      <c r="D67" s="200" t="s">
        <v>32</v>
      </c>
      <c r="E67" s="201"/>
      <c r="F67" s="2488"/>
      <c r="G67" s="2488"/>
      <c r="H67" s="2496"/>
      <c r="I67" s="138"/>
      <c r="J67" s="3139"/>
      <c r="K67" s="2949" t="s">
        <v>2253</v>
      </c>
      <c r="L67" s="1747"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2254</v>
      </c>
      <c r="C68" s="210">
        <f ca="1">IF(C67&lt;=0,0,ROUND(C67*D68,0))</f>
        <v>2132</v>
      </c>
      <c r="D68" s="211">
        <f>'数据-取费表'!B41</f>
        <v>5.5000000000000007E-2</v>
      </c>
      <c r="E68" s="212"/>
      <c r="F68" s="2488"/>
      <c r="G68" s="2488"/>
      <c r="H68" s="2496"/>
      <c r="I68" s="138"/>
      <c r="J68" s="3139"/>
      <c r="K68" s="2949" t="s">
        <v>2255</v>
      </c>
      <c r="L68" s="1747"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5"/>
      <c r="G69" s="2165"/>
      <c r="H69" s="2164"/>
      <c r="I69" s="2417"/>
      <c r="J69" s="3139"/>
      <c r="K69" s="2949" t="s">
        <v>2256</v>
      </c>
      <c r="L69" s="2504"/>
      <c r="M69" s="24" t="e">
        <f>ROUND(SUM(M63:M68),0)</f>
        <v>#VALUE!</v>
      </c>
      <c r="N69" s="1748" t="e">
        <f>M69/M49</f>
        <v>#VALUE!</v>
      </c>
      <c r="O69" s="793"/>
      <c r="P69" s="793"/>
      <c r="Q69" s="793"/>
      <c r="R69" s="793"/>
      <c r="S69" s="793"/>
      <c r="T69" s="793"/>
      <c r="U69" s="793"/>
      <c r="V69" s="793"/>
      <c r="W69" s="793"/>
      <c r="X69" s="793"/>
      <c r="Y69" s="793"/>
      <c r="Z69" s="2422"/>
      <c r="AA69" s="2422"/>
      <c r="AB69" s="2422"/>
      <c r="AC69" s="2422"/>
      <c r="AD69" s="2422"/>
      <c r="AE69" s="2422"/>
      <c r="AF69" s="2422"/>
      <c r="AG69" s="2422"/>
      <c r="AH69" s="2422"/>
    </row>
    <row r="70" spans="1:35" s="2506" customFormat="1" ht="15" thickBot="1">
      <c r="A70" s="3183" t="s">
        <v>2257</v>
      </c>
      <c r="B70" s="3184"/>
      <c r="C70" s="3184"/>
      <c r="D70" s="3184"/>
      <c r="E70" s="3184"/>
      <c r="F70" s="3184"/>
      <c r="G70" s="3184"/>
      <c r="H70" s="3184"/>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74" t="s">
        <v>2238</v>
      </c>
      <c r="B71" s="3175"/>
      <c r="C71" s="2958"/>
      <c r="D71" s="2958"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2258</v>
      </c>
      <c r="C72" s="207">
        <f ca="1">ROUND(D45/(1+'数据-取费表'!C42),0)</f>
        <v>38763</v>
      </c>
      <c r="D72" s="200" t="s">
        <v>32</v>
      </c>
      <c r="E72" s="2960"/>
      <c r="F72" s="2959"/>
      <c r="G72" s="2959"/>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2259</v>
      </c>
      <c r="C73" s="207">
        <f ca="1">C74+C78</f>
        <v>194</v>
      </c>
      <c r="D73" s="200" t="s">
        <v>32</v>
      </c>
      <c r="E73" s="2960"/>
      <c r="F73" s="2959"/>
      <c r="G73" s="2959"/>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2960"/>
      <c r="F74" s="2959"/>
      <c r="G74" s="2959"/>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2261</v>
      </c>
      <c r="C75" s="218"/>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180" t="s">
        <v>2266</v>
      </c>
      <c r="F76" s="3179"/>
      <c r="G76" s="3179"/>
      <c r="H76" s="3182"/>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3.0499999999999999E-2</v>
      </c>
      <c r="E77" s="2950" t="s">
        <v>2268</v>
      </c>
      <c r="F77" s="224"/>
      <c r="G77" s="2512" t="s">
        <v>2269</v>
      </c>
      <c r="H77" s="2961"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194</v>
      </c>
      <c r="D78" s="226">
        <f>'数据-取费表'!B43</f>
        <v>5.000000000000001E-3</v>
      </c>
      <c r="E78" s="3171" t="s">
        <v>2271</v>
      </c>
      <c r="F78" s="3172"/>
      <c r="G78" s="3172"/>
      <c r="H78" s="3173"/>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2272</v>
      </c>
      <c r="C79" s="207">
        <f ca="1">C72-C73</f>
        <v>38569</v>
      </c>
      <c r="D79" s="200" t="s">
        <v>32</v>
      </c>
      <c r="E79" s="2960"/>
      <c r="F79" s="2959"/>
      <c r="G79" s="2959"/>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f ca="1">IF(C79&lt;=0,0,C79/C73)</f>
        <v>198.80927835051546</v>
      </c>
      <c r="D80" s="200" t="s">
        <v>32</v>
      </c>
      <c r="E80" s="2950" t="str">
        <f ca="1">IF(C80&gt;=200%,"增值额超过扣除项目金额200%",IF(C80&gt;=100%,"增值额超过扣除项目金额100%，未超过200%",IF(C80&gt;=50%,"增值额超过扣除项目金额50%，未超过100%",IF(C80&lt;50%,"增值额未超过扣除项目金额50%"))))</f>
        <v>增值额超过扣除项目金额200%</v>
      </c>
      <c r="F80" s="2959"/>
      <c r="G80" s="2959"/>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2274</v>
      </c>
      <c r="C81" s="228">
        <f ca="1">ROUND(IF(C79&lt;=0,0,IF(C80&gt;=200%,C79*60%-C73*35%,IF(C80&gt;=100%,C79*50%-C73*15%,IF(C80&gt;=50%,C79*40%-C73*5%,IF(C80&lt;50%,C79*30%,0))))),0)</f>
        <v>23074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1"/>
      <c r="B82" s="732"/>
      <c r="C82" s="7"/>
      <c r="D82" s="7"/>
      <c r="E82" s="732"/>
      <c r="F82" s="732"/>
      <c r="G82" s="732"/>
      <c r="H82" s="733"/>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83" t="s">
        <v>2275</v>
      </c>
      <c r="B83" s="3184"/>
      <c r="C83" s="3184"/>
      <c r="D83" s="3184"/>
      <c r="E83" s="3184"/>
      <c r="F83" s="3184"/>
      <c r="G83" s="3184"/>
      <c r="H83" s="3184"/>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74" t="s">
        <v>2238</v>
      </c>
      <c r="B84" s="3175"/>
      <c r="C84" s="2958"/>
      <c r="D84" s="2958"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2258</v>
      </c>
      <c r="C85" s="207">
        <f ca="1">ROUND(D45/(1+'数据-取费表'!C42),0)</f>
        <v>38763</v>
      </c>
      <c r="D85" s="200" t="s">
        <v>32</v>
      </c>
      <c r="E85" s="2960"/>
      <c r="F85" s="2959"/>
      <c r="G85" s="2959"/>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2259</v>
      </c>
      <c r="C86" s="207">
        <f ca="1">IF(H88="仅含出让金",C87+C90+C91+C92+C93+C94,C87+C91+C92+C93+C94)</f>
        <v>194</v>
      </c>
      <c r="D86" s="235"/>
      <c r="E86" s="2960"/>
      <c r="F86" s="2959"/>
      <c r="G86" s="2959"/>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2276</v>
      </c>
      <c r="C87" s="225">
        <f>C88+C89</f>
        <v>0</v>
      </c>
      <c r="D87" s="226"/>
      <c r="E87" s="2955"/>
      <c r="F87" s="2956"/>
      <c r="G87" s="2956"/>
      <c r="H87" s="2957"/>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2277</v>
      </c>
      <c r="C88" s="236"/>
      <c r="D88" s="226"/>
      <c r="E88" s="237" t="s">
        <v>2278</v>
      </c>
      <c r="F88" s="2956"/>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2267</v>
      </c>
      <c r="C89" s="225">
        <f>ROUND(C88*D89,0)</f>
        <v>0</v>
      </c>
      <c r="D89" s="226">
        <f>'数据-取费表'!B48+'数据-取费表'!B49</f>
        <v>3.0499999999999999E-2</v>
      </c>
      <c r="E89" s="237" t="s">
        <v>2280</v>
      </c>
      <c r="F89" s="2956"/>
      <c r="G89" s="2956"/>
      <c r="H89" s="2957"/>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2281</v>
      </c>
      <c r="C90" s="236"/>
      <c r="D90" s="226"/>
      <c r="E90" s="237" t="str">
        <f>IF(H88="-","土地取得成本中已包含该笔费用"," ")</f>
        <v xml:space="preserve"> </v>
      </c>
      <c r="F90" s="2956"/>
      <c r="G90" s="2956"/>
      <c r="H90" s="2957"/>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171" t="s">
        <v>2284</v>
      </c>
      <c r="F91" s="3172"/>
      <c r="G91" s="3172"/>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171" t="s">
        <v>2288</v>
      </c>
      <c r="F92" s="3172"/>
      <c r="G92" s="3172"/>
      <c r="H92" s="3173"/>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194</v>
      </c>
      <c r="D93" s="226">
        <f>'数据-取费表'!B43</f>
        <v>5.000000000000001E-3</v>
      </c>
      <c r="E93" s="3171" t="s">
        <v>2271</v>
      </c>
      <c r="F93" s="3172"/>
      <c r="G93" s="3172"/>
      <c r="H93" s="3173"/>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219" t="s">
        <v>2292</v>
      </c>
      <c r="F94" s="3220"/>
      <c r="G94" s="3220"/>
      <c r="H94" s="3221"/>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2272</v>
      </c>
      <c r="C95" s="207">
        <f ca="1">ROUND(C85-C86,0)</f>
        <v>38569</v>
      </c>
      <c r="D95" s="200" t="s">
        <v>32</v>
      </c>
      <c r="E95" s="2960"/>
      <c r="F95" s="2959"/>
      <c r="G95" s="2959"/>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f ca="1">IF(C95&lt;=0,0,C95/C86)</f>
        <v>198.80927835051546</v>
      </c>
      <c r="D96" s="200" t="s">
        <v>32</v>
      </c>
      <c r="E96" s="2950" t="str">
        <f ca="1">IF(C96&gt;=200%,"增值额超过扣除项目金额200%",IF(C96&gt;=100%,"增值额超过扣除项目金额100%，未超过200%",IF(C96&gt;=50%,"增值额超过扣除项目金额50%，未超过100%",IF(C96&lt;50%,"增值额未超过扣除项目金额50%"))))</f>
        <v>增值额超过扣除项目金额200%</v>
      </c>
      <c r="F96" s="2959"/>
      <c r="G96" s="2959"/>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2274</v>
      </c>
      <c r="C97" s="228">
        <f ca="1">ROUND(IF(C95&lt;=0,0,IF(C96&gt;=200%,C95*60%-C86*35%,IF(C96&gt;=100%,C95*50%-C86*15%,IF(C96&gt;=50%,C95*40%-C86*5%,IF(C96&lt;50%,C95*30%,0))))),0)</f>
        <v>23074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2293</v>
      </c>
      <c r="B99" s="2417"/>
      <c r="C99" s="2417"/>
      <c r="D99" s="2417"/>
      <c r="E99" s="2165"/>
      <c r="F99" s="2165"/>
      <c r="G99" s="2165"/>
      <c r="H99" s="2164"/>
      <c r="I99" s="138"/>
    </row>
    <row r="100" spans="1:35" ht="18.75" customHeight="1">
      <c r="A100" s="3123" t="s">
        <v>2294</v>
      </c>
      <c r="B100" s="3124"/>
      <c r="C100" s="3124"/>
      <c r="D100" s="3155"/>
      <c r="E100" s="3124" t="s">
        <v>2295</v>
      </c>
      <c r="F100" s="3124"/>
      <c r="G100" s="3124"/>
      <c r="H100" s="3155"/>
      <c r="I100" s="138"/>
    </row>
    <row r="101" spans="1:35" ht="18.75" customHeight="1">
      <c r="A101" s="3163" t="s">
        <v>2296</v>
      </c>
      <c r="B101" s="3164"/>
      <c r="C101" s="734" t="str">
        <f>C4</f>
        <v>典型户型修正</v>
      </c>
      <c r="D101" s="735" t="str">
        <f>D4</f>
        <v>收益法-商业</v>
      </c>
      <c r="E101" s="3135" t="s">
        <v>2297</v>
      </c>
      <c r="F101" s="3136"/>
      <c r="G101" s="2519" t="s">
        <v>2298</v>
      </c>
      <c r="H101" s="1046">
        <f ca="1">H118</f>
        <v>40701</v>
      </c>
      <c r="I101" s="138"/>
    </row>
    <row r="102" spans="1:35" ht="18.75" customHeight="1">
      <c r="A102" s="3165" t="s">
        <v>2299</v>
      </c>
      <c r="B102" s="2519" t="s">
        <v>2298</v>
      </c>
      <c r="C102" s="734">
        <f ca="1">C19</f>
        <v>39513</v>
      </c>
      <c r="D102" s="735">
        <f ca="1">D19</f>
        <v>41889</v>
      </c>
      <c r="E102" s="3135"/>
      <c r="F102" s="3136"/>
      <c r="G102" s="2519" t="s">
        <v>2300</v>
      </c>
      <c r="H102" s="371">
        <f ca="1">I118</f>
        <v>21831</v>
      </c>
      <c r="I102" s="138"/>
    </row>
    <row r="103" spans="1:35" ht="42.75" customHeight="1">
      <c r="A103" s="3165"/>
      <c r="B103" s="2519" t="s">
        <v>2300</v>
      </c>
      <c r="C103" s="736">
        <f ca="1">C20</f>
        <v>21194</v>
      </c>
      <c r="D103" s="737">
        <f ca="1">D20</f>
        <v>22469</v>
      </c>
      <c r="E103" s="3129" t="s">
        <v>2301</v>
      </c>
      <c r="F103" s="3130"/>
      <c r="G103" s="2520" t="s">
        <v>2302</v>
      </c>
      <c r="H103" s="1046">
        <f>IF(D36="正常操作",H104+H105+H106,H105+H106)</f>
        <v>0</v>
      </c>
      <c r="I103" s="138"/>
    </row>
    <row r="104" spans="1:35" ht="18.75" customHeight="1">
      <c r="A104" s="3165" t="s">
        <v>2303</v>
      </c>
      <c r="B104" s="2521" t="s">
        <v>2298</v>
      </c>
      <c r="C104" s="738">
        <f ca="1">H118</f>
        <v>40701</v>
      </c>
      <c r="D104" s="739"/>
      <c r="E104" s="2265" t="s">
        <v>2304</v>
      </c>
      <c r="F104" s="2257"/>
      <c r="G104" s="2520" t="s">
        <v>2302</v>
      </c>
      <c r="H104" s="1047">
        <f>IF(D36="同一抵押权人同一抵押物续贷",C36&amp;"（未扣减，详见特别提示）",C36)</f>
        <v>0</v>
      </c>
      <c r="I104" s="138"/>
    </row>
    <row r="105" spans="1:35" ht="18.75" customHeight="1" thickBot="1">
      <c r="A105" s="3177"/>
      <c r="B105" s="2522" t="s">
        <v>2300</v>
      </c>
      <c r="C105" s="740">
        <f ca="1">I118</f>
        <v>21831</v>
      </c>
      <c r="D105" s="741"/>
      <c r="E105" s="2265" t="s">
        <v>2305</v>
      </c>
      <c r="F105" s="2257"/>
      <c r="G105" s="2520" t="s">
        <v>2302</v>
      </c>
      <c r="H105" s="1047">
        <f>C37</f>
        <v>0</v>
      </c>
      <c r="I105" s="138"/>
    </row>
    <row r="106" spans="1:35" ht="18.75" customHeight="1">
      <c r="A106" s="2417" t="s">
        <v>2306</v>
      </c>
      <c r="B106" s="2417"/>
      <c r="C106" s="2417"/>
      <c r="D106" s="2417"/>
      <c r="E106" s="2523" t="s">
        <v>2307</v>
      </c>
      <c r="F106" s="2257"/>
      <c r="G106" s="2520" t="s">
        <v>2302</v>
      </c>
      <c r="H106" s="1047">
        <f>C38</f>
        <v>0</v>
      </c>
      <c r="I106" s="138"/>
    </row>
    <row r="107" spans="1:35" ht="18.75" customHeight="1">
      <c r="A107" s="138"/>
      <c r="B107" s="138"/>
      <c r="C107" s="138"/>
      <c r="D107" s="138"/>
      <c r="E107" s="3166" t="str">
        <f>IF(项目基本情况!E8="已注销","——","3.房地产抵押价值")</f>
        <v>3.房地产抵押价值</v>
      </c>
      <c r="F107" s="3136"/>
      <c r="G107" s="2519" t="s">
        <v>2298</v>
      </c>
      <c r="H107" s="1046">
        <f ca="1">IF(E107="——","——",H101-H103)</f>
        <v>40701</v>
      </c>
      <c r="I107" s="138"/>
    </row>
    <row r="108" spans="1:35" ht="18.75" customHeight="1">
      <c r="A108" s="138"/>
      <c r="B108" s="138"/>
      <c r="C108" s="138"/>
      <c r="D108" s="138"/>
      <c r="E108" s="3166"/>
      <c r="F108" s="3136"/>
      <c r="G108" s="2519" t="s">
        <v>2300</v>
      </c>
      <c r="H108" s="371">
        <f ca="1">ROUND(H107*10000/'数据-汇总表'!E3,0)</f>
        <v>6106</v>
      </c>
      <c r="I108" s="138"/>
    </row>
    <row r="109" spans="1:35" ht="18.75" customHeight="1">
      <c r="A109" s="138"/>
      <c r="B109" s="138"/>
      <c r="C109" s="138"/>
      <c r="D109" s="138"/>
      <c r="E109" s="3166" t="str">
        <f>IF(项目基本情况!E8="已注销及未注销","4.抵押担保权已注销时的房地产抵押价值",IF(项目基本情况!E8="已注销","3.抵押担保权已注销时的房地产抵押价值","——"))</f>
        <v>——</v>
      </c>
      <c r="F109" s="3136"/>
      <c r="G109" s="2519" t="s">
        <v>2298</v>
      </c>
      <c r="H109" s="348" t="str">
        <f>IF(E109="——","——",H101-H105-H106)</f>
        <v>——</v>
      </c>
      <c r="I109" s="138"/>
    </row>
    <row r="110" spans="1:35" ht="18.75" customHeight="1">
      <c r="A110" s="138"/>
      <c r="B110" s="138"/>
      <c r="C110" s="138"/>
      <c r="D110" s="138"/>
      <c r="E110" s="3166"/>
      <c r="F110" s="3136"/>
      <c r="G110" s="2519" t="s">
        <v>2300</v>
      </c>
      <c r="H110" s="371" t="str">
        <f>IF(H109="——","——",ROUND(H109*10000/'数据-汇总表'!E3,0))</f>
        <v>——</v>
      </c>
      <c r="I110" s="138"/>
    </row>
    <row r="111" spans="1:35" ht="18.75" customHeight="1">
      <c r="A111" s="138"/>
      <c r="B111" s="138"/>
      <c r="C111" s="138"/>
      <c r="D111" s="138"/>
      <c r="E111" s="3167" t="str">
        <f>IF(项目基本情况!E9="抵押净值",IF(OR(项目基本情况!E8="已注销",项目基本情况!E8="房地产抵押价值"),"4.抵押净值","5.抵押净值"),"——")</f>
        <v>——</v>
      </c>
      <c r="F111" s="3168"/>
      <c r="G111" s="2519" t="s">
        <v>2298</v>
      </c>
      <c r="H111" s="1046" t="str">
        <f>IF(E111="——","——",N59)</f>
        <v>——</v>
      </c>
      <c r="I111" s="138"/>
    </row>
    <row r="112" spans="1:35" ht="18.75" customHeight="1" thickBot="1">
      <c r="A112" s="138"/>
      <c r="B112" s="138"/>
      <c r="C112" s="138"/>
      <c r="D112" s="138"/>
      <c r="E112" s="3169"/>
      <c r="F112" s="3170"/>
      <c r="G112" s="2524" t="s">
        <v>2300</v>
      </c>
      <c r="H112" s="788" t="str">
        <f>IF(E111="——","——",N61)</f>
        <v>——</v>
      </c>
      <c r="I112" s="138"/>
    </row>
    <row r="113" spans="1:11" ht="18.75" customHeight="1">
      <c r="A113" s="138"/>
      <c r="B113" s="138"/>
      <c r="C113" s="138"/>
      <c r="D113" s="138"/>
      <c r="E113" s="3178" t="s">
        <v>2306</v>
      </c>
      <c r="F113" s="3178"/>
      <c r="G113" s="3178"/>
      <c r="H113" s="3178"/>
      <c r="I113" s="138"/>
    </row>
    <row r="114" spans="1:11" ht="3.75" customHeight="1">
      <c r="A114" s="2417"/>
      <c r="B114" s="2417"/>
      <c r="C114" s="2417"/>
      <c r="D114" s="2417"/>
      <c r="E114" s="2495"/>
      <c r="F114" s="2495"/>
      <c r="G114" s="2495"/>
      <c r="H114" s="2495"/>
      <c r="I114" s="2417"/>
    </row>
    <row r="115" spans="1:11" ht="18.75" customHeight="1">
      <c r="A115" s="3191" t="s">
        <v>2308</v>
      </c>
      <c r="B115" s="3192"/>
      <c r="C115" s="3192"/>
      <c r="D115" s="3192"/>
      <c r="E115" s="3192"/>
      <c r="F115" s="3192"/>
      <c r="G115" s="3192"/>
      <c r="H115" s="3192"/>
      <c r="I115" s="3193"/>
    </row>
    <row r="116" spans="1:11" ht="27" customHeight="1">
      <c r="A116" s="3102" t="s">
        <v>2309</v>
      </c>
      <c r="B116" s="3145" t="s">
        <v>2310</v>
      </c>
      <c r="C116" s="3145" t="s">
        <v>2311</v>
      </c>
      <c r="D116" s="3151" t="s">
        <v>2312</v>
      </c>
      <c r="E116" s="3152"/>
      <c r="F116" s="3187" t="s">
        <v>2313</v>
      </c>
      <c r="G116" s="3187"/>
      <c r="H116" s="3102" t="s">
        <v>2314</v>
      </c>
      <c r="I116" s="3102"/>
    </row>
    <row r="117" spans="1:11" ht="18.75" customHeight="1">
      <c r="A117" s="3102"/>
      <c r="B117" s="3146"/>
      <c r="C117" s="3146"/>
      <c r="D117" s="2945" t="s">
        <v>2315</v>
      </c>
      <c r="E117" s="2945" t="s">
        <v>2316</v>
      </c>
      <c r="F117" s="2945" t="s">
        <v>2315</v>
      </c>
      <c r="G117" s="2945" t="s">
        <v>2317</v>
      </c>
      <c r="H117" s="2945" t="s">
        <v>2315</v>
      </c>
      <c r="I117" s="2945" t="s">
        <v>2317</v>
      </c>
    </row>
    <row r="118" spans="1:11" ht="24.75" customHeight="1">
      <c r="A118" s="2525" t="str">
        <f>项目基本情况!S2</f>
        <v>北京市房地产</v>
      </c>
      <c r="B118" s="2945">
        <f>M18</f>
        <v>18643.309999999998</v>
      </c>
      <c r="C118" s="2945">
        <f>M19</f>
        <v>6056.4</v>
      </c>
      <c r="D118" s="2945" t="e">
        <f ca="1">ROUND(IF(D32="总价",C34,E118*B118/10000),0)</f>
        <v>#REF!</v>
      </c>
      <c r="E118" s="2945" t="e">
        <f ca="1">ROUND(IF(C33="自定义",IF(D32="楼面单价",C34,D118*10000/B118),I118-G118),0)</f>
        <v>#REF!</v>
      </c>
      <c r="F118" s="2945" t="e">
        <f ca="1">ROUND(IF(D32="总价",C35,G118*B118/10000),0)</f>
        <v>#REF!</v>
      </c>
      <c r="G118" s="2945" t="e">
        <f ca="1">ROUND(IF(D32="楼面单价",C35,F118*10000/B118),0)</f>
        <v>#REF!</v>
      </c>
      <c r="H118" s="2945">
        <f ca="1">ROUND(IF(D32="总价",C32,I118*B118/10000),0)</f>
        <v>40701</v>
      </c>
      <c r="I118" s="2945">
        <f ca="1">ROUND(IF(D32="楼面单价",C32,H118*10000/B118),0)</f>
        <v>21831</v>
      </c>
    </row>
    <row r="119" spans="1:11" ht="18.75" customHeight="1">
      <c r="A119" s="3102" t="s">
        <v>2318</v>
      </c>
      <c r="B119" s="3102"/>
      <c r="C119" s="3102"/>
      <c r="D119" s="3147" t="e">
        <f ca="1">NUMBERSTRING(INT(D118*10000),2)&amp;"元整"</f>
        <v>#REF!</v>
      </c>
      <c r="E119" s="3148"/>
      <c r="F119" s="3147" t="e">
        <f ca="1">NUMBERSTRING(INT(F118*10000),2)&amp;"元整"</f>
        <v>#REF!</v>
      </c>
      <c r="G119" s="3148"/>
      <c r="H119" s="3147" t="str">
        <f ca="1">NUMBERSTRING(INT(H118*10000),2)&amp;"元整"</f>
        <v>肆亿零柒佰零壹万元整</v>
      </c>
      <c r="I119" s="3148"/>
    </row>
    <row r="120" spans="1:11" ht="18.75" customHeight="1">
      <c r="A120" s="3142" t="str">
        <f>IF(项目基本情况!B9="房地产市场价值","",MID(E103,3,LEN(E103)-2))</f>
        <v/>
      </c>
      <c r="B120" s="3143"/>
      <c r="C120" s="3144"/>
      <c r="D120" s="3142">
        <f>H103</f>
        <v>0</v>
      </c>
      <c r="E120" s="3143"/>
      <c r="F120" s="3143"/>
      <c r="G120" s="3143"/>
      <c r="H120" s="3143"/>
      <c r="I120" s="3144"/>
      <c r="K120" s="2422" t="str">
        <f>IF(D120=0,"故，本次评估不存在"&amp;A120,"故，本次评估"&amp;A120&amp;"为人民币"&amp;D120&amp;"万元整。")</f>
        <v>故，本次评估不存在</v>
      </c>
    </row>
    <row r="121" spans="1:11" ht="18.75" customHeight="1">
      <c r="A121" s="3188" t="s">
        <v>2318</v>
      </c>
      <c r="B121" s="3189"/>
      <c r="C121" s="3190"/>
      <c r="D121" s="3147" t="str">
        <f>IF(D120=0,"零元整",NUMBERSTRING(INT(D120*10000),2)&amp;"元整")</f>
        <v>零元整</v>
      </c>
      <c r="E121" s="3149"/>
      <c r="F121" s="3149"/>
      <c r="G121" s="3149"/>
      <c r="H121" s="3149"/>
      <c r="I121" s="3148"/>
    </row>
    <row r="122" spans="1:11" ht="18.75" customHeight="1">
      <c r="A122" s="3153" t="str">
        <f>IF(项目基本情况!B9="房地产市场价值","",MID(E107,3,LEN(E107)-2))</f>
        <v/>
      </c>
      <c r="B122" s="3153"/>
      <c r="C122" s="3153"/>
      <c r="D122" s="3142">
        <f ca="1">H107</f>
        <v>40701</v>
      </c>
      <c r="E122" s="3143"/>
      <c r="F122" s="3143"/>
      <c r="G122" s="3143"/>
      <c r="H122" s="3143"/>
      <c r="I122" s="3144"/>
    </row>
    <row r="123" spans="1:11" ht="18.75" customHeight="1">
      <c r="A123" s="3102" t="s">
        <v>2318</v>
      </c>
      <c r="B123" s="3102"/>
      <c r="C123" s="3102"/>
      <c r="D123" s="3147" t="str">
        <f ca="1">NUMBERSTRING(INT(D122*10000),2)&amp;"元整"</f>
        <v>肆亿零柒佰零壹万元整</v>
      </c>
      <c r="E123" s="3149"/>
      <c r="F123" s="3149"/>
      <c r="G123" s="3149"/>
      <c r="H123" s="3149"/>
      <c r="I123" s="3148"/>
    </row>
    <row r="124" spans="1:11" ht="18.75" customHeight="1">
      <c r="A124" s="3153" t="str">
        <f>IF(项目基本情况!B9="房地产市场价值","",MID(E109,3,LEN(E109)-2))</f>
        <v/>
      </c>
      <c r="B124" s="3153"/>
      <c r="C124" s="3153"/>
      <c r="D124" s="3142" t="str">
        <f>H109</f>
        <v>——</v>
      </c>
      <c r="E124" s="3143"/>
      <c r="F124" s="3143"/>
      <c r="G124" s="3143"/>
      <c r="H124" s="3143"/>
      <c r="I124" s="3144"/>
    </row>
    <row r="125" spans="1:11" ht="18.75" customHeight="1">
      <c r="A125" s="3102" t="s">
        <v>2318</v>
      </c>
      <c r="B125" s="3102"/>
      <c r="C125" s="3102"/>
      <c r="D125" s="3147" t="e">
        <f>NUMBERSTRING(INT(D124*10000),2)&amp;"元整"</f>
        <v>#VALUE!</v>
      </c>
      <c r="E125" s="3149"/>
      <c r="F125" s="3149"/>
      <c r="G125" s="3149"/>
      <c r="H125" s="3149"/>
      <c r="I125" s="3148"/>
    </row>
    <row r="126" spans="1:11" ht="18.75" customHeight="1">
      <c r="A126" s="3153" t="str">
        <f>IF(项目基本情况!B9="房地产市场价值","",MID(E111,3,LEN(E111)-2))</f>
        <v/>
      </c>
      <c r="B126" s="3153"/>
      <c r="C126" s="3153"/>
      <c r="D126" s="3142" t="str">
        <f>H111</f>
        <v>——</v>
      </c>
      <c r="E126" s="3143"/>
      <c r="F126" s="3143"/>
      <c r="G126" s="3143"/>
      <c r="H126" s="3143"/>
      <c r="I126" s="3144"/>
    </row>
    <row r="127" spans="1:11" ht="18.75" customHeight="1">
      <c r="A127" s="3102" t="s">
        <v>2318</v>
      </c>
      <c r="B127" s="3102"/>
      <c r="C127" s="3102"/>
      <c r="D127" s="3147" t="e">
        <f>NUMBERSTRING(INT(D126*10000),2)&amp;"元整"</f>
        <v>#VALUE!</v>
      </c>
      <c r="E127" s="3149"/>
      <c r="F127" s="3149"/>
      <c r="G127" s="3149"/>
      <c r="H127" s="3149"/>
      <c r="I127" s="3148"/>
    </row>
    <row r="128" spans="1:11" ht="21.75" customHeight="1">
      <c r="A128" s="3150" t="s">
        <v>2319</v>
      </c>
      <c r="B128" s="3150"/>
      <c r="C128" s="3150"/>
      <c r="D128" s="3150"/>
      <c r="E128" s="3150"/>
      <c r="F128" s="3150"/>
      <c r="G128" s="3150"/>
      <c r="H128" s="3150"/>
      <c r="I128" s="3150"/>
    </row>
    <row r="129" spans="1:35" ht="21.75" customHeight="1">
      <c r="A129" s="2526" t="s">
        <v>2320</v>
      </c>
      <c r="B129" s="2527"/>
      <c r="C129" s="2528" t="s">
        <v>2321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3"/>
    </row>
    <row r="135" spans="1:35" ht="21.75" customHeight="1">
      <c r="A135" s="793"/>
      <c r="B135" s="793"/>
      <c r="C135" s="793"/>
      <c r="D135" s="793"/>
      <c r="E135" s="793"/>
      <c r="F135" s="2542" t="s">
        <v>2322</v>
      </c>
      <c r="G135" s="2543"/>
      <c r="H135" s="2543"/>
      <c r="I135" s="2544" t="s">
        <v>2323</v>
      </c>
    </row>
    <row r="136" spans="1:35" ht="21.75" customHeight="1">
      <c r="A136" s="793"/>
      <c r="B136" s="2545" t="s">
        <v>2324</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3"/>
      <c r="C138" s="2543"/>
      <c r="D138" s="2543"/>
      <c r="E138" s="2543"/>
      <c r="F138" s="2543"/>
      <c r="G138" s="2543"/>
      <c r="H138" s="2543"/>
      <c r="I138" s="2544" t="s">
        <v>2325</v>
      </c>
    </row>
    <row r="139" spans="1:35" ht="21.75" customHeight="1">
      <c r="A139" s="793"/>
      <c r="B139" s="2545" t="s">
        <v>2326</v>
      </c>
      <c r="C139" s="793"/>
      <c r="D139" s="793"/>
      <c r="E139" s="793"/>
      <c r="F139" s="793"/>
      <c r="G139" s="793"/>
      <c r="H139" s="793"/>
      <c r="I139" s="793"/>
    </row>
    <row r="140" spans="1:35" ht="21.75" customHeight="1">
      <c r="A140" s="793"/>
      <c r="B140" s="2545"/>
      <c r="C140" s="793"/>
      <c r="D140" s="793"/>
      <c r="E140" s="793"/>
      <c r="F140" s="793"/>
      <c r="G140" s="793"/>
      <c r="H140" s="793"/>
      <c r="I140" s="793"/>
    </row>
    <row r="141" spans="1:35" ht="21.75" customHeight="1">
      <c r="A141" s="793"/>
      <c r="B141" s="2543"/>
      <c r="C141" s="2543"/>
      <c r="D141" s="2543"/>
      <c r="E141" s="2543"/>
      <c r="F141" s="2543"/>
      <c r="G141" s="2543"/>
      <c r="H141" s="2543"/>
      <c r="I141" s="2544" t="s">
        <v>2325</v>
      </c>
    </row>
    <row r="142" spans="1:35" ht="21.75" customHeight="1">
      <c r="A142" s="793"/>
      <c r="B142" s="2545"/>
      <c r="C142" s="2546"/>
      <c r="D142" s="2547"/>
      <c r="E142" s="2547"/>
      <c r="F142" s="2339"/>
      <c r="G142" s="793"/>
      <c r="H142" s="793"/>
      <c r="I142" s="793"/>
    </row>
    <row r="143" spans="1:35" s="139" customFormat="1" ht="21.75" customHeight="1">
      <c r="A143" s="793"/>
      <c r="B143" s="2545"/>
      <c r="C143" s="2546"/>
      <c r="D143" s="2547"/>
      <c r="E143" s="2547"/>
      <c r="F143" s="233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78" priority="10" stopIfTrue="1" operator="equal">
      <formula>25</formula>
    </cfRule>
  </conditionalFormatting>
  <conditionalFormatting sqref="C8:C9">
    <cfRule type="cellIs" dxfId="177" priority="9" stopIfTrue="1" operator="equal">
      <formula>15</formula>
    </cfRule>
  </conditionalFormatting>
  <conditionalFormatting sqref="C14:C16">
    <cfRule type="cellIs" dxfId="176" priority="8" stopIfTrue="1" operator="equal">
      <formula>30</formula>
    </cfRule>
  </conditionalFormatting>
  <conditionalFormatting sqref="D5:D7">
    <cfRule type="cellIs" dxfId="175" priority="7" stopIfTrue="1" operator="equal">
      <formula>25</formula>
    </cfRule>
  </conditionalFormatting>
  <conditionalFormatting sqref="D8:D9">
    <cfRule type="cellIs" dxfId="174" priority="6" stopIfTrue="1" operator="equal">
      <formula>15</formula>
    </cfRule>
  </conditionalFormatting>
  <conditionalFormatting sqref="C10:D13">
    <cfRule type="cellIs" dxfId="173" priority="5" stopIfTrue="1" operator="equal">
      <formula>15</formula>
    </cfRule>
  </conditionalFormatting>
  <conditionalFormatting sqref="D14:D16">
    <cfRule type="cellIs" dxfId="172" priority="4"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88" zoomScaleNormal="100" zoomScaleSheetLayoutView="100" zoomScalePageLayoutView="80" workbookViewId="0">
      <selection activeCell="D125" sqref="D125:I125"/>
    </sheetView>
  </sheetViews>
  <sheetFormatPr defaultColWidth="12.625" defaultRowHeight="21.75" customHeight="1"/>
  <cols>
    <col min="1" max="2" width="12.625" style="2423"/>
    <col min="3" max="4" width="12.625" style="2423" customWidth="1"/>
    <col min="5" max="9" width="12.625" style="2423"/>
    <col min="10" max="11" width="12.625" style="793" customWidth="1"/>
    <col min="12" max="12" width="12.625" style="793"/>
    <col min="13" max="13" width="14.125" style="793" bestFit="1" customWidth="1"/>
    <col min="14" max="26" width="12.625" style="793"/>
    <col min="27" max="35" width="12.625" style="2422"/>
    <col min="36" max="16384" width="12.625" style="2423"/>
  </cols>
  <sheetData>
    <row r="1" spans="1:12" ht="21.75" customHeight="1" thickBot="1">
      <c r="A1" s="2224" t="s">
        <v>2118</v>
      </c>
      <c r="B1" s="2417"/>
      <c r="C1" s="2418" t="s">
        <v>3307</v>
      </c>
      <c r="D1" s="2417"/>
      <c r="E1" s="2417"/>
      <c r="F1" s="2419" t="s">
        <v>2119</v>
      </c>
      <c r="G1" s="2069" t="s">
        <v>3124</v>
      </c>
      <c r="H1" s="2420" t="str">
        <f>IF(G1="现房","——","估价对象范围")</f>
        <v>——</v>
      </c>
      <c r="I1" s="2421"/>
    </row>
    <row r="2" spans="1:12" ht="21.75" customHeight="1" thickBot="1">
      <c r="A2" s="3201" t="str">
        <f>项目基本情况!S2</f>
        <v>北京市房地产</v>
      </c>
      <c r="B2" s="3202"/>
      <c r="C2" s="3202"/>
      <c r="D2" s="3202"/>
      <c r="E2" s="3202"/>
      <c r="F2" s="3202"/>
      <c r="G2" s="3202"/>
      <c r="H2" s="3202"/>
      <c r="I2" s="3203"/>
    </row>
    <row r="3" spans="1:12" ht="12.75">
      <c r="A3" s="3204" t="s">
        <v>2120</v>
      </c>
      <c r="B3" s="3205"/>
      <c r="C3" s="3205"/>
      <c r="D3" s="3205"/>
      <c r="E3" s="3205"/>
      <c r="F3" s="3205"/>
      <c r="G3" s="3205"/>
      <c r="H3" s="3205"/>
      <c r="I3" s="3205"/>
    </row>
    <row r="4" spans="1:12" ht="14.25">
      <c r="A4" s="2424" t="s">
        <v>2121</v>
      </c>
      <c r="B4" s="2425" t="s">
        <v>2122</v>
      </c>
      <c r="C4" s="2426" t="s">
        <v>3316</v>
      </c>
      <c r="D4" s="2426" t="s">
        <v>3311</v>
      </c>
      <c r="E4" s="3185" t="s">
        <v>2123</v>
      </c>
      <c r="F4" s="3198"/>
      <c r="G4" s="3198"/>
      <c r="H4" s="3198"/>
      <c r="I4" s="3186"/>
      <c r="K4" s="2427" t="str">
        <f>IF(ISNUMBER(FIND("比较法",'结果表-公寓'!C4)),"比较法",IF(ISNUMBER(FIND("成本法",'结果表-公寓'!C4)),"成本法",IF(ISNUMBER(FIND("假设开发法",'结果表-公寓'!C4)),"假设开发法",IF(ISNUMBER(FIND("收益法",'结果表-公寓'!C4)),"收益法","基准地价系数修正法"))))</f>
        <v>比较法</v>
      </c>
      <c r="L4" s="2427" t="str">
        <f>IF(ISNUMBER(FIND("比较法",'结果表-公寓'!D4)),"比较法",IF(ISNUMBER(FIND("成本法",'结果表-公寓'!D4)),"成本法",IF(ISNUMBER(FIND("假设开发法",'结果表-公寓'!D4)),"假设开发法",IF(ISNUMBER(FIND("收益法",'结果表-公寓'!D4)),"收益法","基准地价系数修正法"))))</f>
        <v>收益法</v>
      </c>
    </row>
    <row r="5" spans="1:12" ht="12.75">
      <c r="A5" s="3176" t="s">
        <v>2124</v>
      </c>
      <c r="B5" s="3102">
        <v>25</v>
      </c>
      <c r="C5" s="3206"/>
      <c r="D5" s="3194"/>
      <c r="E5" s="140" t="s">
        <v>2125</v>
      </c>
      <c r="F5" s="2428"/>
      <c r="G5" s="2428"/>
      <c r="H5" s="2428"/>
      <c r="I5" s="1829"/>
    </row>
    <row r="6" spans="1:12" ht="12.75">
      <c r="A6" s="3176"/>
      <c r="B6" s="3102"/>
      <c r="C6" s="3208"/>
      <c r="D6" s="3194"/>
      <c r="E6" s="140" t="s">
        <v>2126</v>
      </c>
      <c r="F6" s="2428"/>
      <c r="G6" s="2428"/>
      <c r="H6" s="2428"/>
      <c r="I6" s="1829"/>
    </row>
    <row r="7" spans="1:12" ht="12.75">
      <c r="A7" s="3176"/>
      <c r="B7" s="3102"/>
      <c r="C7" s="3207"/>
      <c r="D7" s="3194"/>
      <c r="E7" s="140" t="s">
        <v>2127</v>
      </c>
      <c r="F7" s="2428"/>
      <c r="G7" s="2428"/>
      <c r="H7" s="2428"/>
      <c r="I7" s="1829"/>
    </row>
    <row r="8" spans="1:12" ht="12.75">
      <c r="A8" s="3176" t="s">
        <v>2128</v>
      </c>
      <c r="B8" s="3102">
        <v>15</v>
      </c>
      <c r="C8" s="3206"/>
      <c r="D8" s="3194"/>
      <c r="E8" s="140" t="s">
        <v>2129</v>
      </c>
      <c r="F8" s="2428"/>
      <c r="G8" s="2428"/>
      <c r="H8" s="2428"/>
      <c r="I8" s="1829"/>
    </row>
    <row r="9" spans="1:12" ht="12.75">
      <c r="A9" s="3176"/>
      <c r="B9" s="3102"/>
      <c r="C9" s="3207"/>
      <c r="D9" s="3194"/>
      <c r="E9" s="140" t="s">
        <v>2130</v>
      </c>
      <c r="F9" s="2428"/>
      <c r="G9" s="2428"/>
      <c r="H9" s="2428"/>
      <c r="I9" s="1829"/>
    </row>
    <row r="10" spans="1:12" ht="12.75">
      <c r="A10" s="3176" t="s">
        <v>2131</v>
      </c>
      <c r="B10" s="3102">
        <v>15</v>
      </c>
      <c r="C10" s="3206"/>
      <c r="D10" s="3194"/>
      <c r="E10" s="140" t="s">
        <v>2132</v>
      </c>
      <c r="F10" s="2428"/>
      <c r="G10" s="2428"/>
      <c r="H10" s="2428"/>
      <c r="I10" s="1829"/>
    </row>
    <row r="11" spans="1:12" ht="12.75">
      <c r="A11" s="3176"/>
      <c r="B11" s="3102"/>
      <c r="C11" s="3207"/>
      <c r="D11" s="3194"/>
      <c r="E11" s="140" t="s">
        <v>2133</v>
      </c>
      <c r="F11" s="2428"/>
      <c r="G11" s="2428"/>
      <c r="H11" s="2428"/>
      <c r="I11" s="1829"/>
    </row>
    <row r="12" spans="1:12" ht="12.75">
      <c r="A12" s="3176" t="s">
        <v>2134</v>
      </c>
      <c r="B12" s="3102">
        <v>15</v>
      </c>
      <c r="C12" s="3206"/>
      <c r="D12" s="3194"/>
      <c r="E12" s="140" t="s">
        <v>2135</v>
      </c>
      <c r="F12" s="2428"/>
      <c r="G12" s="2428"/>
      <c r="H12" s="2428"/>
      <c r="I12" s="1829"/>
    </row>
    <row r="13" spans="1:12" ht="12.75">
      <c r="A13" s="3176"/>
      <c r="B13" s="3102"/>
      <c r="C13" s="3207"/>
      <c r="D13" s="3194"/>
      <c r="E13" s="140" t="s">
        <v>2136</v>
      </c>
      <c r="F13" s="2428"/>
      <c r="G13" s="2428"/>
      <c r="H13" s="2428"/>
      <c r="I13" s="1829"/>
    </row>
    <row r="14" spans="1:12" ht="12.75">
      <c r="A14" s="3176" t="s">
        <v>2137</v>
      </c>
      <c r="B14" s="3102">
        <v>30</v>
      </c>
      <c r="C14" s="3206">
        <v>5</v>
      </c>
      <c r="D14" s="3194">
        <v>5</v>
      </c>
      <c r="E14" s="140" t="s">
        <v>2138</v>
      </c>
      <c r="F14" s="2428"/>
      <c r="G14" s="2428"/>
      <c r="H14" s="2428"/>
      <c r="I14" s="1829"/>
    </row>
    <row r="15" spans="1:12" ht="12.75">
      <c r="A15" s="3176"/>
      <c r="B15" s="3102"/>
      <c r="C15" s="3208"/>
      <c r="D15" s="3194"/>
      <c r="E15" s="140" t="s">
        <v>2139</v>
      </c>
      <c r="F15" s="2428"/>
      <c r="G15" s="2428"/>
      <c r="H15" s="2428"/>
      <c r="I15" s="1829"/>
    </row>
    <row r="16" spans="1:12" ht="12.75">
      <c r="A16" s="3176"/>
      <c r="B16" s="3102"/>
      <c r="C16" s="3207"/>
      <c r="D16" s="3194"/>
      <c r="E16" s="140" t="s">
        <v>2140</v>
      </c>
      <c r="F16" s="2428"/>
      <c r="G16" s="2428"/>
      <c r="H16" s="2428"/>
      <c r="I16" s="1829"/>
    </row>
    <row r="17" spans="1:35" ht="15">
      <c r="A17" s="2429" t="s">
        <v>2141</v>
      </c>
      <c r="B17" s="64"/>
      <c r="C17" s="141">
        <f>SUM(C5:C16)</f>
        <v>5</v>
      </c>
      <c r="D17" s="141">
        <f>SUM(D5:D16)</f>
        <v>5</v>
      </c>
      <c r="E17" s="138"/>
      <c r="F17" s="138"/>
      <c r="G17" s="138"/>
      <c r="H17" s="138"/>
      <c r="I17" s="138"/>
      <c r="K17" s="2427"/>
      <c r="L17" s="2430" t="s">
        <v>2142</v>
      </c>
      <c r="M17" s="2430" t="s">
        <v>2143</v>
      </c>
    </row>
    <row r="18" spans="1:35" ht="15.75" thickBot="1">
      <c r="A18" s="2431" t="s">
        <v>2144</v>
      </c>
      <c r="B18" s="2432"/>
      <c r="C18" s="142">
        <f>ROUND(C17/SUM(C17:D17),2)</f>
        <v>0.5</v>
      </c>
      <c r="D18" s="142">
        <f>1-C18</f>
        <v>0.5</v>
      </c>
      <c r="E18" s="138"/>
      <c r="F18" s="138"/>
      <c r="G18" s="138"/>
      <c r="H18" s="138"/>
      <c r="I18" s="138"/>
      <c r="K18" s="2427" t="s">
        <v>2145</v>
      </c>
      <c r="L18" s="2427">
        <f>IF(C1="",'数据-汇总表'!E3,SUMIF(项目类型,C1,'数据-汇总表'!E17:E26)+SUMIF(项目类型,C1,'数据-汇总表'!I17:I26))</f>
        <v>16206.23</v>
      </c>
      <c r="M18" s="2427">
        <f>IF(C1="",'数据-汇总表'!E3,SUMIF(项目类型,C1,'数据-汇总表'!E17:E26))</f>
        <v>16206.23</v>
      </c>
    </row>
    <row r="19" spans="1:35" ht="15">
      <c r="A19" s="2433" t="s">
        <v>2146</v>
      </c>
      <c r="B19" s="2434" t="s">
        <v>2147</v>
      </c>
      <c r="C19" s="143">
        <f ca="1">SUMIF(INDIRECT("'"&amp;C4&amp;"'"&amp;"!A:A"),'结果表-公寓'!B19,INDIRECT("'"&amp;C4&amp;"'"&amp;"!B:B"))</f>
        <v>39960</v>
      </c>
      <c r="D19" s="144">
        <f ca="1">SUMIF(INDIRECT("'"&amp;D4&amp;"'"&amp;"!A:A"),'结果表-公寓'!B19,INDIRECT("'"&amp;D4&amp;"'"&amp;"!B:B"))</f>
        <v>34018</v>
      </c>
      <c r="E19" s="2433" t="s">
        <v>2148</v>
      </c>
      <c r="F19" s="2434" t="s">
        <v>2147</v>
      </c>
      <c r="G19" s="145">
        <f ca="1">ROUND(C19*$C$18+D19*$D$18,0)</f>
        <v>36989</v>
      </c>
      <c r="H19" s="2435" t="s">
        <v>2149</v>
      </c>
      <c r="I19" s="138"/>
      <c r="K19" s="2427" t="s">
        <v>2150</v>
      </c>
      <c r="L19" s="2427">
        <f>IF(C1="",'数据-汇总表'!D3,SUMIF(项目类型,C1,'数据-汇总表'!D17:D26)+SUMIF(项目类型,C1,'数据-汇总表'!H17:H27))</f>
        <v>5264.7</v>
      </c>
      <c r="M19" s="2427">
        <f>IF(C1="",'数据-汇总表'!D3,SUMIF(项目类型,C1,'数据-汇总表'!D17:D26))</f>
        <v>5264.7</v>
      </c>
    </row>
    <row r="20" spans="1:35" ht="15">
      <c r="A20" s="2436"/>
      <c r="B20" s="1248" t="s">
        <v>2151</v>
      </c>
      <c r="C20" s="146">
        <f ca="1">SUMIF(INDIRECT("'"&amp;C4&amp;"'"&amp;"!A:A"),'结果表-公寓'!B20,INDIRECT("'"&amp;C4&amp;"'"&amp;"!B:B"))</f>
        <v>24657</v>
      </c>
      <c r="D20" s="147">
        <f ca="1">SUMIF(INDIRECT("'"&amp;D4&amp;"'"&amp;"!A:A"),'结果表-公寓'!B20,INDIRECT("'"&amp;D4&amp;"'"&amp;"!B:B"))</f>
        <v>20991</v>
      </c>
      <c r="E20" s="2436"/>
      <c r="F20" s="1248" t="s">
        <v>2151</v>
      </c>
      <c r="G20" s="148">
        <f ca="1">ROUND(C20*$C$18+D20*$D$18,0)</f>
        <v>22824</v>
      </c>
      <c r="H20" s="981" t="s">
        <v>2152</v>
      </c>
      <c r="I20" s="138"/>
    </row>
    <row r="21" spans="1:35" ht="15" customHeight="1" thickBot="1">
      <c r="A21" s="1001"/>
      <c r="B21" s="2437" t="s">
        <v>2153</v>
      </c>
      <c r="C21" s="787">
        <f ca="1">ROUND(C19*10000/L19,0)</f>
        <v>75902</v>
      </c>
      <c r="D21" s="788">
        <f ca="1">ROUND(D19*10000/L19,0)</f>
        <v>64615</v>
      </c>
      <c r="E21" s="1001"/>
      <c r="F21" s="2437" t="s">
        <v>2153</v>
      </c>
      <c r="G21" s="149">
        <f ca="1">ROUND(G19*10000/L19,0)</f>
        <v>70259</v>
      </c>
      <c r="H21" s="2438" t="s">
        <v>2152</v>
      </c>
      <c r="I21" s="138"/>
    </row>
    <row r="22" spans="1:35" ht="15" thickBot="1">
      <c r="A22" s="2279" t="s">
        <v>2154</v>
      </c>
      <c r="B22" s="2439"/>
      <c r="C22" s="2440"/>
      <c r="D22" s="789">
        <f ca="1">IF(C19&lt;D19,D19/C19-1,C19/D19-1)</f>
        <v>0.17467223234758067</v>
      </c>
      <c r="E22" s="138"/>
      <c r="F22" s="138"/>
      <c r="G22" s="138"/>
      <c r="H22" s="138"/>
      <c r="I22" s="138"/>
    </row>
    <row r="23" spans="1:35" ht="13.5" thickBot="1">
      <c r="A23" s="2417"/>
      <c r="B23" s="2417"/>
      <c r="C23" s="2417"/>
      <c r="D23" s="2417"/>
      <c r="E23" s="138"/>
      <c r="F23" s="138"/>
      <c r="G23" s="138"/>
      <c r="H23" s="138"/>
      <c r="I23" s="138"/>
    </row>
    <row r="24" spans="1:35" ht="14.25">
      <c r="A24" s="3215" t="s">
        <v>2155</v>
      </c>
      <c r="B24" s="2434" t="s">
        <v>2147</v>
      </c>
      <c r="C24" s="145">
        <f>IF(B30=0,0,D30)</f>
        <v>0</v>
      </c>
      <c r="D24" s="2441"/>
      <c r="E24" s="138"/>
      <c r="F24" s="138"/>
      <c r="G24" s="138"/>
      <c r="H24" s="138"/>
      <c r="I24" s="138"/>
    </row>
    <row r="25" spans="1:35" ht="14.25">
      <c r="A25" s="3216"/>
      <c r="B25" s="1248"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2160</v>
      </c>
      <c r="B30" s="151"/>
      <c r="C30" s="151"/>
      <c r="D30" s="151"/>
      <c r="E30" s="2925" t="s">
        <v>3034</v>
      </c>
      <c r="F30" s="138"/>
      <c r="G30" s="138"/>
      <c r="H30" s="138"/>
      <c r="I30" s="138"/>
    </row>
    <row r="31" spans="1:35" s="2445" customFormat="1" ht="15" thickBot="1">
      <c r="A31" s="2444"/>
      <c r="B31" s="2444"/>
      <c r="C31" s="2444"/>
      <c r="D31" s="2444"/>
      <c r="E31" s="138"/>
      <c r="F31" s="138"/>
      <c r="G31" s="138"/>
      <c r="H31" s="138"/>
      <c r="I31" s="138"/>
      <c r="J31" s="793"/>
      <c r="K31" s="793"/>
      <c r="L31" s="793"/>
      <c r="M31" s="793"/>
      <c r="N31" s="793"/>
      <c r="O31" s="793"/>
      <c r="P31" s="793"/>
      <c r="Q31" s="793"/>
      <c r="R31" s="793"/>
      <c r="S31" s="793"/>
      <c r="T31" s="793"/>
      <c r="U31" s="793"/>
      <c r="V31" s="793"/>
      <c r="W31" s="793"/>
      <c r="X31" s="793"/>
      <c r="Y31" s="793"/>
      <c r="Z31" s="793"/>
      <c r="AA31" s="2422"/>
      <c r="AB31" s="2422"/>
      <c r="AC31" s="2422"/>
      <c r="AD31" s="2422"/>
      <c r="AE31" s="2422"/>
      <c r="AF31" s="2422"/>
      <c r="AG31" s="2422"/>
      <c r="AH31" s="2422"/>
      <c r="AI31" s="2422"/>
    </row>
    <row r="32" spans="1:35" ht="15.75" thickBot="1">
      <c r="A32" s="2446" t="s">
        <v>2161</v>
      </c>
      <c r="B32" s="2447"/>
      <c r="C32" s="153">
        <f ca="1">IF(D32="总价",G19-C24,G20-C25)</f>
        <v>36989</v>
      </c>
      <c r="D32" s="2448" t="s">
        <v>2162</v>
      </c>
      <c r="E32" s="138"/>
      <c r="F32" s="138"/>
      <c r="G32" s="138"/>
      <c r="H32" s="138"/>
      <c r="I32" s="138"/>
    </row>
    <row r="33" spans="1:15" ht="15">
      <c r="A33" s="958" t="s">
        <v>2163</v>
      </c>
      <c r="B33" s="2449"/>
      <c r="C33" s="2450"/>
      <c r="D33" s="2451"/>
      <c r="E33" s="2452" t="s">
        <v>2164</v>
      </c>
      <c r="F33" s="3004" t="str">
        <f>IF(D32="楼面单价","取值（单价）","取值（总价）")</f>
        <v>取值（总价）</v>
      </c>
      <c r="G33" s="138"/>
      <c r="H33" s="138"/>
      <c r="I33" s="138"/>
    </row>
    <row r="34" spans="1:15" ht="15">
      <c r="A34" s="2454"/>
      <c r="B34" s="2455" t="s">
        <v>2165</v>
      </c>
      <c r="C34" s="157" t="e">
        <f ca="1">IF(C33="自定义",F34,C32-C35)</f>
        <v>#REF!</v>
      </c>
      <c r="D34" s="1056" t="e">
        <f ca="1">IF(C33="自定义",ROUND(C34/C32,3),IF(C33="收益比率",SUMIF(INDIRECT("'"&amp;D33&amp;"'"&amp;"!b:b"),"土地收益比率",INDIRECT("'"&amp;D33&amp;"'"&amp;"!c:c")),SUMIF(INDIRECT("'"&amp;D33&amp;"'"&amp;"!b:b"),"土地成本比率",INDIRECT("'"&amp;D33&amp;"'"&amp;"!c:c"))))</f>
        <v>#REF!</v>
      </c>
      <c r="E34" s="2456" t="s">
        <v>2166</v>
      </c>
      <c r="F34" s="1734"/>
      <c r="G34" s="138"/>
      <c r="H34" s="138"/>
      <c r="I34" s="138"/>
    </row>
    <row r="35" spans="1:15" ht="15.75" thickBot="1">
      <c r="A35" s="2457"/>
      <c r="B35" s="2458" t="s">
        <v>2167</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59" t="s">
        <v>2168</v>
      </c>
      <c r="F35" s="163"/>
      <c r="G35" s="138"/>
      <c r="H35" s="138"/>
      <c r="I35" s="138"/>
    </row>
    <row r="36" spans="1:15" ht="15.75" thickBot="1">
      <c r="A36" s="3195" t="s">
        <v>2169</v>
      </c>
      <c r="B36" s="2460" t="s">
        <v>2170</v>
      </c>
      <c r="C36" s="154"/>
      <c r="D36" s="2461"/>
      <c r="E36" s="2462"/>
      <c r="F36" s="2463"/>
      <c r="G36" s="138"/>
      <c r="H36" s="138"/>
      <c r="I36" s="138"/>
    </row>
    <row r="37" spans="1:15" ht="15.75" thickBot="1">
      <c r="A37" s="3196"/>
      <c r="B37" s="2265" t="s">
        <v>2171</v>
      </c>
      <c r="C37" s="156"/>
      <c r="D37" s="1393"/>
      <c r="E37" s="1393"/>
      <c r="F37" s="2463"/>
      <c r="G37" s="138"/>
      <c r="H37" s="138"/>
      <c r="I37" s="138"/>
    </row>
    <row r="38" spans="1:15" ht="15.75" thickBot="1">
      <c r="A38" s="3197"/>
      <c r="B38" s="2464" t="s">
        <v>2172</v>
      </c>
      <c r="C38" s="725"/>
      <c r="D38" s="2465" t="s">
        <v>2173</v>
      </c>
      <c r="E38" s="1393"/>
      <c r="F38" s="2463"/>
      <c r="G38" s="138"/>
      <c r="H38" s="138"/>
      <c r="I38" s="138"/>
    </row>
    <row r="39" spans="1:15" ht="15">
      <c r="A39" s="2436" t="s">
        <v>2174</v>
      </c>
      <c r="B39" s="2466" t="s">
        <v>2157</v>
      </c>
      <c r="C39" s="2467" t="s">
        <v>2158</v>
      </c>
      <c r="D39" s="2467" t="s">
        <v>2177</v>
      </c>
      <c r="E39" s="2468" t="s">
        <v>2159</v>
      </c>
      <c r="F39" s="2463"/>
      <c r="G39" s="138"/>
      <c r="H39" s="138"/>
      <c r="I39" s="138"/>
    </row>
    <row r="40" spans="1:15" ht="14.25">
      <c r="A40" s="2469" t="s">
        <v>2179</v>
      </c>
      <c r="B40" s="158"/>
      <c r="C40" s="159"/>
      <c r="D40" s="159"/>
      <c r="E40" s="160"/>
      <c r="F40" s="2463"/>
      <c r="G40" s="138"/>
      <c r="H40" s="138"/>
      <c r="I40" s="138"/>
    </row>
    <row r="41" spans="1:15" ht="14.25">
      <c r="A41" s="2469" t="s">
        <v>2180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212" t="s">
        <v>2183</v>
      </c>
      <c r="B45" s="3213"/>
      <c r="C45" s="3214"/>
      <c r="D45" s="164">
        <f ca="1">ROUND(H101*F45,0)</f>
        <v>36989</v>
      </c>
      <c r="E45" s="165" t="s">
        <v>2184</v>
      </c>
      <c r="F45" s="166">
        <v>1</v>
      </c>
      <c r="G45" s="167" t="s">
        <v>2185</v>
      </c>
      <c r="H45" s="138"/>
      <c r="I45" s="138"/>
      <c r="J45" s="3131" t="s">
        <v>2186</v>
      </c>
      <c r="K45" s="3131"/>
      <c r="L45" s="3131"/>
      <c r="M45" s="3131"/>
      <c r="N45" s="3131"/>
      <c r="O45" s="3131"/>
    </row>
    <row r="46" spans="1:15" ht="14.25" customHeight="1">
      <c r="A46" s="3209" t="s">
        <v>2187</v>
      </c>
      <c r="B46" s="3210"/>
      <c r="C46" s="3210"/>
      <c r="D46" s="3210"/>
      <c r="E46" s="3210"/>
      <c r="F46" s="3210"/>
      <c r="G46" s="3211"/>
      <c r="H46" s="2479"/>
      <c r="I46" s="168"/>
      <c r="J46" s="3014">
        <v>1</v>
      </c>
      <c r="K46" s="3131" t="s">
        <v>2188</v>
      </c>
      <c r="L46" s="3131"/>
      <c r="M46" s="3132"/>
      <c r="N46" s="3132"/>
      <c r="O46" s="3132"/>
    </row>
    <row r="47" spans="1:15" ht="12" customHeight="1">
      <c r="A47" s="169" t="s">
        <v>2189</v>
      </c>
      <c r="B47" s="170"/>
      <c r="C47" s="171"/>
      <c r="D47" s="172" t="s">
        <v>2190</v>
      </c>
      <c r="E47" s="24" t="s">
        <v>2191</v>
      </c>
      <c r="F47" s="173" t="s">
        <v>2192</v>
      </c>
      <c r="G47" s="174" t="s">
        <v>2193</v>
      </c>
      <c r="H47" s="2479"/>
      <c r="I47" s="168"/>
      <c r="J47" s="3014">
        <v>2</v>
      </c>
      <c r="K47" s="3131" t="s">
        <v>2194</v>
      </c>
      <c r="L47" s="3131"/>
      <c r="M47" s="3133">
        <f>'数据-取费表'!B2</f>
        <v>43570</v>
      </c>
      <c r="N47" s="3133"/>
      <c r="O47" s="3133"/>
    </row>
    <row r="48" spans="1:15" ht="25.5">
      <c r="A48" s="3199" t="s">
        <v>2195</v>
      </c>
      <c r="B48" s="3200"/>
      <c r="C48" s="3200"/>
      <c r="D48" s="140">
        <f>IF(H48="情况1",0,IF(H48="情况2",D52,IF(H48="情况3",D53,IF(H48="情况4",D54))))</f>
        <v>0</v>
      </c>
      <c r="E48" s="3024" t="str">
        <f>IF(H48="情况4","(销售额-原购置价)×税（费）率","销售额×税（费）率")</f>
        <v>销售额×税（费）率</v>
      </c>
      <c r="F48" s="175" t="str">
        <f>IF(H48="情况1","免征",'数据-取费表'!B41)</f>
        <v>免征</v>
      </c>
      <c r="G48" s="2480" t="s">
        <v>2196</v>
      </c>
      <c r="H48" s="2481" t="s">
        <v>2197</v>
      </c>
      <c r="I48" s="2479"/>
      <c r="J48" s="3014">
        <v>3</v>
      </c>
      <c r="K48" s="3131" t="s">
        <v>2198</v>
      </c>
      <c r="L48" s="3131"/>
      <c r="M48" s="3134">
        <f ca="1">H101</f>
        <v>36989</v>
      </c>
      <c r="N48" s="3134"/>
      <c r="O48" s="3134"/>
    </row>
    <row r="49" spans="1:35" ht="25.5" customHeight="1">
      <c r="A49" s="176" t="s">
        <v>2199</v>
      </c>
      <c r="B49" s="3179" t="s">
        <v>2200</v>
      </c>
      <c r="C49" s="3179"/>
      <c r="D49" s="177">
        <v>0</v>
      </c>
      <c r="E49" s="23" t="s">
        <v>2201</v>
      </c>
      <c r="F49" s="28" t="s">
        <v>34</v>
      </c>
      <c r="G49" s="3160"/>
      <c r="H49" s="138"/>
      <c r="I49" s="2482"/>
      <c r="J49" s="3014">
        <v>4</v>
      </c>
      <c r="K49" s="3131" t="str">
        <f>IF(项目基本情况!E8="房地产抵押价值","房地产抵押价值","抵押担保权已注销时的房地产抵押价值")</f>
        <v>抵押担保权已注销时的房地产抵押价值</v>
      </c>
      <c r="L49" s="3131"/>
      <c r="M49" s="3134" t="str">
        <f>IF(项目基本情况!E8="房地产抵押价值",H107,H109)</f>
        <v>——</v>
      </c>
      <c r="N49" s="3134"/>
      <c r="O49" s="3134"/>
    </row>
    <row r="50" spans="1:35" ht="25.5" customHeight="1">
      <c r="A50" s="178"/>
      <c r="B50" s="3179" t="s">
        <v>2202</v>
      </c>
      <c r="C50" s="3179"/>
      <c r="D50" s="179"/>
      <c r="E50" s="31"/>
      <c r="F50" s="180"/>
      <c r="G50" s="3161"/>
      <c r="H50" s="138"/>
      <c r="I50" s="2482"/>
      <c r="J50" s="3131" t="s">
        <v>2203</v>
      </c>
      <c r="K50" s="3131"/>
      <c r="L50" s="3131"/>
      <c r="M50" s="3131"/>
      <c r="N50" s="3131"/>
      <c r="O50" s="3131"/>
    </row>
    <row r="51" spans="1:35" ht="12" customHeight="1">
      <c r="A51" s="181"/>
      <c r="B51" s="3179" t="s">
        <v>2204</v>
      </c>
      <c r="C51" s="3179"/>
      <c r="D51" s="182"/>
      <c r="E51" s="30"/>
      <c r="F51" s="180"/>
      <c r="G51" s="3162"/>
      <c r="H51" s="138"/>
      <c r="I51" s="2482"/>
      <c r="J51" s="3007" t="s">
        <v>2205</v>
      </c>
      <c r="K51" s="3131" t="s">
        <v>2206</v>
      </c>
      <c r="L51" s="3131"/>
      <c r="M51" s="3007" t="s">
        <v>2207</v>
      </c>
      <c r="N51" s="3007" t="s">
        <v>2208</v>
      </c>
      <c r="O51" s="3007" t="s">
        <v>2209</v>
      </c>
    </row>
    <row r="52" spans="1:35" ht="24" customHeight="1">
      <c r="A52" s="183" t="s">
        <v>2210</v>
      </c>
      <c r="B52" s="3179" t="s">
        <v>2211</v>
      </c>
      <c r="C52" s="3179"/>
      <c r="D52" s="182">
        <f ca="1">ROUND(D45*'数据-取费表'!B41/(1+'数据-取费表'!C42),0)</f>
        <v>1938</v>
      </c>
      <c r="E52" s="11" t="s">
        <v>2212</v>
      </c>
      <c r="F52" s="184">
        <f>'数据-取费表'!B41</f>
        <v>5.5000000000000007E-2</v>
      </c>
      <c r="G52" s="2484"/>
      <c r="H52" s="138"/>
      <c r="I52" s="2482"/>
      <c r="J52" s="3014">
        <v>1</v>
      </c>
      <c r="K52" s="3154" t="s">
        <v>2213</v>
      </c>
      <c r="L52" s="3154"/>
      <c r="M52" s="1749">
        <f>D48</f>
        <v>0</v>
      </c>
      <c r="N52" s="3014" t="str">
        <f>E48</f>
        <v>销售额×税（费）率</v>
      </c>
      <c r="O52" s="1750" t="str">
        <f>F48</f>
        <v>免征</v>
      </c>
    </row>
    <row r="53" spans="1:35" ht="12" customHeight="1">
      <c r="A53" s="183" t="s">
        <v>2214</v>
      </c>
      <c r="B53" s="3180" t="s">
        <v>2215</v>
      </c>
      <c r="C53" s="3181"/>
      <c r="D53" s="182">
        <f ca="1">ROUND(D45*'数据-取费表'!B41/(1+'数据-取费表'!C42),0)</f>
        <v>1938</v>
      </c>
      <c r="E53" s="11" t="s">
        <v>2212</v>
      </c>
      <c r="F53" s="184">
        <f>'数据-取费表'!B41</f>
        <v>5.5000000000000007E-2</v>
      </c>
      <c r="G53" s="2484"/>
      <c r="H53" s="138"/>
      <c r="I53" s="2482"/>
      <c r="J53" s="3014">
        <v>2</v>
      </c>
      <c r="K53" s="3154" t="s">
        <v>2216</v>
      </c>
      <c r="L53" s="3154"/>
      <c r="M53" s="1749">
        <f t="shared" ref="M53:O54" ca="1" si="0">D55</f>
        <v>18</v>
      </c>
      <c r="N53" s="3014" t="str">
        <f t="shared" si="0"/>
        <v>销售额×税（费）率</v>
      </c>
      <c r="O53" s="1750">
        <f t="shared" si="0"/>
        <v>5.0000000000000001E-4</v>
      </c>
    </row>
    <row r="54" spans="1:35" ht="12" customHeight="1">
      <c r="A54" s="183" t="s">
        <v>2217</v>
      </c>
      <c r="B54" s="3180" t="s">
        <v>2218</v>
      </c>
      <c r="C54" s="3181"/>
      <c r="D54" s="182">
        <f ca="1">C68</f>
        <v>1938</v>
      </c>
      <c r="E54" s="30" t="s">
        <v>2219</v>
      </c>
      <c r="F54" s="184">
        <f>'数据-取费表'!B41</f>
        <v>5.5000000000000007E-2</v>
      </c>
      <c r="G54" s="2484"/>
      <c r="H54" s="2485"/>
      <c r="I54" s="2482"/>
      <c r="J54" s="3014">
        <v>3</v>
      </c>
      <c r="K54" s="3154" t="s">
        <v>2220</v>
      </c>
      <c r="L54" s="3154"/>
      <c r="M54" s="1749">
        <f t="shared" ca="1" si="0"/>
        <v>20970</v>
      </c>
      <c r="N54" s="3014" t="str">
        <f t="shared" si="0"/>
        <v>增值额×税（费）率</v>
      </c>
      <c r="O54" s="1751" t="str">
        <f t="shared" si="0"/>
        <v>——</v>
      </c>
    </row>
    <row r="55" spans="1:35" ht="24" customHeight="1">
      <c r="A55" s="3218" t="s">
        <v>2221</v>
      </c>
      <c r="B55" s="3200"/>
      <c r="C55" s="3200"/>
      <c r="D55" s="185">
        <f ca="1">IF(H55="个人住宅",0,ROUND(D45*I55,0))</f>
        <v>18</v>
      </c>
      <c r="E55" s="11" t="s">
        <v>2222</v>
      </c>
      <c r="F55" s="184">
        <f>IF(H55="正常",I55,"免征")</f>
        <v>5.0000000000000001E-4</v>
      </c>
      <c r="G55" s="2484"/>
      <c r="H55" s="2481" t="s">
        <v>2223</v>
      </c>
      <c r="I55" s="186">
        <f>'数据-取费表'!B49</f>
        <v>5.0000000000000001E-4</v>
      </c>
      <c r="J55" s="3014" t="str">
        <f>IF(H59="非个人房产","",4)</f>
        <v/>
      </c>
      <c r="K55" s="3154" t="str">
        <f>IF(H59="非个人房产","——","个人所得税")</f>
        <v>——</v>
      </c>
      <c r="L55" s="3154"/>
      <c r="M55" s="1752" t="str">
        <f>D59</f>
        <v>——</v>
      </c>
      <c r="N55" s="3015" t="str">
        <f>E59</f>
        <v>——</v>
      </c>
      <c r="O55" s="1753" t="str">
        <f>F59</f>
        <v>——</v>
      </c>
    </row>
    <row r="56" spans="1:35" ht="24.75">
      <c r="A56" s="3218" t="s">
        <v>2224</v>
      </c>
      <c r="B56" s="3200"/>
      <c r="C56" s="3200"/>
      <c r="D56" s="185">
        <f ca="1">IF(H56="个人住宅",D57,D58)</f>
        <v>20970</v>
      </c>
      <c r="E56" s="11" t="s">
        <v>2225</v>
      </c>
      <c r="F56" s="184" t="str">
        <f>IF(H56="正常",F58,"免征")</f>
        <v>——</v>
      </c>
      <c r="G56" s="2486" t="s">
        <v>2226</v>
      </c>
      <c r="H56" s="2487" t="s">
        <v>2223</v>
      </c>
      <c r="I56" s="2488"/>
      <c r="J56" s="3014" t="str">
        <f>IF(项目基本情况!K6="上海银行",IF(J55="",4,J55+1),"")</f>
        <v/>
      </c>
      <c r="K56" s="3137" t="str">
        <f>IF(项目基本情况!K6="上海银行","其他处置费用","")</f>
        <v/>
      </c>
      <c r="L56" s="3138"/>
      <c r="M56" s="1749" t="str">
        <f>IF(项目基本情况!K6="上海银行",M69,"")</f>
        <v/>
      </c>
      <c r="N56" s="3140" t="str">
        <f>IF(项目基本情况!K6="上海银行","包含处置中涉及的律师、诉讼、拍卖、评估等费用","")</f>
        <v/>
      </c>
      <c r="O56" s="3141"/>
    </row>
    <row r="57" spans="1:35" ht="12.75">
      <c r="A57" s="183" t="s">
        <v>2199</v>
      </c>
      <c r="B57" s="3185" t="s">
        <v>2227</v>
      </c>
      <c r="C57" s="3186"/>
      <c r="D57" s="187">
        <v>0</v>
      </c>
      <c r="E57" s="23" t="s">
        <v>2201</v>
      </c>
      <c r="F57" s="155"/>
      <c r="G57" s="2484"/>
      <c r="H57" s="2488"/>
      <c r="I57" s="2488"/>
      <c r="J57" s="3154">
        <f>IF(AND(J55="",J56=""),4,IF(项目基本情况!K6="上海银行",'结果表-公寓'!J56+1,'结果表-公寓'!J55+1))</f>
        <v>4</v>
      </c>
      <c r="K57" s="3154" t="s">
        <v>2228</v>
      </c>
      <c r="L57" s="2489" t="s">
        <v>2229</v>
      </c>
      <c r="M57" s="1754"/>
      <c r="N57" s="1755">
        <f ca="1">SUMIF(M52:M56,"&lt;9e307")</f>
        <v>20988</v>
      </c>
      <c r="O57" s="2490"/>
      <c r="P57" s="1748" t="e">
        <f ca="1">N57/M49</f>
        <v>#VALUE!</v>
      </c>
    </row>
    <row r="58" spans="1:35" ht="24.75">
      <c r="A58" s="183" t="s">
        <v>2210</v>
      </c>
      <c r="B58" s="3185" t="s">
        <v>2230</v>
      </c>
      <c r="C58" s="3198"/>
      <c r="D58" s="185">
        <f ca="1">IF(H58="转让取得",C81,C97)</f>
        <v>20970</v>
      </c>
      <c r="E58" s="11" t="s">
        <v>2225</v>
      </c>
      <c r="F58" s="24" t="s">
        <v>34</v>
      </c>
      <c r="G58" s="2484"/>
      <c r="H58" s="2487" t="s">
        <v>2231</v>
      </c>
      <c r="I58" s="2488"/>
      <c r="J58" s="3154"/>
      <c r="K58" s="3154"/>
      <c r="L58" s="2489" t="s">
        <v>2232</v>
      </c>
      <c r="M58" s="1756"/>
      <c r="N58" s="2491" t="str">
        <f ca="1">NUMBERSTRING(INT(N57*10000),2)&amp;"元整"</f>
        <v>贰亿零玖佰捌拾捌万元整</v>
      </c>
      <c r="O58" s="2492"/>
    </row>
    <row r="59" spans="1:35" ht="24.75" thickBot="1">
      <c r="A59" s="3158" t="s">
        <v>2233</v>
      </c>
      <c r="B59" s="3159"/>
      <c r="C59" s="3159"/>
      <c r="D59" s="188" t="str">
        <f>IF(H59="非个人房产","——",IF(H59="个人住宅",0,ROUND(D45*I59,0)))</f>
        <v>——</v>
      </c>
      <c r="E59" s="189" t="str">
        <f>IF(H59="非个人房产","——","销售额×税（费）率")</f>
        <v>——</v>
      </c>
      <c r="F59" s="190" t="str">
        <f>IF(H59="非个人房产","——",IF(H59="个人住宅","免征",I59))</f>
        <v>——</v>
      </c>
      <c r="G59" s="2493" t="s">
        <v>2226</v>
      </c>
      <c r="H59" s="2487" t="s">
        <v>2234</v>
      </c>
      <c r="I59" s="191">
        <v>0.01</v>
      </c>
      <c r="J59" s="3156">
        <f>J57+1</f>
        <v>5</v>
      </c>
      <c r="K59" s="3154" t="s">
        <v>2235</v>
      </c>
      <c r="L59" s="3014" t="s">
        <v>2229</v>
      </c>
      <c r="M59" s="1757"/>
      <c r="N59" s="1758" t="e">
        <f ca="1">M49-N57</f>
        <v>#VALUE!</v>
      </c>
      <c r="O59" s="2494"/>
    </row>
    <row r="60" spans="1:35" ht="12" customHeight="1">
      <c r="A60" s="2495"/>
      <c r="B60" s="2417"/>
      <c r="C60" s="2417"/>
      <c r="D60" s="2417"/>
      <c r="E60" s="2165"/>
      <c r="F60" s="2488"/>
      <c r="G60" s="2488"/>
      <c r="H60" s="2496"/>
      <c r="I60" s="138"/>
      <c r="J60" s="3157"/>
      <c r="K60" s="3154"/>
      <c r="L60" s="2489" t="s">
        <v>2232</v>
      </c>
      <c r="M60" s="1756"/>
      <c r="N60" s="2491" t="e">
        <f ca="1">NUMBERSTRING(INT(N59*10000),2)&amp;"元整"</f>
        <v>#VALUE!</v>
      </c>
      <c r="O60" s="2492"/>
    </row>
    <row r="61" spans="1:35" ht="13.5" thickBot="1">
      <c r="A61" s="3217" t="s">
        <v>2236</v>
      </c>
      <c r="B61" s="3217"/>
      <c r="C61" s="3217"/>
      <c r="D61" s="3217"/>
      <c r="E61" s="3217"/>
      <c r="F61" s="2488"/>
      <c r="G61" s="2488"/>
      <c r="H61" s="2496"/>
      <c r="I61" s="138"/>
      <c r="J61" s="3014">
        <f>J59+1</f>
        <v>6</v>
      </c>
      <c r="K61" s="3154" t="s">
        <v>2237</v>
      </c>
      <c r="L61" s="3154"/>
      <c r="M61" s="1759"/>
      <c r="N61" s="1760" t="e">
        <f ca="1">ROUND(N59*10000/'数据-汇总表'!E3,0)</f>
        <v>#VALUE!</v>
      </c>
      <c r="O61" s="2497"/>
    </row>
    <row r="62" spans="1:35" ht="12.75">
      <c r="A62" s="3174" t="s">
        <v>2238</v>
      </c>
      <c r="B62" s="3175"/>
      <c r="C62" s="3019"/>
      <c r="D62" s="3019" t="s">
        <v>2239</v>
      </c>
      <c r="E62" s="192" t="s">
        <v>2240</v>
      </c>
      <c r="F62" s="2488"/>
      <c r="G62" s="2488"/>
      <c r="H62" s="2496"/>
      <c r="I62" s="138"/>
    </row>
    <row r="63" spans="1:35" ht="12.75">
      <c r="A63" s="203" t="s">
        <v>775</v>
      </c>
      <c r="B63" s="193" t="s">
        <v>2241</v>
      </c>
      <c r="C63" s="194">
        <f ca="1">ROUND((C64+C65)/(1+'数据-取费表'!C42),0)</f>
        <v>35228</v>
      </c>
      <c r="D63" s="195"/>
      <c r="E63" s="196"/>
      <c r="F63" s="2488"/>
      <c r="G63" s="2488"/>
      <c r="H63" s="2496"/>
      <c r="I63" s="138"/>
      <c r="J63" s="3139" t="s">
        <v>2242</v>
      </c>
      <c r="K63" s="3010" t="s">
        <v>2243</v>
      </c>
      <c r="L63" s="1747" t="e">
        <f>IF(M49&gt;10000,M49*0.5%,IF(AND(M49&gt;1000,M49&lt;=10000),M49*1%,IF(AND(M49&gt;100,M49&lt;=1000),M49*3%,IF(AND(M49&gt;10,M49&lt;=100),M49*5%,M49*8%))))</f>
        <v>#VALUE!</v>
      </c>
      <c r="M63" s="24" t="e">
        <f>ROUND(L63,1)</f>
        <v>#VALUE!</v>
      </c>
      <c r="Z63" s="2422"/>
      <c r="AI63" s="2423"/>
    </row>
    <row r="64" spans="1:35" ht="14.25" customHeight="1">
      <c r="A64" s="197" t="s">
        <v>770</v>
      </c>
      <c r="B64" s="198" t="s">
        <v>2244</v>
      </c>
      <c r="C64" s="199">
        <f ca="1">D45</f>
        <v>36989</v>
      </c>
      <c r="D64" s="200" t="s">
        <v>32</v>
      </c>
      <c r="E64" s="201"/>
      <c r="F64" s="2488"/>
      <c r="G64" s="2488"/>
      <c r="H64" s="2496"/>
      <c r="I64" s="138"/>
      <c r="J64" s="3139"/>
      <c r="K64" s="3010" t="s">
        <v>2245</v>
      </c>
      <c r="L64" s="1747"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2"/>
      <c r="AI64" s="2423"/>
    </row>
    <row r="65" spans="1:35" ht="14.25" customHeight="1">
      <c r="A65" s="197" t="s">
        <v>771</v>
      </c>
      <c r="B65" s="198" t="s">
        <v>2247</v>
      </c>
      <c r="C65" s="202"/>
      <c r="D65" s="200"/>
      <c r="E65" s="201"/>
      <c r="F65" s="2488"/>
      <c r="G65" s="2488"/>
      <c r="H65" s="2496"/>
      <c r="I65" s="138"/>
      <c r="J65" s="3139"/>
      <c r="K65" s="3010" t="s">
        <v>2248</v>
      </c>
      <c r="L65" s="1747" t="e">
        <f>IF(M49&gt;1000,M49*0.1%,IF(AND(M49&gt;500,M49&lt;=1000),M49*0.5%,IF(AND(M49&gt;50,M49&lt;=500),M49*1%,IF(AND(M49&gt;1,M49&lt;=50),M49*1.5%))))</f>
        <v>#VALUE!</v>
      </c>
      <c r="M65" s="24" t="e">
        <f t="shared" si="1"/>
        <v>#VALUE!</v>
      </c>
      <c r="N65" s="138" t="s">
        <v>2246</v>
      </c>
      <c r="Z65" s="2422"/>
      <c r="AI65" s="2423"/>
    </row>
    <row r="66" spans="1:35" ht="14.25" customHeight="1">
      <c r="A66" s="203" t="s">
        <v>772</v>
      </c>
      <c r="B66" s="204" t="s">
        <v>2249</v>
      </c>
      <c r="C66" s="205"/>
      <c r="D66" s="206" t="s">
        <v>32</v>
      </c>
      <c r="E66" s="1771" t="s">
        <v>1367</v>
      </c>
      <c r="F66" s="2488"/>
      <c r="G66" s="2488"/>
      <c r="H66" s="2496"/>
      <c r="I66" s="138"/>
      <c r="J66" s="3139"/>
      <c r="K66" s="3010" t="s">
        <v>2250</v>
      </c>
      <c r="L66" s="1747" t="e">
        <f>M49*0.5%</f>
        <v>#VALUE!</v>
      </c>
      <c r="M66" s="24" t="e">
        <f>IF(L66&gt;0.5,0.5,ROUND(L66,0))</f>
        <v>#VALUE!</v>
      </c>
      <c r="N66" s="138" t="s">
        <v>2251</v>
      </c>
      <c r="Z66" s="2422"/>
      <c r="AI66" s="2423"/>
    </row>
    <row r="67" spans="1:35" ht="14.25" customHeight="1">
      <c r="A67" s="203" t="s">
        <v>773</v>
      </c>
      <c r="B67" s="204" t="s">
        <v>2252</v>
      </c>
      <c r="C67" s="207">
        <f ca="1">C63-C66</f>
        <v>35228</v>
      </c>
      <c r="D67" s="200" t="s">
        <v>32</v>
      </c>
      <c r="E67" s="201"/>
      <c r="F67" s="2488"/>
      <c r="G67" s="2488"/>
      <c r="H67" s="2496"/>
      <c r="I67" s="138"/>
      <c r="J67" s="3139"/>
      <c r="K67" s="3010" t="s">
        <v>2253</v>
      </c>
      <c r="L67" s="1747"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2254</v>
      </c>
      <c r="C68" s="210">
        <f ca="1">IF(C67&lt;=0,0,ROUND(C67*D68,0))</f>
        <v>1938</v>
      </c>
      <c r="D68" s="211">
        <f>'数据-取费表'!B41</f>
        <v>5.5000000000000007E-2</v>
      </c>
      <c r="E68" s="212"/>
      <c r="F68" s="2488"/>
      <c r="G68" s="2488"/>
      <c r="H68" s="2496"/>
      <c r="I68" s="138"/>
      <c r="J68" s="3139"/>
      <c r="K68" s="3010" t="s">
        <v>2255</v>
      </c>
      <c r="L68" s="1747"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5"/>
      <c r="G69" s="2165"/>
      <c r="H69" s="2164"/>
      <c r="I69" s="2417"/>
      <c r="J69" s="3139"/>
      <c r="K69" s="3010" t="s">
        <v>2256</v>
      </c>
      <c r="L69" s="2504"/>
      <c r="M69" s="24" t="e">
        <f>ROUND(SUM(M63:M68),0)</f>
        <v>#VALUE!</v>
      </c>
      <c r="N69" s="1748" t="e">
        <f>M69/M49</f>
        <v>#VALUE!</v>
      </c>
      <c r="O69" s="793"/>
      <c r="P69" s="793"/>
      <c r="Q69" s="793"/>
      <c r="R69" s="793"/>
      <c r="S69" s="793"/>
      <c r="T69" s="793"/>
      <c r="U69" s="793"/>
      <c r="V69" s="793"/>
      <c r="W69" s="793"/>
      <c r="X69" s="793"/>
      <c r="Y69" s="793"/>
      <c r="Z69" s="2422"/>
      <c r="AA69" s="2422"/>
      <c r="AB69" s="2422"/>
      <c r="AC69" s="2422"/>
      <c r="AD69" s="2422"/>
      <c r="AE69" s="2422"/>
      <c r="AF69" s="2422"/>
      <c r="AG69" s="2422"/>
      <c r="AH69" s="2422"/>
    </row>
    <row r="70" spans="1:35" s="2506" customFormat="1" ht="15" thickBot="1">
      <c r="A70" s="3183" t="s">
        <v>2257</v>
      </c>
      <c r="B70" s="3184"/>
      <c r="C70" s="3184"/>
      <c r="D70" s="3184"/>
      <c r="E70" s="3184"/>
      <c r="F70" s="3184"/>
      <c r="G70" s="3184"/>
      <c r="H70" s="3184"/>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74" t="s">
        <v>2238</v>
      </c>
      <c r="B71" s="3175"/>
      <c r="C71" s="3019"/>
      <c r="D71" s="3019"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2258</v>
      </c>
      <c r="C72" s="207">
        <f ca="1">ROUND(D45/(1+'数据-取费表'!C42),0)</f>
        <v>35228</v>
      </c>
      <c r="D72" s="200" t="s">
        <v>32</v>
      </c>
      <c r="E72" s="3021"/>
      <c r="F72" s="3020"/>
      <c r="G72" s="3020"/>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2259</v>
      </c>
      <c r="C73" s="207">
        <f ca="1">C74+C78</f>
        <v>176</v>
      </c>
      <c r="D73" s="200" t="s">
        <v>32</v>
      </c>
      <c r="E73" s="3021"/>
      <c r="F73" s="3020"/>
      <c r="G73" s="3020"/>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3021"/>
      <c r="F74" s="3020"/>
      <c r="G74" s="3020"/>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2261</v>
      </c>
      <c r="C75" s="218"/>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180" t="s">
        <v>2266</v>
      </c>
      <c r="F76" s="3179"/>
      <c r="G76" s="3179"/>
      <c r="H76" s="3182"/>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3.0499999999999999E-2</v>
      </c>
      <c r="E77" s="3011" t="s">
        <v>2268</v>
      </c>
      <c r="F77" s="224"/>
      <c r="G77" s="2512" t="s">
        <v>2269</v>
      </c>
      <c r="H77" s="3022"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176</v>
      </c>
      <c r="D78" s="226">
        <f>'数据-取费表'!B43</f>
        <v>5.000000000000001E-3</v>
      </c>
      <c r="E78" s="3171" t="s">
        <v>2271</v>
      </c>
      <c r="F78" s="3172"/>
      <c r="G78" s="3172"/>
      <c r="H78" s="3173"/>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2272</v>
      </c>
      <c r="C79" s="207">
        <f ca="1">C72-C73</f>
        <v>35052</v>
      </c>
      <c r="D79" s="200" t="s">
        <v>32</v>
      </c>
      <c r="E79" s="3021"/>
      <c r="F79" s="3020"/>
      <c r="G79" s="3020"/>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f ca="1">IF(C79&lt;=0,0,C79/C73)</f>
        <v>199.15909090909091</v>
      </c>
      <c r="D80" s="200" t="s">
        <v>32</v>
      </c>
      <c r="E80" s="3011" t="str">
        <f ca="1">IF(C80&gt;=200%,"增值额超过扣除项目金额200%",IF(C80&gt;=100%,"增值额超过扣除项目金额100%，未超过200%",IF(C80&gt;=50%,"增值额超过扣除项目金额50%，未超过100%",IF(C80&lt;50%,"增值额未超过扣除项目金额50%"))))</f>
        <v>增值额超过扣除项目金额200%</v>
      </c>
      <c r="F80" s="3020"/>
      <c r="G80" s="3020"/>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2274</v>
      </c>
      <c r="C81" s="228">
        <f ca="1">ROUND(IF(C79&lt;=0,0,IF(C80&gt;=200%,C79*60%-C73*35%,IF(C80&gt;=100%,C79*50%-C73*15%,IF(C80&gt;=50%,C79*40%-C73*5%,IF(C80&lt;50%,C79*30%,0))))),0)</f>
        <v>20970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1"/>
      <c r="B82" s="732"/>
      <c r="C82" s="7"/>
      <c r="D82" s="7"/>
      <c r="E82" s="732"/>
      <c r="F82" s="732"/>
      <c r="G82" s="732"/>
      <c r="H82" s="733"/>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83" t="s">
        <v>2275</v>
      </c>
      <c r="B83" s="3184"/>
      <c r="C83" s="3184"/>
      <c r="D83" s="3184"/>
      <c r="E83" s="3184"/>
      <c r="F83" s="3184"/>
      <c r="G83" s="3184"/>
      <c r="H83" s="3184"/>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74" t="s">
        <v>2238</v>
      </c>
      <c r="B84" s="3175"/>
      <c r="C84" s="3019"/>
      <c r="D84" s="3019"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2258</v>
      </c>
      <c r="C85" s="207">
        <f ca="1">ROUND(D45/(1+'数据-取费表'!C42),0)</f>
        <v>35228</v>
      </c>
      <c r="D85" s="200" t="s">
        <v>32</v>
      </c>
      <c r="E85" s="3021"/>
      <c r="F85" s="3020"/>
      <c r="G85" s="3020"/>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2259</v>
      </c>
      <c r="C86" s="207">
        <f ca="1">IF(H88="仅含出让金",C87+C90+C91+C92+C93+C94,C87+C91+C92+C93+C94)</f>
        <v>176</v>
      </c>
      <c r="D86" s="235"/>
      <c r="E86" s="3021"/>
      <c r="F86" s="3020"/>
      <c r="G86" s="3020"/>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2276</v>
      </c>
      <c r="C87" s="225">
        <f>C88+C89</f>
        <v>0</v>
      </c>
      <c r="D87" s="226"/>
      <c r="E87" s="3016"/>
      <c r="F87" s="3017"/>
      <c r="G87" s="3017"/>
      <c r="H87" s="3018"/>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2277</v>
      </c>
      <c r="C88" s="236"/>
      <c r="D88" s="226"/>
      <c r="E88" s="237" t="s">
        <v>2278</v>
      </c>
      <c r="F88" s="3017"/>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2267</v>
      </c>
      <c r="C89" s="225">
        <f>ROUND(C88*D89,0)</f>
        <v>0</v>
      </c>
      <c r="D89" s="226">
        <f>'数据-取费表'!B48+'数据-取费表'!B49</f>
        <v>3.0499999999999999E-2</v>
      </c>
      <c r="E89" s="237" t="s">
        <v>2280</v>
      </c>
      <c r="F89" s="3017"/>
      <c r="G89" s="3017"/>
      <c r="H89" s="3018"/>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2281</v>
      </c>
      <c r="C90" s="236"/>
      <c r="D90" s="226"/>
      <c r="E90" s="237" t="str">
        <f>IF(H88="-","土地取得成本中已包含该笔费用"," ")</f>
        <v xml:space="preserve"> </v>
      </c>
      <c r="F90" s="3017"/>
      <c r="G90" s="3017"/>
      <c r="H90" s="3018"/>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171" t="s">
        <v>2284</v>
      </c>
      <c r="F91" s="3172"/>
      <c r="G91" s="3172"/>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171" t="s">
        <v>2288</v>
      </c>
      <c r="F92" s="3172"/>
      <c r="G92" s="3172"/>
      <c r="H92" s="3173"/>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176</v>
      </c>
      <c r="D93" s="226">
        <f>'数据-取费表'!B43</f>
        <v>5.000000000000001E-3</v>
      </c>
      <c r="E93" s="3171" t="s">
        <v>2271</v>
      </c>
      <c r="F93" s="3172"/>
      <c r="G93" s="3172"/>
      <c r="H93" s="3173"/>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219" t="s">
        <v>2292</v>
      </c>
      <c r="F94" s="3220"/>
      <c r="G94" s="3220"/>
      <c r="H94" s="3221"/>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2272</v>
      </c>
      <c r="C95" s="207">
        <f ca="1">ROUND(C85-C86,0)</f>
        <v>35052</v>
      </c>
      <c r="D95" s="200" t="s">
        <v>32</v>
      </c>
      <c r="E95" s="3021"/>
      <c r="F95" s="3020"/>
      <c r="G95" s="3020"/>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f ca="1">IF(C95&lt;=0,0,C95/C86)</f>
        <v>199.15909090909091</v>
      </c>
      <c r="D96" s="200" t="s">
        <v>32</v>
      </c>
      <c r="E96" s="3011" t="str">
        <f ca="1">IF(C96&gt;=200%,"增值额超过扣除项目金额200%",IF(C96&gt;=100%,"增值额超过扣除项目金额100%，未超过200%",IF(C96&gt;=50%,"增值额超过扣除项目金额50%，未超过100%",IF(C96&lt;50%,"增值额未超过扣除项目金额50%"))))</f>
        <v>增值额超过扣除项目金额200%</v>
      </c>
      <c r="F96" s="3020"/>
      <c r="G96" s="3020"/>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2274</v>
      </c>
      <c r="C97" s="228">
        <f ca="1">ROUND(IF(C95&lt;=0,0,IF(C96&gt;=200%,C95*60%-C86*35%,IF(C96&gt;=100%,C95*50%-C86*15%,IF(C96&gt;=50%,C95*40%-C86*5%,IF(C96&lt;50%,C95*30%,0))))),0)</f>
        <v>20970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2293</v>
      </c>
      <c r="B99" s="2417"/>
      <c r="C99" s="2417"/>
      <c r="D99" s="2417"/>
      <c r="E99" s="2165"/>
      <c r="F99" s="2165"/>
      <c r="G99" s="2165"/>
      <c r="H99" s="2164"/>
      <c r="I99" s="138"/>
    </row>
    <row r="100" spans="1:35" ht="18.75" customHeight="1">
      <c r="A100" s="3123" t="s">
        <v>2294</v>
      </c>
      <c r="B100" s="3124"/>
      <c r="C100" s="3124"/>
      <c r="D100" s="3155"/>
      <c r="E100" s="3124" t="s">
        <v>2295</v>
      </c>
      <c r="F100" s="3124"/>
      <c r="G100" s="3124"/>
      <c r="H100" s="3155"/>
      <c r="I100" s="138"/>
    </row>
    <row r="101" spans="1:35" ht="18.75" customHeight="1">
      <c r="A101" s="3163" t="s">
        <v>2296</v>
      </c>
      <c r="B101" s="3164"/>
      <c r="C101" s="734" t="str">
        <f>C4</f>
        <v>比较法-公寓</v>
      </c>
      <c r="D101" s="735" t="str">
        <f>D4</f>
        <v>收益法-公寓</v>
      </c>
      <c r="E101" s="3135" t="s">
        <v>2297</v>
      </c>
      <c r="F101" s="3136"/>
      <c r="G101" s="2519" t="s">
        <v>2298</v>
      </c>
      <c r="H101" s="1046">
        <f ca="1">H118</f>
        <v>36989</v>
      </c>
      <c r="I101" s="138"/>
    </row>
    <row r="102" spans="1:35" ht="18.75" customHeight="1">
      <c r="A102" s="3165" t="s">
        <v>2299</v>
      </c>
      <c r="B102" s="2519" t="s">
        <v>2298</v>
      </c>
      <c r="C102" s="734">
        <f ca="1">C19</f>
        <v>39960</v>
      </c>
      <c r="D102" s="735">
        <f ca="1">D19</f>
        <v>34018</v>
      </c>
      <c r="E102" s="3135"/>
      <c r="F102" s="3136"/>
      <c r="G102" s="2519" t="s">
        <v>2300</v>
      </c>
      <c r="H102" s="371">
        <f ca="1">I118</f>
        <v>22824</v>
      </c>
      <c r="I102" s="138"/>
    </row>
    <row r="103" spans="1:35" ht="42.75" customHeight="1">
      <c r="A103" s="3165"/>
      <c r="B103" s="2519" t="s">
        <v>2300</v>
      </c>
      <c r="C103" s="736">
        <f ca="1">C20</f>
        <v>24657</v>
      </c>
      <c r="D103" s="737">
        <f ca="1">D20</f>
        <v>20991</v>
      </c>
      <c r="E103" s="3129" t="s">
        <v>2301</v>
      </c>
      <c r="F103" s="3130"/>
      <c r="G103" s="2520" t="s">
        <v>2302</v>
      </c>
      <c r="H103" s="1046">
        <f>IF(D36="正常操作",H104+H105+H106,H105+H106)</f>
        <v>0</v>
      </c>
      <c r="I103" s="138"/>
    </row>
    <row r="104" spans="1:35" ht="18.75" customHeight="1">
      <c r="A104" s="3165" t="s">
        <v>2303</v>
      </c>
      <c r="B104" s="2521" t="s">
        <v>2298</v>
      </c>
      <c r="C104" s="738">
        <f ca="1">H118</f>
        <v>36989</v>
      </c>
      <c r="D104" s="739"/>
      <c r="E104" s="2265" t="s">
        <v>2304</v>
      </c>
      <c r="F104" s="2257"/>
      <c r="G104" s="2520" t="s">
        <v>2302</v>
      </c>
      <c r="H104" s="1047">
        <f>IF(D36="同一抵押权人同一抵押物续贷",C36&amp;"（未扣减，详见特别提示）",C36)</f>
        <v>0</v>
      </c>
      <c r="I104" s="138"/>
    </row>
    <row r="105" spans="1:35" ht="18.75" customHeight="1" thickBot="1">
      <c r="A105" s="3177"/>
      <c r="B105" s="2522" t="s">
        <v>2300</v>
      </c>
      <c r="C105" s="740">
        <f ca="1">I118</f>
        <v>22824</v>
      </c>
      <c r="D105" s="741"/>
      <c r="E105" s="2265" t="s">
        <v>2305</v>
      </c>
      <c r="F105" s="2257"/>
      <c r="G105" s="2520" t="s">
        <v>2302</v>
      </c>
      <c r="H105" s="1047">
        <f>C37</f>
        <v>0</v>
      </c>
      <c r="I105" s="138"/>
    </row>
    <row r="106" spans="1:35" ht="18.75" customHeight="1">
      <c r="A106" s="2417" t="s">
        <v>2306</v>
      </c>
      <c r="B106" s="2417"/>
      <c r="C106" s="2417"/>
      <c r="D106" s="2417"/>
      <c r="E106" s="2523" t="s">
        <v>2307</v>
      </c>
      <c r="F106" s="2257"/>
      <c r="G106" s="2520" t="s">
        <v>2302</v>
      </c>
      <c r="H106" s="1047">
        <f>C38</f>
        <v>0</v>
      </c>
      <c r="I106" s="138"/>
    </row>
    <row r="107" spans="1:35" ht="18.75" customHeight="1">
      <c r="A107" s="138"/>
      <c r="B107" s="138"/>
      <c r="C107" s="138"/>
      <c r="D107" s="138"/>
      <c r="E107" s="3166" t="str">
        <f>IF(项目基本情况!E8="已注销","——","3.房地产抵押价值")</f>
        <v>3.房地产抵押价值</v>
      </c>
      <c r="F107" s="3136"/>
      <c r="G107" s="2519" t="s">
        <v>2298</v>
      </c>
      <c r="H107" s="1046">
        <f ca="1">IF(E107="——","——",H101-H103)</f>
        <v>36989</v>
      </c>
      <c r="I107" s="138"/>
    </row>
    <row r="108" spans="1:35" ht="18.75" customHeight="1">
      <c r="A108" s="138"/>
      <c r="B108" s="138"/>
      <c r="C108" s="138"/>
      <c r="D108" s="138"/>
      <c r="E108" s="3166"/>
      <c r="F108" s="3136"/>
      <c r="G108" s="2519" t="s">
        <v>2300</v>
      </c>
      <c r="H108" s="371">
        <f ca="1">ROUND(H107*10000/'数据-汇总表'!E3,0)</f>
        <v>5549</v>
      </c>
      <c r="I108" s="138"/>
    </row>
    <row r="109" spans="1:35" ht="18.75" customHeight="1">
      <c r="A109" s="138"/>
      <c r="B109" s="138"/>
      <c r="C109" s="138"/>
      <c r="D109" s="138"/>
      <c r="E109" s="3166" t="str">
        <f>IF(项目基本情况!E8="已注销及未注销","4.抵押担保权已注销时的房地产抵押价值",IF(项目基本情况!E8="已注销","3.抵押担保权已注销时的房地产抵押价值","——"))</f>
        <v>——</v>
      </c>
      <c r="F109" s="3136"/>
      <c r="G109" s="2519" t="s">
        <v>2298</v>
      </c>
      <c r="H109" s="348" t="str">
        <f>IF(E109="——","——",H101-H105-H106)</f>
        <v>——</v>
      </c>
      <c r="I109" s="138"/>
    </row>
    <row r="110" spans="1:35" ht="18.75" customHeight="1">
      <c r="A110" s="138"/>
      <c r="B110" s="138"/>
      <c r="C110" s="138"/>
      <c r="D110" s="138"/>
      <c r="E110" s="3166"/>
      <c r="F110" s="3136"/>
      <c r="G110" s="2519" t="s">
        <v>2300</v>
      </c>
      <c r="H110" s="371" t="str">
        <f>IF(H109="——","——",ROUND(H109*10000/'数据-汇总表'!E3,0))</f>
        <v>——</v>
      </c>
      <c r="I110" s="138"/>
    </row>
    <row r="111" spans="1:35" ht="18.75" customHeight="1">
      <c r="A111" s="138"/>
      <c r="B111" s="138"/>
      <c r="C111" s="138"/>
      <c r="D111" s="138"/>
      <c r="E111" s="3167" t="str">
        <f>IF(项目基本情况!E9="抵押净值",IF(OR(项目基本情况!E8="已注销",项目基本情况!E8="房地产抵押价值"),"4.抵押净值","5.抵押净值"),"——")</f>
        <v>——</v>
      </c>
      <c r="F111" s="3168"/>
      <c r="G111" s="2519" t="s">
        <v>2298</v>
      </c>
      <c r="H111" s="1046" t="str">
        <f>IF(E111="——","——",N59)</f>
        <v>——</v>
      </c>
      <c r="I111" s="138"/>
    </row>
    <row r="112" spans="1:35" ht="18.75" customHeight="1" thickBot="1">
      <c r="A112" s="138"/>
      <c r="B112" s="138"/>
      <c r="C112" s="138"/>
      <c r="D112" s="138"/>
      <c r="E112" s="3169"/>
      <c r="F112" s="3170"/>
      <c r="G112" s="2524" t="s">
        <v>2300</v>
      </c>
      <c r="H112" s="788" t="str">
        <f>IF(E111="——","——",N61)</f>
        <v>——</v>
      </c>
      <c r="I112" s="138"/>
    </row>
    <row r="113" spans="1:11" ht="18.75" customHeight="1">
      <c r="A113" s="138"/>
      <c r="B113" s="138"/>
      <c r="C113" s="138"/>
      <c r="D113" s="138"/>
      <c r="E113" s="3178" t="s">
        <v>2306</v>
      </c>
      <c r="F113" s="3178"/>
      <c r="G113" s="3178"/>
      <c r="H113" s="3178"/>
      <c r="I113" s="138"/>
    </row>
    <row r="114" spans="1:11" ht="3.75" customHeight="1">
      <c r="A114" s="2417"/>
      <c r="B114" s="2417"/>
      <c r="C114" s="2417"/>
      <c r="D114" s="2417"/>
      <c r="E114" s="2495"/>
      <c r="F114" s="2495"/>
      <c r="G114" s="2495"/>
      <c r="H114" s="2495"/>
      <c r="I114" s="2417"/>
    </row>
    <row r="115" spans="1:11" ht="18.75" customHeight="1">
      <c r="A115" s="3191" t="s">
        <v>2308</v>
      </c>
      <c r="B115" s="3192"/>
      <c r="C115" s="3192"/>
      <c r="D115" s="3192"/>
      <c r="E115" s="3192"/>
      <c r="F115" s="3192"/>
      <c r="G115" s="3192"/>
      <c r="H115" s="3192"/>
      <c r="I115" s="3193"/>
    </row>
    <row r="116" spans="1:11" ht="27" customHeight="1">
      <c r="A116" s="3102" t="s">
        <v>2309</v>
      </c>
      <c r="B116" s="3145" t="s">
        <v>2310</v>
      </c>
      <c r="C116" s="3145" t="s">
        <v>2311</v>
      </c>
      <c r="D116" s="3151" t="s">
        <v>2312</v>
      </c>
      <c r="E116" s="3152"/>
      <c r="F116" s="3187" t="s">
        <v>2313</v>
      </c>
      <c r="G116" s="3187"/>
      <c r="H116" s="3102" t="s">
        <v>2314</v>
      </c>
      <c r="I116" s="3102"/>
    </row>
    <row r="117" spans="1:11" ht="18.75" customHeight="1">
      <c r="A117" s="3102"/>
      <c r="B117" s="3146"/>
      <c r="C117" s="3146"/>
      <c r="D117" s="3005" t="s">
        <v>2315</v>
      </c>
      <c r="E117" s="3005" t="s">
        <v>2316</v>
      </c>
      <c r="F117" s="3005" t="s">
        <v>2315</v>
      </c>
      <c r="G117" s="3005" t="s">
        <v>2317</v>
      </c>
      <c r="H117" s="3005" t="s">
        <v>2315</v>
      </c>
      <c r="I117" s="3005" t="s">
        <v>2317</v>
      </c>
    </row>
    <row r="118" spans="1:11" ht="24.75" customHeight="1">
      <c r="A118" s="2525" t="str">
        <f>项目基本情况!S2</f>
        <v>北京市房地产</v>
      </c>
      <c r="B118" s="3005">
        <f>M18</f>
        <v>16206.23</v>
      </c>
      <c r="C118" s="3005">
        <f>M19</f>
        <v>5264.7</v>
      </c>
      <c r="D118" s="3005" t="e">
        <f ca="1">ROUND(IF(D32="总价",C34,E118*B118/10000),0)</f>
        <v>#REF!</v>
      </c>
      <c r="E118" s="3005" t="e">
        <f ca="1">ROUND(IF(C33="自定义",IF(D32="楼面单价",C34,D118*10000/B118),I118-G118),0)</f>
        <v>#REF!</v>
      </c>
      <c r="F118" s="3005" t="e">
        <f ca="1">ROUND(IF(D32="总价",C35,G118*B118/10000),0)</f>
        <v>#REF!</v>
      </c>
      <c r="G118" s="3005" t="e">
        <f ca="1">ROUND(IF(D32="楼面单价",C35,F118*10000/B118),0)</f>
        <v>#REF!</v>
      </c>
      <c r="H118" s="3005">
        <f ca="1">ROUND(IF(D32="总价",C32,I118*B118/10000),0)</f>
        <v>36989</v>
      </c>
      <c r="I118" s="3005">
        <f ca="1">ROUND(IF(D32="楼面单价",C32,H118*10000/B118),0)</f>
        <v>22824</v>
      </c>
    </row>
    <row r="119" spans="1:11" ht="18.75" customHeight="1">
      <c r="A119" s="3102" t="s">
        <v>2318</v>
      </c>
      <c r="B119" s="3102"/>
      <c r="C119" s="3102"/>
      <c r="D119" s="3147" t="e">
        <f ca="1">NUMBERSTRING(INT(D118*10000),2)&amp;"元整"</f>
        <v>#REF!</v>
      </c>
      <c r="E119" s="3148"/>
      <c r="F119" s="3147" t="e">
        <f ca="1">NUMBERSTRING(INT(F118*10000),2)&amp;"元整"</f>
        <v>#REF!</v>
      </c>
      <c r="G119" s="3148"/>
      <c r="H119" s="3147" t="str">
        <f ca="1">NUMBERSTRING(INT(H118*10000),2)&amp;"元整"</f>
        <v>叁亿陆仟玖佰捌拾玖万元整</v>
      </c>
      <c r="I119" s="3148"/>
    </row>
    <row r="120" spans="1:11" ht="18.75" customHeight="1">
      <c r="A120" s="3142" t="str">
        <f>IF(项目基本情况!B9="房地产市场价值","",MID(E103,3,LEN(E103)-2))</f>
        <v/>
      </c>
      <c r="B120" s="3143"/>
      <c r="C120" s="3144"/>
      <c r="D120" s="3142">
        <f>H103</f>
        <v>0</v>
      </c>
      <c r="E120" s="3143"/>
      <c r="F120" s="3143"/>
      <c r="G120" s="3143"/>
      <c r="H120" s="3143"/>
      <c r="I120" s="3144"/>
      <c r="K120" s="2422" t="str">
        <f>IF(D120=0,"故，本次评估不存在"&amp;A120,"故，本次评估"&amp;A120&amp;"为人民币"&amp;D120&amp;"万元整。")</f>
        <v>故，本次评估不存在</v>
      </c>
    </row>
    <row r="121" spans="1:11" ht="18.75" customHeight="1">
      <c r="A121" s="3188" t="s">
        <v>2318</v>
      </c>
      <c r="B121" s="3189"/>
      <c r="C121" s="3190"/>
      <c r="D121" s="3147" t="str">
        <f>IF(D120=0,"零元整",NUMBERSTRING(INT(D120*10000),2)&amp;"元整")</f>
        <v>零元整</v>
      </c>
      <c r="E121" s="3149"/>
      <c r="F121" s="3149"/>
      <c r="G121" s="3149"/>
      <c r="H121" s="3149"/>
      <c r="I121" s="3148"/>
    </row>
    <row r="122" spans="1:11" ht="18.75" customHeight="1">
      <c r="A122" s="3153" t="str">
        <f>IF(项目基本情况!B9="房地产市场价值","",MID(E107,3,LEN(E107)-2))</f>
        <v/>
      </c>
      <c r="B122" s="3153"/>
      <c r="C122" s="3153"/>
      <c r="D122" s="3142">
        <f ca="1">H107</f>
        <v>36989</v>
      </c>
      <c r="E122" s="3143"/>
      <c r="F122" s="3143"/>
      <c r="G122" s="3143"/>
      <c r="H122" s="3143"/>
      <c r="I122" s="3144"/>
    </row>
    <row r="123" spans="1:11" ht="18.75" customHeight="1">
      <c r="A123" s="3102" t="s">
        <v>2318</v>
      </c>
      <c r="B123" s="3102"/>
      <c r="C123" s="3102"/>
      <c r="D123" s="3147" t="str">
        <f ca="1">NUMBERSTRING(INT(D122*10000),2)&amp;"元整"</f>
        <v>叁亿陆仟玖佰捌拾玖万元整</v>
      </c>
      <c r="E123" s="3149"/>
      <c r="F123" s="3149"/>
      <c r="G123" s="3149"/>
      <c r="H123" s="3149"/>
      <c r="I123" s="3148"/>
    </row>
    <row r="124" spans="1:11" ht="18.75" customHeight="1">
      <c r="A124" s="3153" t="str">
        <f>IF(项目基本情况!B9="房地产市场价值","",MID(E109,3,LEN(E109)-2))</f>
        <v/>
      </c>
      <c r="B124" s="3153"/>
      <c r="C124" s="3153"/>
      <c r="D124" s="3142" t="str">
        <f>H109</f>
        <v>——</v>
      </c>
      <c r="E124" s="3143"/>
      <c r="F124" s="3143"/>
      <c r="G124" s="3143"/>
      <c r="H124" s="3143"/>
      <c r="I124" s="3144"/>
    </row>
    <row r="125" spans="1:11" ht="18.75" customHeight="1">
      <c r="A125" s="3102" t="s">
        <v>2318</v>
      </c>
      <c r="B125" s="3102"/>
      <c r="C125" s="3102"/>
      <c r="D125" s="3147" t="e">
        <f>NUMBERSTRING(INT(D124*10000),2)&amp;"元整"</f>
        <v>#VALUE!</v>
      </c>
      <c r="E125" s="3149"/>
      <c r="F125" s="3149"/>
      <c r="G125" s="3149"/>
      <c r="H125" s="3149"/>
      <c r="I125" s="3148"/>
    </row>
    <row r="126" spans="1:11" ht="18.75" customHeight="1">
      <c r="A126" s="3153" t="str">
        <f>IF(项目基本情况!B9="房地产市场价值","",MID(E111,3,LEN(E111)-2))</f>
        <v/>
      </c>
      <c r="B126" s="3153"/>
      <c r="C126" s="3153"/>
      <c r="D126" s="3142" t="str">
        <f>H111</f>
        <v>——</v>
      </c>
      <c r="E126" s="3143"/>
      <c r="F126" s="3143"/>
      <c r="G126" s="3143"/>
      <c r="H126" s="3143"/>
      <c r="I126" s="3144"/>
    </row>
    <row r="127" spans="1:11" ht="18.75" customHeight="1">
      <c r="A127" s="3102" t="s">
        <v>2318</v>
      </c>
      <c r="B127" s="3102"/>
      <c r="C127" s="3102"/>
      <c r="D127" s="3147" t="e">
        <f>NUMBERSTRING(INT(D126*10000),2)&amp;"元整"</f>
        <v>#VALUE!</v>
      </c>
      <c r="E127" s="3149"/>
      <c r="F127" s="3149"/>
      <c r="G127" s="3149"/>
      <c r="H127" s="3149"/>
      <c r="I127" s="3148"/>
    </row>
    <row r="128" spans="1:11" ht="21.75" customHeight="1">
      <c r="A128" s="3150" t="s">
        <v>2319</v>
      </c>
      <c r="B128" s="3150"/>
      <c r="C128" s="3150"/>
      <c r="D128" s="3150"/>
      <c r="E128" s="3150"/>
      <c r="F128" s="3150"/>
      <c r="G128" s="3150"/>
      <c r="H128" s="3150"/>
      <c r="I128" s="3150"/>
    </row>
    <row r="129" spans="1:35" ht="21.75" customHeight="1">
      <c r="A129" s="2526" t="s">
        <v>2320</v>
      </c>
      <c r="B129" s="2527"/>
      <c r="C129" s="2528" t="s">
        <v>2321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3"/>
    </row>
    <row r="135" spans="1:35" ht="21.75" customHeight="1">
      <c r="A135" s="793"/>
      <c r="B135" s="793"/>
      <c r="C135" s="793"/>
      <c r="D135" s="793"/>
      <c r="E135" s="793"/>
      <c r="F135" s="2542" t="s">
        <v>2322</v>
      </c>
      <c r="G135" s="2543"/>
      <c r="H135" s="2543"/>
      <c r="I135" s="2544" t="s">
        <v>2323</v>
      </c>
    </row>
    <row r="136" spans="1:35" ht="21.75" customHeight="1">
      <c r="A136" s="793"/>
      <c r="B136" s="2545" t="s">
        <v>2324</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3"/>
      <c r="C138" s="2543"/>
      <c r="D138" s="2543"/>
      <c r="E138" s="2543"/>
      <c r="F138" s="2543"/>
      <c r="G138" s="2543"/>
      <c r="H138" s="2543"/>
      <c r="I138" s="2544" t="s">
        <v>2325</v>
      </c>
    </row>
    <row r="139" spans="1:35" ht="21.75" customHeight="1">
      <c r="A139" s="793"/>
      <c r="B139" s="2545" t="s">
        <v>2326</v>
      </c>
      <c r="C139" s="793"/>
      <c r="D139" s="793"/>
      <c r="E139" s="793"/>
      <c r="F139" s="793"/>
      <c r="G139" s="793"/>
      <c r="H139" s="793"/>
      <c r="I139" s="793"/>
    </row>
    <row r="140" spans="1:35" ht="21.75" customHeight="1">
      <c r="A140" s="793"/>
      <c r="B140" s="2545"/>
      <c r="C140" s="793"/>
      <c r="D140" s="793"/>
      <c r="E140" s="793"/>
      <c r="F140" s="793"/>
      <c r="G140" s="793"/>
      <c r="H140" s="793"/>
      <c r="I140" s="793"/>
    </row>
    <row r="141" spans="1:35" ht="21.75" customHeight="1">
      <c r="A141" s="793"/>
      <c r="B141" s="2543"/>
      <c r="C141" s="2543"/>
      <c r="D141" s="2543"/>
      <c r="E141" s="2543"/>
      <c r="F141" s="2543"/>
      <c r="G141" s="2543"/>
      <c r="H141" s="2543"/>
      <c r="I141" s="2544" t="s">
        <v>2325</v>
      </c>
    </row>
    <row r="142" spans="1:35" ht="21.75" customHeight="1">
      <c r="A142" s="793"/>
      <c r="B142" s="2545"/>
      <c r="C142" s="2546"/>
      <c r="D142" s="2547"/>
      <c r="E142" s="2547"/>
      <c r="F142" s="2339"/>
      <c r="G142" s="793"/>
      <c r="H142" s="793"/>
      <c r="I142" s="793"/>
    </row>
    <row r="143" spans="1:35" s="139" customFormat="1" ht="21.75" customHeight="1">
      <c r="A143" s="793"/>
      <c r="B143" s="2545"/>
      <c r="C143" s="2546"/>
      <c r="D143" s="2547"/>
      <c r="E143" s="2547"/>
      <c r="F143" s="233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68" priority="10" stopIfTrue="1" operator="equal">
      <formula>25</formula>
    </cfRule>
  </conditionalFormatting>
  <conditionalFormatting sqref="C8:C9">
    <cfRule type="cellIs" dxfId="167" priority="9" stopIfTrue="1" operator="equal">
      <formula>15</formula>
    </cfRule>
  </conditionalFormatting>
  <conditionalFormatting sqref="C14:C16">
    <cfRule type="cellIs" dxfId="166" priority="8" stopIfTrue="1" operator="equal">
      <formula>30</formula>
    </cfRule>
  </conditionalFormatting>
  <conditionalFormatting sqref="D5:D7">
    <cfRule type="cellIs" dxfId="165" priority="7" stopIfTrue="1" operator="equal">
      <formula>25</formula>
    </cfRule>
  </conditionalFormatting>
  <conditionalFormatting sqref="D8:D9">
    <cfRule type="cellIs" dxfId="164" priority="6" stopIfTrue="1" operator="equal">
      <formula>15</formula>
    </cfRule>
  </conditionalFormatting>
  <conditionalFormatting sqref="C10:D13">
    <cfRule type="cellIs" dxfId="163" priority="5" stopIfTrue="1" operator="equal">
      <formula>15</formula>
    </cfRule>
  </conditionalFormatting>
  <conditionalFormatting sqref="D14:D16">
    <cfRule type="cellIs" dxfId="162" priority="4" stopIfTrue="1" operator="equal">
      <formula>30</formula>
    </cfRule>
  </conditionalFormatting>
  <conditionalFormatting sqref="C90">
    <cfRule type="expression" dxfId="161" priority="3" stopIfTrue="1">
      <formula>$H$88&lt;&gt;"仅含出让金"</formula>
    </cfRule>
  </conditionalFormatting>
  <conditionalFormatting sqref="C91">
    <cfRule type="expression" dxfId="160" priority="2" stopIfTrue="1">
      <formula>$H$91="由企业提供"</formula>
    </cfRule>
  </conditionalFormatting>
  <conditionalFormatting sqref="E36">
    <cfRule type="expression" dxfId="15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80" zoomScaleNormal="80" workbookViewId="0">
      <selection activeCell="J7" sqref="J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2529</v>
      </c>
      <c r="B1" s="2583" t="s">
        <v>2643</v>
      </c>
      <c r="C1" s="1635" t="s">
        <v>2531</v>
      </c>
      <c r="D1" s="1622" t="s">
        <v>1373</v>
      </c>
      <c r="E1" s="2658"/>
      <c r="F1" s="2585" t="s">
        <v>3098</v>
      </c>
      <c r="G1" s="1632" t="s">
        <v>2644</v>
      </c>
      <c r="H1" s="1631"/>
      <c r="I1" s="1631"/>
      <c r="J1" s="1631"/>
      <c r="K1" s="1633"/>
      <c r="L1" s="1634"/>
      <c r="M1" s="1635"/>
      <c r="N1" s="1635"/>
      <c r="O1" s="1635"/>
      <c r="P1" s="2659"/>
      <c r="Q1" s="2660"/>
      <c r="R1" s="2660"/>
      <c r="S1" s="2660"/>
      <c r="T1" s="2660"/>
      <c r="U1" s="2660"/>
      <c r="V1" s="2660"/>
      <c r="W1" s="2660"/>
      <c r="X1" s="2660"/>
      <c r="Y1" s="2660"/>
      <c r="Z1" s="2660"/>
      <c r="AA1" s="2660"/>
      <c r="AB1" s="2660"/>
      <c r="AC1" s="2661"/>
    </row>
    <row r="2" spans="1:29" s="398" customFormat="1" ht="28.5" customHeight="1" thickTop="1">
      <c r="A2" s="1618" t="s">
        <v>2328</v>
      </c>
      <c r="B2" s="1419">
        <f>IF(C2="——",ROUND(C49*D3/10000,0),ROUND(C49*D3/10000,0)-D2)</f>
        <v>53156</v>
      </c>
      <c r="C2" s="2587" t="s">
        <v>70</v>
      </c>
      <c r="D2" s="1366" t="e">
        <f ca="1">SUMIF(INDIRECT("'"&amp;F2&amp;"'"&amp;"!A:A"),"承租人权益价值",INDIRECT("'"&amp;F2&amp;"'"&amp;"!c:c"))</f>
        <v>#REF!</v>
      </c>
      <c r="E2" s="2588" t="s">
        <v>2329</v>
      </c>
      <c r="F2" s="2589"/>
      <c r="G2" s="1126"/>
      <c r="H2" s="1126"/>
      <c r="I2" s="1126"/>
      <c r="J2" s="1126"/>
      <c r="K2" s="1126"/>
      <c r="L2" s="1129"/>
      <c r="M2" s="1130"/>
      <c r="N2" s="1130"/>
      <c r="O2" s="1130"/>
      <c r="P2" s="2662"/>
      <c r="Q2" s="1130"/>
      <c r="R2" s="1130"/>
      <c r="S2" s="1130"/>
      <c r="T2" s="1130"/>
      <c r="U2" s="1130"/>
      <c r="V2" s="1130"/>
      <c r="W2" s="1130"/>
      <c r="X2" s="1130"/>
      <c r="Y2" s="1130"/>
      <c r="Z2" s="1130"/>
      <c r="AA2" s="1130"/>
      <c r="AB2" s="1130"/>
      <c r="AC2" s="2663"/>
    </row>
    <row r="3" spans="1:29" s="398" customFormat="1" ht="28.5" customHeight="1" thickBot="1">
      <c r="A3" s="247" t="s">
        <v>2330</v>
      </c>
      <c r="B3" s="609">
        <f>IF(C2="——",C49,ROUND(B2*10000/D3,0))</f>
        <v>28512</v>
      </c>
      <c r="C3" s="400" t="s">
        <v>2645</v>
      </c>
      <c r="D3" s="399">
        <f>IF(D1="",'数据-汇总表'!E3,SUMIF('数据-汇总表'!$C19:$C33,D1,'数据-汇总表'!$E19:$E33))</f>
        <v>18643.309999999998</v>
      </c>
      <c r="E3" s="2664"/>
      <c r="F3" s="1127"/>
      <c r="G3" s="1126"/>
      <c r="H3" s="1126"/>
      <c r="I3" s="1126"/>
      <c r="J3" s="1126"/>
      <c r="K3" s="1128"/>
      <c r="L3" s="1129"/>
      <c r="M3" s="1130"/>
      <c r="N3" s="1130"/>
      <c r="O3" s="1130"/>
      <c r="P3" s="2662"/>
      <c r="Q3" s="1130"/>
      <c r="R3" s="1130"/>
      <c r="S3" s="1130"/>
      <c r="T3" s="1130"/>
      <c r="U3" s="1130"/>
      <c r="V3" s="1130"/>
      <c r="W3" s="1130"/>
      <c r="X3" s="1130"/>
      <c r="Y3" s="1130"/>
      <c r="Z3" s="1130"/>
      <c r="AA3" s="1130"/>
      <c r="AB3" s="1130"/>
      <c r="AC3" s="2664"/>
    </row>
    <row r="4" spans="1:29" ht="15">
      <c r="A4" s="401" t="s">
        <v>2646</v>
      </c>
      <c r="B4" s="402"/>
      <c r="C4" s="3244" t="s">
        <v>2647</v>
      </c>
      <c r="D4" s="3245"/>
      <c r="E4" s="3246" t="s">
        <v>2648</v>
      </c>
      <c r="F4" s="3247"/>
      <c r="G4" s="3244" t="s">
        <v>2649</v>
      </c>
      <c r="H4" s="3245"/>
      <c r="I4" s="3244" t="s">
        <v>2650</v>
      </c>
      <c r="J4" s="3245"/>
      <c r="K4" s="610" t="s">
        <v>2651</v>
      </c>
      <c r="L4" s="1131"/>
      <c r="M4" s="1132"/>
      <c r="N4" s="1132"/>
      <c r="O4" s="1132"/>
      <c r="P4" s="3248" t="s">
        <v>2652</v>
      </c>
      <c r="Q4" s="3249"/>
      <c r="R4" s="3231" t="s">
        <v>2648</v>
      </c>
      <c r="S4" s="3232"/>
      <c r="T4" s="3231" t="s">
        <v>2649</v>
      </c>
      <c r="U4" s="3232"/>
      <c r="V4" s="3228" t="s">
        <v>2650</v>
      </c>
      <c r="W4" s="3228"/>
      <c r="X4" s="1811"/>
      <c r="Y4" s="3231" t="s">
        <v>2652</v>
      </c>
      <c r="Z4" s="3232"/>
      <c r="AA4" s="3225" t="s">
        <v>2648</v>
      </c>
      <c r="AB4" s="3228" t="s">
        <v>2649</v>
      </c>
      <c r="AC4" s="3225" t="s">
        <v>2650</v>
      </c>
    </row>
    <row r="5" spans="1:29" ht="15">
      <c r="A5" s="404"/>
      <c r="B5" s="405"/>
      <c r="C5" s="3237" t="s">
        <v>2543</v>
      </c>
      <c r="D5" s="3238"/>
      <c r="E5" s="3235" t="str">
        <f>Sheet3!A55</f>
        <v>恒大城</v>
      </c>
      <c r="F5" s="3236"/>
      <c r="G5" s="3237" t="str">
        <f>Sheet3!A56</f>
        <v>恒大城</v>
      </c>
      <c r="H5" s="3238"/>
      <c r="I5" s="3237" t="str">
        <f>Sheet3!A57</f>
        <v>高教园</v>
      </c>
      <c r="J5" s="3238"/>
      <c r="K5" s="610"/>
      <c r="L5" s="1131"/>
      <c r="M5" s="1132"/>
      <c r="N5" s="1132"/>
      <c r="O5" s="1132"/>
      <c r="P5" s="3250"/>
      <c r="Q5" s="3251"/>
      <c r="R5" s="3233"/>
      <c r="S5" s="3234"/>
      <c r="T5" s="3233"/>
      <c r="U5" s="3234"/>
      <c r="V5" s="3228"/>
      <c r="W5" s="3228"/>
      <c r="X5" s="1811"/>
      <c r="Y5" s="3233"/>
      <c r="Z5" s="3234"/>
      <c r="AA5" s="3226"/>
      <c r="AB5" s="3228"/>
      <c r="AC5" s="3226"/>
    </row>
    <row r="6" spans="1:29" ht="15.75" thickBot="1">
      <c r="A6" s="406"/>
      <c r="B6" s="407"/>
      <c r="C6" s="3239" t="s">
        <v>2547</v>
      </c>
      <c r="D6" s="3240"/>
      <c r="E6" s="3241" t="s">
        <v>2547</v>
      </c>
      <c r="F6" s="3242"/>
      <c r="G6" s="3239" t="s">
        <v>2547</v>
      </c>
      <c r="H6" s="3240"/>
      <c r="I6" s="3239" t="s">
        <v>2547</v>
      </c>
      <c r="J6" s="3240"/>
      <c r="K6" s="610" t="s">
        <v>2548</v>
      </c>
      <c r="L6" s="1131"/>
      <c r="M6" s="1132"/>
      <c r="N6" s="1132"/>
      <c r="O6" s="1132"/>
      <c r="P6" s="3252"/>
      <c r="Q6" s="3253"/>
      <c r="R6" s="3233"/>
      <c r="S6" s="3234"/>
      <c r="T6" s="3254"/>
      <c r="U6" s="3255"/>
      <c r="V6" s="3228"/>
      <c r="W6" s="3228"/>
      <c r="X6" s="1811"/>
      <c r="Y6" s="3254"/>
      <c r="Z6" s="3255"/>
      <c r="AA6" s="3227"/>
      <c r="AB6" s="3228"/>
      <c r="AC6" s="3227"/>
    </row>
    <row r="7" spans="1:29" s="117" customFormat="1" ht="15.75" thickBot="1">
      <c r="A7" s="408" t="s">
        <v>2549</v>
      </c>
      <c r="B7" s="409"/>
      <c r="C7" s="410">
        <f>'数据-取费表'!B2</f>
        <v>43570</v>
      </c>
      <c r="D7" s="411">
        <v>100</v>
      </c>
      <c r="E7" s="412">
        <v>43556</v>
      </c>
      <c r="F7" s="413">
        <f>SUMIF(58:58,YEAR(E7)&amp;"-"&amp;MONTH(E7),59:59)</f>
        <v>100</v>
      </c>
      <c r="G7" s="412">
        <v>43556</v>
      </c>
      <c r="H7" s="411">
        <f>SUMIF(58:58,YEAR(G7)&amp;"-"&amp;MONTH(G7),59:59)</f>
        <v>100</v>
      </c>
      <c r="I7" s="412">
        <v>43556</v>
      </c>
      <c r="J7" s="411">
        <f>SUMIF(58:58,YEAR(I7)&amp;"-"&amp;MONTH(I7),59:59)</f>
        <v>100</v>
      </c>
      <c r="K7" s="611"/>
      <c r="L7" s="1133"/>
      <c r="M7" s="1134"/>
      <c r="N7" s="1134"/>
      <c r="O7" s="1134"/>
      <c r="P7" s="3229" t="s">
        <v>2550</v>
      </c>
      <c r="Q7" s="3256"/>
      <c r="R7" s="768" t="s">
        <v>17</v>
      </c>
      <c r="S7" s="769">
        <f t="shared" ref="S7:S15" si="0">F7</f>
        <v>100</v>
      </c>
      <c r="T7" s="768" t="s">
        <v>17</v>
      </c>
      <c r="U7" s="769">
        <f t="shared" ref="U7:U15" si="1">H7</f>
        <v>100</v>
      </c>
      <c r="V7" s="768" t="s">
        <v>17</v>
      </c>
      <c r="W7" s="769">
        <f t="shared" ref="W7:W15" si="2">J7</f>
        <v>100</v>
      </c>
      <c r="X7" s="770"/>
      <c r="Y7" s="3229" t="s">
        <v>2550</v>
      </c>
      <c r="Z7" s="3230"/>
      <c r="AA7" s="771">
        <f>D7/F7</f>
        <v>1</v>
      </c>
      <c r="AB7" s="771">
        <f>D7/H7</f>
        <v>1</v>
      </c>
      <c r="AC7" s="771">
        <f>D7/J7</f>
        <v>1</v>
      </c>
    </row>
    <row r="8" spans="1:29" s="117" customFormat="1" ht="15.75" thickBot="1">
      <c r="A8" s="408" t="s">
        <v>2551</v>
      </c>
      <c r="B8" s="409"/>
      <c r="C8" s="414" t="s">
        <v>2653</v>
      </c>
      <c r="D8" s="411">
        <v>100</v>
      </c>
      <c r="E8" s="414" t="s">
        <v>3099</v>
      </c>
      <c r="F8" s="413">
        <f>SUMIF(61:61,E8,62:62)-SUMIF(61:61,C8,62:62)+100</f>
        <v>100</v>
      </c>
      <c r="G8" s="2970" t="s">
        <v>3126</v>
      </c>
      <c r="H8" s="411">
        <f>SUMIF(61:61,G8,62:62)-SUMIF(61:61,C8,62:62)+100</f>
        <v>100</v>
      </c>
      <c r="I8" s="2970" t="s">
        <v>3126</v>
      </c>
      <c r="J8" s="411">
        <f>SUMIF(61:61,I8,62:62)-SUMIF(61:61,C8,62:62)+100</f>
        <v>100</v>
      </c>
      <c r="K8" s="611"/>
      <c r="L8" s="1133"/>
      <c r="M8" s="1134"/>
      <c r="N8" s="1134"/>
      <c r="O8" s="1134"/>
      <c r="P8" s="3229" t="s">
        <v>2553</v>
      </c>
      <c r="Q8" s="3230"/>
      <c r="R8" s="768" t="s">
        <v>17</v>
      </c>
      <c r="S8" s="769">
        <f t="shared" si="0"/>
        <v>100</v>
      </c>
      <c r="T8" s="768" t="s">
        <v>17</v>
      </c>
      <c r="U8" s="769">
        <f t="shared" si="1"/>
        <v>100</v>
      </c>
      <c r="V8" s="768" t="s">
        <v>17</v>
      </c>
      <c r="W8" s="769">
        <f t="shared" si="2"/>
        <v>100</v>
      </c>
      <c r="X8" s="770"/>
      <c r="Y8" s="3229" t="s">
        <v>2553</v>
      </c>
      <c r="Z8" s="3230"/>
      <c r="AA8" s="771">
        <f t="shared" ref="AA8:AA46" si="3">D8/F8</f>
        <v>1</v>
      </c>
      <c r="AB8" s="771">
        <f t="shared" ref="AB8:AB46" si="4">D8/H8</f>
        <v>1</v>
      </c>
      <c r="AC8" s="771">
        <f t="shared" ref="AC8:AC46" si="5">D8/J8</f>
        <v>1</v>
      </c>
    </row>
    <row r="9" spans="1:29" s="117" customFormat="1">
      <c r="A9" s="415" t="s">
        <v>2554</v>
      </c>
      <c r="B9" s="71" t="s">
        <v>2555</v>
      </c>
      <c r="C9" s="2971" t="s">
        <v>3127</v>
      </c>
      <c r="D9" s="135">
        <v>100</v>
      </c>
      <c r="E9" s="2973" t="s">
        <v>3127</v>
      </c>
      <c r="F9" s="418">
        <f>SUMIF(63:63,E9,64:64)-SUMIF(63:63,C9,64:64)+100</f>
        <v>100</v>
      </c>
      <c r="G9" s="2973" t="s">
        <v>3127</v>
      </c>
      <c r="H9" s="135">
        <f>SUMIF(63:63,G9,64:64)-SUMIF(63:63,C9,64:64)+100</f>
        <v>100</v>
      </c>
      <c r="I9" s="2973" t="s">
        <v>3127</v>
      </c>
      <c r="J9" s="135">
        <f>SUMIF(63:63,I9,64:64)-SUMIF(63:63,C9,64:64)+100</f>
        <v>100</v>
      </c>
      <c r="K9" s="611"/>
      <c r="L9" s="1133"/>
      <c r="M9" s="1134"/>
      <c r="N9" s="1134"/>
      <c r="O9" s="1134"/>
      <c r="P9" s="3243" t="s">
        <v>2556</v>
      </c>
      <c r="Q9" s="1793" t="str">
        <f t="shared" ref="Q9:Q15" si="6">B9</f>
        <v>用途</v>
      </c>
      <c r="R9" s="768" t="s">
        <v>17</v>
      </c>
      <c r="S9" s="769">
        <f t="shared" si="0"/>
        <v>100</v>
      </c>
      <c r="T9" s="768" t="s">
        <v>17</v>
      </c>
      <c r="U9" s="769">
        <f t="shared" si="1"/>
        <v>100</v>
      </c>
      <c r="V9" s="768" t="s">
        <v>17</v>
      </c>
      <c r="W9" s="769">
        <f t="shared" si="2"/>
        <v>100</v>
      </c>
      <c r="X9" s="770"/>
      <c r="Y9" s="3102" t="s">
        <v>2557</v>
      </c>
      <c r="Z9" s="55" t="str">
        <f t="shared" ref="Z9:Z15" si="7">Q9</f>
        <v>用途</v>
      </c>
      <c r="AA9" s="771">
        <f t="shared" si="3"/>
        <v>1</v>
      </c>
      <c r="AB9" s="771">
        <f t="shared" si="4"/>
        <v>1</v>
      </c>
      <c r="AC9" s="771">
        <f t="shared" si="5"/>
        <v>1</v>
      </c>
    </row>
    <row r="10" spans="1:29" s="427" customFormat="1" ht="27">
      <c r="A10" s="421"/>
      <c r="B10" s="422" t="s">
        <v>2558</v>
      </c>
      <c r="C10" s="423" t="s">
        <v>3128</v>
      </c>
      <c r="D10" s="136">
        <v>100</v>
      </c>
      <c r="E10" s="424" t="s">
        <v>3128</v>
      </c>
      <c r="F10" s="425">
        <f>SUMIF(65:65,E10,66:66)-SUMIF(65:65,C10,66:66)+100</f>
        <v>100</v>
      </c>
      <c r="G10" s="423" t="s">
        <v>3128</v>
      </c>
      <c r="H10" s="136">
        <f>SUMIF(65:65,G10,66:66)-SUMIF(65:65,C10,66:66)+100</f>
        <v>100</v>
      </c>
      <c r="I10" s="423" t="s">
        <v>3128</v>
      </c>
      <c r="J10" s="136">
        <f>SUMIF(65:65,I10,66:66)-SUMIF(65:65,C10,66:66)+100</f>
        <v>100</v>
      </c>
      <c r="K10" s="612">
        <v>2</v>
      </c>
      <c r="L10" s="1136"/>
      <c r="M10" s="1137"/>
      <c r="N10" s="1137"/>
      <c r="O10" s="1137"/>
      <c r="P10" s="3243"/>
      <c r="Q10" s="1793" t="str">
        <f t="shared" si="6"/>
        <v>土地使用年限（年）</v>
      </c>
      <c r="R10" s="768" t="s">
        <v>17</v>
      </c>
      <c r="S10" s="769">
        <f t="shared" si="0"/>
        <v>100</v>
      </c>
      <c r="T10" s="768" t="s">
        <v>17</v>
      </c>
      <c r="U10" s="769">
        <f t="shared" si="1"/>
        <v>100</v>
      </c>
      <c r="V10" s="768" t="s">
        <v>17</v>
      </c>
      <c r="W10" s="769">
        <f t="shared" si="2"/>
        <v>100</v>
      </c>
      <c r="X10" s="770"/>
      <c r="Y10" s="3102"/>
      <c r="Z10" s="55" t="str">
        <f t="shared" si="7"/>
        <v>土地使用年限（年）</v>
      </c>
      <c r="AA10" s="771">
        <f t="shared" si="3"/>
        <v>1</v>
      </c>
      <c r="AB10" s="771">
        <f t="shared" si="4"/>
        <v>1</v>
      </c>
      <c r="AC10" s="771">
        <f t="shared" si="5"/>
        <v>1</v>
      </c>
    </row>
    <row r="11" spans="1:29" ht="15">
      <c r="A11" s="428"/>
      <c r="B11" s="422" t="s">
        <v>2559</v>
      </c>
      <c r="C11" s="429"/>
      <c r="D11" s="136">
        <v>100</v>
      </c>
      <c r="E11" s="430"/>
      <c r="F11" s="425">
        <f>LOOKUP(E11,68:68,69:69)-LOOKUP(C11,68:68,69:69)+100</f>
        <v>100</v>
      </c>
      <c r="G11" s="429"/>
      <c r="H11" s="136">
        <f>LOOKUP(G11,68:68,69:69)-LOOKUP(C11,68:68,69:69)+100</f>
        <v>100</v>
      </c>
      <c r="I11" s="429"/>
      <c r="J11" s="136">
        <f>LOOKUP(I11,68:68,69:69)-LOOKUP(C11,68:68,69:69)+100</f>
        <v>100</v>
      </c>
      <c r="K11" s="612">
        <v>2</v>
      </c>
      <c r="L11" s="1139"/>
      <c r="M11" s="1132"/>
      <c r="N11" s="1132"/>
      <c r="O11" s="1132"/>
      <c r="P11" s="3243"/>
      <c r="Q11" s="1793" t="str">
        <f t="shared" si="6"/>
        <v>容积率</v>
      </c>
      <c r="R11" s="768" t="s">
        <v>17</v>
      </c>
      <c r="S11" s="769">
        <f t="shared" si="0"/>
        <v>100</v>
      </c>
      <c r="T11" s="768" t="s">
        <v>17</v>
      </c>
      <c r="U11" s="769">
        <f t="shared" si="1"/>
        <v>100</v>
      </c>
      <c r="V11" s="768" t="s">
        <v>17</v>
      </c>
      <c r="W11" s="769">
        <f t="shared" si="2"/>
        <v>100</v>
      </c>
      <c r="X11" s="770"/>
      <c r="Y11" s="3102"/>
      <c r="Z11" s="55" t="str">
        <f t="shared" si="7"/>
        <v>容积率</v>
      </c>
      <c r="AA11" s="771">
        <f t="shared" si="3"/>
        <v>1</v>
      </c>
      <c r="AB11" s="771">
        <f t="shared" si="4"/>
        <v>1</v>
      </c>
      <c r="AC11" s="771">
        <f t="shared" si="5"/>
        <v>1</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243"/>
      <c r="Q12" s="1793">
        <f t="shared" si="6"/>
        <v>111</v>
      </c>
      <c r="R12" s="768" t="s">
        <v>17</v>
      </c>
      <c r="S12" s="769">
        <f t="shared" si="0"/>
        <v>100</v>
      </c>
      <c r="T12" s="768" t="s">
        <v>17</v>
      </c>
      <c r="U12" s="769">
        <f t="shared" si="1"/>
        <v>100</v>
      </c>
      <c r="V12" s="768" t="s">
        <v>17</v>
      </c>
      <c r="W12" s="769">
        <f t="shared" si="2"/>
        <v>100</v>
      </c>
      <c r="X12" s="770"/>
      <c r="Y12" s="3102"/>
      <c r="Z12" s="55">
        <f t="shared" si="7"/>
        <v>111</v>
      </c>
      <c r="AA12" s="771">
        <f>D12/F12</f>
        <v>1</v>
      </c>
      <c r="AB12" s="771">
        <f>D12/H12</f>
        <v>1</v>
      </c>
      <c r="AC12" s="771">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243"/>
      <c r="Q13" s="1793">
        <f t="shared" si="6"/>
        <v>111</v>
      </c>
      <c r="R13" s="768" t="s">
        <v>17</v>
      </c>
      <c r="S13" s="769">
        <f t="shared" si="0"/>
        <v>100</v>
      </c>
      <c r="T13" s="768" t="s">
        <v>17</v>
      </c>
      <c r="U13" s="769">
        <f t="shared" si="1"/>
        <v>100</v>
      </c>
      <c r="V13" s="768" t="s">
        <v>17</v>
      </c>
      <c r="W13" s="769">
        <f t="shared" si="2"/>
        <v>100</v>
      </c>
      <c r="X13" s="770"/>
      <c r="Y13" s="3102"/>
      <c r="Z13" s="55">
        <f t="shared" si="7"/>
        <v>111</v>
      </c>
      <c r="AA13" s="771">
        <f t="shared" si="3"/>
        <v>1</v>
      </c>
      <c r="AB13" s="771">
        <f t="shared" si="4"/>
        <v>1</v>
      </c>
      <c r="AC13" s="771">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243"/>
      <c r="Q14" s="1793">
        <f t="shared" si="6"/>
        <v>111</v>
      </c>
      <c r="R14" s="768" t="s">
        <v>17</v>
      </c>
      <c r="S14" s="769">
        <f t="shared" si="0"/>
        <v>100</v>
      </c>
      <c r="T14" s="768" t="s">
        <v>17</v>
      </c>
      <c r="U14" s="769">
        <f t="shared" si="1"/>
        <v>100</v>
      </c>
      <c r="V14" s="768" t="s">
        <v>17</v>
      </c>
      <c r="W14" s="769">
        <f t="shared" si="2"/>
        <v>100</v>
      </c>
      <c r="X14" s="770"/>
      <c r="Y14" s="3102"/>
      <c r="Z14" s="55">
        <f t="shared" si="7"/>
        <v>111</v>
      </c>
      <c r="AA14" s="771">
        <f t="shared" si="3"/>
        <v>1</v>
      </c>
      <c r="AB14" s="771">
        <f t="shared" si="4"/>
        <v>1</v>
      </c>
      <c r="AC14" s="771">
        <f t="shared" si="5"/>
        <v>1</v>
      </c>
    </row>
    <row r="15" spans="1:29" ht="71.25">
      <c r="A15" s="440" t="s">
        <v>2560</v>
      </c>
      <c r="B15" s="69" t="s">
        <v>2654</v>
      </c>
      <c r="C15" s="2604" t="str">
        <f>估价对象房地状况!C4</f>
        <v>估价对象位于XX商圈，周边商业氛围成熟，人流量大，商业繁华度好</v>
      </c>
      <c r="D15" s="441">
        <v>100</v>
      </c>
      <c r="E15" s="442"/>
      <c r="F15" s="443">
        <f>SUMIF(76:76,E16,77:77)-SUMIF(76:76,C16,77:77)+100</f>
        <v>102</v>
      </c>
      <c r="G15" s="444"/>
      <c r="H15" s="441">
        <f>SUMIF(76:76,G16,77:77)-SUMIF(76:76,C16,77:77)+100</f>
        <v>102</v>
      </c>
      <c r="I15" s="442"/>
      <c r="J15" s="441">
        <f>SUMIF(76:76,I16,77:77)-SUMIF(76:76,C16,77:77)+100</f>
        <v>102</v>
      </c>
      <c r="K15" s="614">
        <v>2</v>
      </c>
      <c r="L15" s="1141"/>
      <c r="M15" s="1132"/>
      <c r="N15" s="1132"/>
      <c r="O15" s="1132"/>
      <c r="P15" s="3257" t="s">
        <v>2561</v>
      </c>
      <c r="Q15" s="1808" t="str">
        <f t="shared" si="6"/>
        <v>商业繁华度</v>
      </c>
      <c r="R15" s="772" t="s">
        <v>17</v>
      </c>
      <c r="S15" s="773">
        <f t="shared" si="0"/>
        <v>102</v>
      </c>
      <c r="T15" s="772" t="s">
        <v>17</v>
      </c>
      <c r="U15" s="773">
        <f t="shared" si="1"/>
        <v>102</v>
      </c>
      <c r="V15" s="772" t="s">
        <v>17</v>
      </c>
      <c r="W15" s="773">
        <f t="shared" si="2"/>
        <v>102</v>
      </c>
      <c r="X15" s="1811"/>
      <c r="Y15" s="3259" t="s">
        <v>2561</v>
      </c>
      <c r="Z15" s="1812" t="str">
        <f t="shared" si="7"/>
        <v>商业繁华度</v>
      </c>
      <c r="AA15" s="1809">
        <f t="shared" si="3"/>
        <v>0.98039215686274506</v>
      </c>
      <c r="AB15" s="1809">
        <f t="shared" si="4"/>
        <v>0.98039215686274506</v>
      </c>
      <c r="AC15" s="1809">
        <f t="shared" si="5"/>
        <v>0.98039215686274506</v>
      </c>
    </row>
    <row r="16" spans="1:29" ht="15">
      <c r="A16" s="428"/>
      <c r="B16" s="446"/>
      <c r="C16" s="2980" t="s">
        <v>3134</v>
      </c>
      <c r="D16" s="448"/>
      <c r="E16" s="2980" t="s">
        <v>3129</v>
      </c>
      <c r="F16" s="449"/>
      <c r="G16" s="2980" t="s">
        <v>3129</v>
      </c>
      <c r="H16" s="450"/>
      <c r="I16" s="2980" t="s">
        <v>3129</v>
      </c>
      <c r="J16" s="448"/>
      <c r="K16" s="615"/>
      <c r="L16" s="1141"/>
      <c r="M16" s="1132"/>
      <c r="N16" s="1132"/>
      <c r="O16" s="1132"/>
      <c r="P16" s="3258"/>
      <c r="Q16" s="1808"/>
      <c r="R16" s="772"/>
      <c r="S16" s="773"/>
      <c r="T16" s="772"/>
      <c r="U16" s="773"/>
      <c r="V16" s="772"/>
      <c r="W16" s="773"/>
      <c r="X16" s="1811"/>
      <c r="Y16" s="3260"/>
      <c r="Z16" s="1812"/>
      <c r="AA16" s="1809">
        <v>1</v>
      </c>
      <c r="AB16" s="1809">
        <v>1</v>
      </c>
      <c r="AC16" s="1809">
        <v>1</v>
      </c>
    </row>
    <row r="17" spans="1:29" ht="85.5">
      <c r="A17" s="428"/>
      <c r="B17" s="451" t="s">
        <v>2097</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41"/>
      <c r="M17" s="1132"/>
      <c r="N17" s="1132"/>
      <c r="O17" s="1132"/>
      <c r="P17" s="3258"/>
      <c r="Q17" s="1808" t="str">
        <f>B17</f>
        <v>交通便捷度</v>
      </c>
      <c r="R17" s="772" t="s">
        <v>17</v>
      </c>
      <c r="S17" s="773">
        <f>F17</f>
        <v>100</v>
      </c>
      <c r="T17" s="772" t="s">
        <v>17</v>
      </c>
      <c r="U17" s="773">
        <f>H17</f>
        <v>100</v>
      </c>
      <c r="V17" s="772" t="s">
        <v>17</v>
      </c>
      <c r="W17" s="773">
        <f>J17</f>
        <v>100</v>
      </c>
      <c r="X17" s="1811"/>
      <c r="Y17" s="3260"/>
      <c r="Z17" s="1812" t="str">
        <f>Q17</f>
        <v>交通便捷度</v>
      </c>
      <c r="AA17" s="1809">
        <f t="shared" si="3"/>
        <v>1</v>
      </c>
      <c r="AB17" s="1809">
        <f t="shared" si="4"/>
        <v>1</v>
      </c>
      <c r="AC17" s="1809">
        <f t="shared" si="5"/>
        <v>1</v>
      </c>
    </row>
    <row r="18" spans="1:29" ht="15">
      <c r="A18" s="428"/>
      <c r="B18" s="456"/>
      <c r="C18" s="2987" t="s">
        <v>3129</v>
      </c>
      <c r="D18" s="450"/>
      <c r="E18" s="2976" t="s">
        <v>3129</v>
      </c>
      <c r="F18" s="453"/>
      <c r="G18" s="2975" t="s">
        <v>3129</v>
      </c>
      <c r="H18" s="448"/>
      <c r="I18" s="2976" t="s">
        <v>3129</v>
      </c>
      <c r="J18" s="448"/>
      <c r="K18" s="615"/>
      <c r="L18" s="1141"/>
      <c r="M18" s="1132"/>
      <c r="N18" s="1132"/>
      <c r="O18" s="1132"/>
      <c r="P18" s="3258"/>
      <c r="Q18" s="1808"/>
      <c r="R18" s="772"/>
      <c r="S18" s="773"/>
      <c r="T18" s="772"/>
      <c r="U18" s="773"/>
      <c r="V18" s="772"/>
      <c r="W18" s="773"/>
      <c r="X18" s="1811"/>
      <c r="Y18" s="3260"/>
      <c r="Z18" s="1812"/>
      <c r="AA18" s="1809">
        <v>1</v>
      </c>
      <c r="AB18" s="1809">
        <v>1</v>
      </c>
      <c r="AC18" s="1809">
        <v>1</v>
      </c>
    </row>
    <row r="19" spans="1:29" ht="42.75">
      <c r="A19" s="428"/>
      <c r="B19" s="451" t="s">
        <v>2655</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2</v>
      </c>
      <c r="L19" s="1141"/>
      <c r="M19" s="1132"/>
      <c r="N19" s="1132"/>
      <c r="O19" s="1132"/>
      <c r="P19" s="3258"/>
      <c r="Q19" s="1808" t="str">
        <f>B19</f>
        <v>公共配套设施</v>
      </c>
      <c r="R19" s="772" t="s">
        <v>17</v>
      </c>
      <c r="S19" s="773">
        <f>F19</f>
        <v>100</v>
      </c>
      <c r="T19" s="772" t="s">
        <v>17</v>
      </c>
      <c r="U19" s="773">
        <f>H19</f>
        <v>100</v>
      </c>
      <c r="V19" s="772" t="s">
        <v>17</v>
      </c>
      <c r="W19" s="773">
        <f>J19</f>
        <v>100</v>
      </c>
      <c r="X19" s="1811"/>
      <c r="Y19" s="3260"/>
      <c r="Z19" s="1812" t="str">
        <f>Q19</f>
        <v>公共配套设施</v>
      </c>
      <c r="AA19" s="1809">
        <f t="shared" si="3"/>
        <v>1</v>
      </c>
      <c r="AB19" s="1809">
        <f t="shared" si="4"/>
        <v>1</v>
      </c>
      <c r="AC19" s="1809">
        <f t="shared" si="5"/>
        <v>1</v>
      </c>
    </row>
    <row r="20" spans="1:29" ht="15">
      <c r="A20" s="428"/>
      <c r="B20" s="456"/>
      <c r="C20" s="2980" t="s">
        <v>3129</v>
      </c>
      <c r="D20" s="448"/>
      <c r="E20" s="2979" t="s">
        <v>3129</v>
      </c>
      <c r="F20" s="449"/>
      <c r="G20" s="2978" t="s">
        <v>3129</v>
      </c>
      <c r="H20" s="448"/>
      <c r="I20" s="2979" t="s">
        <v>3129</v>
      </c>
      <c r="J20" s="448"/>
      <c r="K20" s="615"/>
      <c r="L20" s="1141"/>
      <c r="M20" s="1132"/>
      <c r="N20" s="1132"/>
      <c r="O20" s="1132"/>
      <c r="P20" s="3258"/>
      <c r="Q20" s="1808"/>
      <c r="R20" s="772"/>
      <c r="S20" s="773"/>
      <c r="T20" s="772"/>
      <c r="U20" s="773"/>
      <c r="V20" s="772"/>
      <c r="W20" s="773"/>
      <c r="X20" s="1811"/>
      <c r="Y20" s="3260"/>
      <c r="Z20" s="1812"/>
      <c r="AA20" s="1809">
        <v>1</v>
      </c>
      <c r="AB20" s="1809">
        <v>1</v>
      </c>
      <c r="AC20" s="1809">
        <v>1</v>
      </c>
    </row>
    <row r="21" spans="1:29" ht="28.5">
      <c r="A21" s="428"/>
      <c r="B21" s="1385" t="s">
        <v>2656</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2</v>
      </c>
      <c r="L21" s="1141"/>
      <c r="M21" s="1132"/>
      <c r="N21" s="1132"/>
      <c r="O21" s="1132"/>
      <c r="P21" s="3258"/>
      <c r="Q21" s="1808" t="str">
        <f>B21</f>
        <v>基础设施水平</v>
      </c>
      <c r="R21" s="772" t="s">
        <v>17</v>
      </c>
      <c r="S21" s="773">
        <f>F21</f>
        <v>100</v>
      </c>
      <c r="T21" s="772" t="s">
        <v>17</v>
      </c>
      <c r="U21" s="773">
        <f>H21</f>
        <v>100</v>
      </c>
      <c r="V21" s="772" t="s">
        <v>17</v>
      </c>
      <c r="W21" s="773">
        <f>J21</f>
        <v>100</v>
      </c>
      <c r="X21" s="1811"/>
      <c r="Y21" s="3260"/>
      <c r="Z21" s="1812" t="str">
        <f>Q21</f>
        <v>基础设施水平</v>
      </c>
      <c r="AA21" s="1809">
        <f t="shared" ref="AA21" si="8">D21/F21</f>
        <v>1</v>
      </c>
      <c r="AB21" s="1809">
        <f t="shared" ref="AB21" si="9">D21/H21</f>
        <v>1</v>
      </c>
      <c r="AC21" s="1809">
        <f t="shared" ref="AC21" si="10">D21/J21</f>
        <v>1</v>
      </c>
    </row>
    <row r="22" spans="1:29" ht="15">
      <c r="A22" s="428"/>
      <c r="B22" s="1385"/>
      <c r="C22" s="2987" t="s">
        <v>3130</v>
      </c>
      <c r="D22" s="448"/>
      <c r="E22" s="2980" t="s">
        <v>3130</v>
      </c>
      <c r="F22" s="449"/>
      <c r="G22" s="2980" t="s">
        <v>3130</v>
      </c>
      <c r="H22" s="448"/>
      <c r="I22" s="2980" t="s">
        <v>3130</v>
      </c>
      <c r="J22" s="448"/>
      <c r="K22" s="1384"/>
      <c r="L22" s="1141"/>
      <c r="M22" s="1132"/>
      <c r="N22" s="1132"/>
      <c r="O22" s="1132"/>
      <c r="P22" s="3258"/>
      <c r="Q22" s="1808"/>
      <c r="R22" s="772"/>
      <c r="S22" s="773"/>
      <c r="T22" s="772"/>
      <c r="U22" s="773"/>
      <c r="V22" s="772"/>
      <c r="W22" s="773"/>
      <c r="X22" s="1811"/>
      <c r="Y22" s="3260"/>
      <c r="Z22" s="1812"/>
      <c r="AA22" s="1809">
        <v>1</v>
      </c>
      <c r="AB22" s="1809">
        <v>1</v>
      </c>
      <c r="AC22" s="1809">
        <v>1</v>
      </c>
    </row>
    <row r="23" spans="1:29" ht="57">
      <c r="A23" s="428"/>
      <c r="B23" s="451" t="s">
        <v>2102</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41"/>
      <c r="M23" s="1132"/>
      <c r="N23" s="1132"/>
      <c r="O23" s="1132"/>
      <c r="P23" s="3258"/>
      <c r="Q23" s="1808" t="str">
        <f>B23</f>
        <v>自然及人文环境</v>
      </c>
      <c r="R23" s="772" t="s">
        <v>17</v>
      </c>
      <c r="S23" s="773">
        <f>F23</f>
        <v>100</v>
      </c>
      <c r="T23" s="772" t="s">
        <v>17</v>
      </c>
      <c r="U23" s="773">
        <f>H23</f>
        <v>100</v>
      </c>
      <c r="V23" s="772" t="s">
        <v>17</v>
      </c>
      <c r="W23" s="773">
        <f>J23</f>
        <v>100</v>
      </c>
      <c r="X23" s="1811"/>
      <c r="Y23" s="3260"/>
      <c r="Z23" s="1812" t="str">
        <f>Q23</f>
        <v>自然及人文环境</v>
      </c>
      <c r="AA23" s="1809">
        <f t="shared" si="3"/>
        <v>1</v>
      </c>
      <c r="AB23" s="1809">
        <f t="shared" si="4"/>
        <v>1</v>
      </c>
      <c r="AC23" s="1809">
        <f t="shared" si="5"/>
        <v>1</v>
      </c>
    </row>
    <row r="24" spans="1:29" ht="15">
      <c r="A24" s="428"/>
      <c r="B24" s="456"/>
      <c r="C24" s="2980" t="s">
        <v>3129</v>
      </c>
      <c r="D24" s="448"/>
      <c r="E24" s="2979" t="s">
        <v>3129</v>
      </c>
      <c r="F24" s="449"/>
      <c r="G24" s="2978" t="s">
        <v>3129</v>
      </c>
      <c r="H24" s="448"/>
      <c r="I24" s="2979" t="s">
        <v>3129</v>
      </c>
      <c r="J24" s="448"/>
      <c r="K24" s="615"/>
      <c r="L24" s="1141"/>
      <c r="M24" s="1132"/>
      <c r="N24" s="1132"/>
      <c r="O24" s="1132"/>
      <c r="P24" s="3258"/>
      <c r="Q24" s="1808"/>
      <c r="R24" s="772"/>
      <c r="S24" s="773"/>
      <c r="T24" s="772"/>
      <c r="U24" s="773"/>
      <c r="V24" s="772"/>
      <c r="W24" s="773"/>
      <c r="X24" s="1811"/>
      <c r="Y24" s="3260"/>
      <c r="Z24" s="1812"/>
      <c r="AA24" s="1809">
        <v>1</v>
      </c>
      <c r="AB24" s="1809">
        <v>1</v>
      </c>
      <c r="AC24" s="1809">
        <v>1</v>
      </c>
    </row>
    <row r="25" spans="1:29" ht="15">
      <c r="A25" s="428"/>
      <c r="B25" s="422" t="s">
        <v>2657</v>
      </c>
      <c r="C25" s="2982" t="s">
        <v>3135</v>
      </c>
      <c r="D25" s="435">
        <v>100</v>
      </c>
      <c r="E25" s="2982" t="s">
        <v>3135</v>
      </c>
      <c r="F25" s="461">
        <f>SUMIF(86:86,E25,87:87)-SUMIF(86:86,C25,87:87)+100</f>
        <v>100</v>
      </c>
      <c r="G25" s="2982" t="s">
        <v>3135</v>
      </c>
      <c r="H25" s="435">
        <f>SUMIF(86:86,G25,87:87)-SUMIF(86:86,C25,87:87)+100</f>
        <v>100</v>
      </c>
      <c r="I25" s="2982" t="s">
        <v>3135</v>
      </c>
      <c r="J25" s="435">
        <f>SUMIF(86:86,I25,87:87)-SUMIF(86:86,C25,87:87)+100</f>
        <v>100</v>
      </c>
      <c r="K25" s="612">
        <v>2</v>
      </c>
      <c r="L25" s="1141"/>
      <c r="M25" s="1132"/>
      <c r="N25" s="1132"/>
      <c r="O25" s="1132"/>
      <c r="P25" s="3258"/>
      <c r="Q25" s="1808" t="str">
        <f t="shared" ref="Q25:Q46" si="11">B25</f>
        <v>临街状况</v>
      </c>
      <c r="R25" s="772" t="s">
        <v>17</v>
      </c>
      <c r="S25" s="773">
        <f>F25</f>
        <v>100</v>
      </c>
      <c r="T25" s="772" t="s">
        <v>17</v>
      </c>
      <c r="U25" s="773">
        <f>H25</f>
        <v>100</v>
      </c>
      <c r="V25" s="772" t="s">
        <v>17</v>
      </c>
      <c r="W25" s="773">
        <f>J25</f>
        <v>100</v>
      </c>
      <c r="X25" s="1811"/>
      <c r="Y25" s="3260"/>
      <c r="Z25" s="1812" t="str">
        <f>Q25</f>
        <v>临街状况</v>
      </c>
      <c r="AA25" s="1809">
        <f t="shared" si="3"/>
        <v>1</v>
      </c>
      <c r="AB25" s="1809">
        <f t="shared" si="4"/>
        <v>1</v>
      </c>
      <c r="AC25" s="1809">
        <f t="shared" si="5"/>
        <v>1</v>
      </c>
    </row>
    <row r="26" spans="1:29" ht="15">
      <c r="A26" s="428"/>
      <c r="B26" s="1387" t="s">
        <v>2658</v>
      </c>
      <c r="C26" s="434"/>
      <c r="D26" s="435">
        <v>100</v>
      </c>
      <c r="E26" s="434"/>
      <c r="F26" s="461">
        <f>SUMIF(88:88,E26,89:89)-SUMIF(88:88,C26,89:89)+100</f>
        <v>100</v>
      </c>
      <c r="G26" s="434"/>
      <c r="H26" s="435">
        <f>SUMIF(88:88,G26,89:89)-SUMIF(88:88,C26,89:89)+100</f>
        <v>100</v>
      </c>
      <c r="I26" s="434"/>
      <c r="J26" s="435">
        <f>SUMIF(88:88,I26,89:89)-SUMIF(88:88,C26,89:89)+100</f>
        <v>100</v>
      </c>
      <c r="K26" s="613"/>
      <c r="L26" s="1141"/>
      <c r="M26" s="1132"/>
      <c r="N26" s="1132"/>
      <c r="O26" s="1132"/>
      <c r="P26" s="3258"/>
      <c r="Q26" s="1808" t="str">
        <f t="shared" si="11"/>
        <v>平面位置/可视性</v>
      </c>
      <c r="R26" s="772" t="s">
        <v>17</v>
      </c>
      <c r="S26" s="773">
        <f>F26</f>
        <v>100</v>
      </c>
      <c r="T26" s="772" t="s">
        <v>17</v>
      </c>
      <c r="U26" s="773">
        <f>H26</f>
        <v>100</v>
      </c>
      <c r="V26" s="772" t="s">
        <v>17</v>
      </c>
      <c r="W26" s="773">
        <f>J26</f>
        <v>100</v>
      </c>
      <c r="X26" s="1811"/>
      <c r="Y26" s="3260"/>
      <c r="Z26" s="1812" t="str">
        <f>Q26</f>
        <v>平面位置/可视性</v>
      </c>
      <c r="AA26" s="1809">
        <f t="shared" si="3"/>
        <v>1</v>
      </c>
      <c r="AB26" s="1809">
        <f t="shared" si="4"/>
        <v>1</v>
      </c>
      <c r="AC26" s="1809">
        <f t="shared" si="5"/>
        <v>1</v>
      </c>
    </row>
    <row r="27" spans="1:29" s="117" customFormat="1" ht="15">
      <c r="A27" s="431"/>
      <c r="B27" s="451" t="s">
        <v>2659</v>
      </c>
      <c r="C27" s="2989" t="s">
        <v>3134</v>
      </c>
      <c r="D27" s="462">
        <v>100</v>
      </c>
      <c r="E27" s="2989" t="s">
        <v>3136</v>
      </c>
      <c r="F27" s="464">
        <f>SUMIF(90:90,E27,91:91)-SUMIF(90:90,C27,91:91)+100</f>
        <v>102</v>
      </c>
      <c r="G27" s="2989" t="s">
        <v>3136</v>
      </c>
      <c r="H27" s="462">
        <f>SUMIF(90:90,G27,91:91)-SUMIF(90:90,C27,91:91)+100</f>
        <v>102</v>
      </c>
      <c r="I27" s="2989" t="s">
        <v>3136</v>
      </c>
      <c r="J27" s="462">
        <f>SUMIF(90:90,I27,91:91)-SUMIF(90:90,C27,91:91)+100</f>
        <v>102</v>
      </c>
      <c r="K27" s="612">
        <v>2</v>
      </c>
      <c r="L27" s="1133"/>
      <c r="M27" s="1134"/>
      <c r="N27" s="1134"/>
      <c r="O27" s="1134"/>
      <c r="P27" s="3258"/>
      <c r="Q27" s="1793" t="str">
        <f t="shared" si="11"/>
        <v>人流量</v>
      </c>
      <c r="R27" s="768" t="s">
        <v>17</v>
      </c>
      <c r="S27" s="769">
        <f>F27</f>
        <v>102</v>
      </c>
      <c r="T27" s="768" t="s">
        <v>17</v>
      </c>
      <c r="U27" s="769">
        <f>H27</f>
        <v>102</v>
      </c>
      <c r="V27" s="768" t="s">
        <v>17</v>
      </c>
      <c r="W27" s="769">
        <f>J27</f>
        <v>102</v>
      </c>
      <c r="X27" s="770"/>
      <c r="Y27" s="3260"/>
      <c r="Z27" s="55" t="str">
        <f>Q27</f>
        <v>人流量</v>
      </c>
      <c r="AA27" s="1809">
        <f>D27/F27</f>
        <v>0.98039215686274506</v>
      </c>
      <c r="AB27" s="1809">
        <f>D27/H27</f>
        <v>0.98039215686274506</v>
      </c>
      <c r="AC27" s="1809">
        <f>D27/J27</f>
        <v>0.98039215686274506</v>
      </c>
    </row>
    <row r="28" spans="1:29" ht="15">
      <c r="A28" s="428"/>
      <c r="B28" s="422" t="s">
        <v>2660</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41"/>
      <c r="M28" s="1132"/>
      <c r="N28" s="1132"/>
      <c r="O28" s="1132"/>
      <c r="P28" s="3258"/>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260"/>
      <c r="Z28" s="1812" t="str">
        <f t="shared" ref="Z28:Z46" si="15">Q28</f>
        <v>楼层</v>
      </c>
      <c r="AA28" s="1809">
        <f t="shared" si="3"/>
        <v>1</v>
      </c>
      <c r="AB28" s="1809">
        <f t="shared" si="4"/>
        <v>1</v>
      </c>
      <c r="AC28" s="1809">
        <f t="shared" si="5"/>
        <v>1</v>
      </c>
    </row>
    <row r="29" spans="1:29" ht="15">
      <c r="A29" s="428"/>
      <c r="B29" s="1387">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258"/>
      <c r="Q29" s="1808">
        <f t="shared" si="11"/>
        <v>111</v>
      </c>
      <c r="R29" s="772" t="s">
        <v>17</v>
      </c>
      <c r="S29" s="773">
        <f t="shared" si="12"/>
        <v>100</v>
      </c>
      <c r="T29" s="772" t="s">
        <v>17</v>
      </c>
      <c r="U29" s="773">
        <f t="shared" si="13"/>
        <v>100</v>
      </c>
      <c r="V29" s="772" t="s">
        <v>17</v>
      </c>
      <c r="W29" s="773">
        <f t="shared" si="14"/>
        <v>100</v>
      </c>
      <c r="X29" s="1811"/>
      <c r="Y29" s="3260"/>
      <c r="Z29" s="1812">
        <f t="shared" si="15"/>
        <v>111</v>
      </c>
      <c r="AA29" s="1809">
        <f t="shared" si="3"/>
        <v>1</v>
      </c>
      <c r="AB29" s="1809">
        <f t="shared" si="4"/>
        <v>1</v>
      </c>
      <c r="AC29" s="1809">
        <f t="shared" si="5"/>
        <v>1</v>
      </c>
    </row>
    <row r="30" spans="1:29" ht="15">
      <c r="A30" s="428"/>
      <c r="B30" s="1387">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258"/>
      <c r="Q30" s="1808">
        <f t="shared" si="11"/>
        <v>111</v>
      </c>
      <c r="R30" s="772" t="s">
        <v>17</v>
      </c>
      <c r="S30" s="773">
        <f t="shared" si="12"/>
        <v>100</v>
      </c>
      <c r="T30" s="772" t="s">
        <v>17</v>
      </c>
      <c r="U30" s="773">
        <f t="shared" si="13"/>
        <v>100</v>
      </c>
      <c r="V30" s="772" t="s">
        <v>17</v>
      </c>
      <c r="W30" s="773">
        <f t="shared" si="14"/>
        <v>100</v>
      </c>
      <c r="X30" s="1811"/>
      <c r="Y30" s="3260"/>
      <c r="Z30" s="1812">
        <f t="shared" si="15"/>
        <v>111</v>
      </c>
      <c r="AA30" s="1809">
        <f t="shared" si="3"/>
        <v>1</v>
      </c>
      <c r="AB30" s="1809">
        <f t="shared" si="4"/>
        <v>1</v>
      </c>
      <c r="AC30" s="1809">
        <f t="shared" si="5"/>
        <v>1</v>
      </c>
    </row>
    <row r="31" spans="1:29" ht="15.75" thickBot="1">
      <c r="A31" s="436"/>
      <c r="B31" s="1387">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258"/>
      <c r="Q31" s="1808">
        <f t="shared" si="11"/>
        <v>111</v>
      </c>
      <c r="R31" s="772" t="s">
        <v>17</v>
      </c>
      <c r="S31" s="773">
        <f t="shared" si="12"/>
        <v>100</v>
      </c>
      <c r="T31" s="772" t="s">
        <v>17</v>
      </c>
      <c r="U31" s="773">
        <f t="shared" si="13"/>
        <v>100</v>
      </c>
      <c r="V31" s="772" t="s">
        <v>17</v>
      </c>
      <c r="W31" s="773">
        <f t="shared" si="14"/>
        <v>100</v>
      </c>
      <c r="X31" s="1811"/>
      <c r="Y31" s="3260"/>
      <c r="Z31" s="1812">
        <f t="shared" si="15"/>
        <v>111</v>
      </c>
      <c r="AA31" s="1809">
        <f t="shared" si="3"/>
        <v>1</v>
      </c>
      <c r="AB31" s="1809">
        <f t="shared" si="4"/>
        <v>1</v>
      </c>
      <c r="AC31" s="1809">
        <f t="shared" si="5"/>
        <v>1</v>
      </c>
    </row>
    <row r="32" spans="1:29" ht="15">
      <c r="A32" s="440" t="s">
        <v>2564</v>
      </c>
      <c r="B32" s="71" t="s">
        <v>2661</v>
      </c>
      <c r="C32" s="2988" t="s">
        <v>3131</v>
      </c>
      <c r="D32" s="467">
        <v>100</v>
      </c>
      <c r="E32" s="2988" t="s">
        <v>3140</v>
      </c>
      <c r="F32" s="461">
        <f>SUMIF(100:100,E32,101:101)-SUMIF(100:100,C32,101:101)+100</f>
        <v>98</v>
      </c>
      <c r="G32" s="2988" t="s">
        <v>3141</v>
      </c>
      <c r="H32" s="435">
        <f>SUMIF(100:100,G32,101:101)-SUMIF(100:100,C32,101:101)+100</f>
        <v>98</v>
      </c>
      <c r="I32" s="2988" t="s">
        <v>3142</v>
      </c>
      <c r="J32" s="467">
        <f>SUMIF(100:100,I32,101:101)-SUMIF(100:100,C32,101:101)+100</f>
        <v>102</v>
      </c>
      <c r="K32" s="612">
        <v>2</v>
      </c>
      <c r="L32" s="1141"/>
      <c r="M32" s="1132"/>
      <c r="N32" s="1132"/>
      <c r="O32" s="1132"/>
      <c r="P32" s="3261" t="s">
        <v>2566</v>
      </c>
      <c r="Q32" s="1808" t="str">
        <f t="shared" si="11"/>
        <v>商业类型</v>
      </c>
      <c r="R32" s="772" t="s">
        <v>17</v>
      </c>
      <c r="S32" s="773">
        <f t="shared" si="12"/>
        <v>98</v>
      </c>
      <c r="T32" s="772" t="s">
        <v>17</v>
      </c>
      <c r="U32" s="773">
        <f t="shared" si="13"/>
        <v>98</v>
      </c>
      <c r="V32" s="772" t="s">
        <v>17</v>
      </c>
      <c r="W32" s="773">
        <f t="shared" si="14"/>
        <v>102</v>
      </c>
      <c r="X32" s="1811"/>
      <c r="Y32" s="3264" t="s">
        <v>2566</v>
      </c>
      <c r="Z32" s="1812" t="str">
        <f t="shared" si="15"/>
        <v>商业类型</v>
      </c>
      <c r="AA32" s="1809">
        <f t="shared" si="3"/>
        <v>1.0204081632653061</v>
      </c>
      <c r="AB32" s="1809">
        <f t="shared" si="4"/>
        <v>1.0204081632653061</v>
      </c>
      <c r="AC32" s="1809">
        <f t="shared" si="5"/>
        <v>0.98039215686274506</v>
      </c>
    </row>
    <row r="33" spans="1:29" s="471" customFormat="1" ht="15">
      <c r="A33" s="468"/>
      <c r="B33" s="422" t="s">
        <v>2567</v>
      </c>
      <c r="C33" s="2997">
        <f>商业面积!D2</f>
        <v>89.03</v>
      </c>
      <c r="D33" s="136">
        <v>100</v>
      </c>
      <c r="E33" s="430">
        <f>Sheet3!B55</f>
        <v>54</v>
      </c>
      <c r="F33" s="425">
        <f>LOOKUP(E33,103:103,104:104)-LOOKUP(C33,103:103,104:104)+100</f>
        <v>100</v>
      </c>
      <c r="G33" s="429">
        <f>Sheet3!B56</f>
        <v>167</v>
      </c>
      <c r="H33" s="136">
        <f>LOOKUP(G33,103:103,104:104)-LOOKUP(C33,103:103,104:104)+100</f>
        <v>96</v>
      </c>
      <c r="I33" s="429">
        <f>Sheet3!B57</f>
        <v>143</v>
      </c>
      <c r="J33" s="136">
        <f>LOOKUP(I33,103:103,104:104)-LOOKUP(C33,103:103,104:104)+100</f>
        <v>98</v>
      </c>
      <c r="K33" s="613"/>
      <c r="L33" s="1139"/>
      <c r="M33" s="1142"/>
      <c r="N33" s="1142"/>
      <c r="O33" s="1142"/>
      <c r="P33" s="3262"/>
      <c r="Q33" s="774" t="str">
        <f t="shared" si="11"/>
        <v>项目建筑规模</v>
      </c>
      <c r="R33" s="775" t="s">
        <v>17</v>
      </c>
      <c r="S33" s="776">
        <f t="shared" si="12"/>
        <v>100</v>
      </c>
      <c r="T33" s="775" t="s">
        <v>17</v>
      </c>
      <c r="U33" s="776">
        <f t="shared" si="13"/>
        <v>96</v>
      </c>
      <c r="V33" s="775" t="s">
        <v>17</v>
      </c>
      <c r="W33" s="776">
        <f t="shared" si="14"/>
        <v>98</v>
      </c>
      <c r="X33" s="777"/>
      <c r="Y33" s="3264"/>
      <c r="Z33" s="778" t="str">
        <f t="shared" si="15"/>
        <v>项目建筑规模</v>
      </c>
      <c r="AA33" s="1809">
        <f t="shared" si="3"/>
        <v>1</v>
      </c>
      <c r="AB33" s="1809">
        <f t="shared" si="4"/>
        <v>1.0416666666666667</v>
      </c>
      <c r="AC33" s="1809">
        <f t="shared" si="5"/>
        <v>1.0204081632653061</v>
      </c>
    </row>
    <row r="34" spans="1:29" ht="15">
      <c r="A34" s="472"/>
      <c r="B34" s="422" t="s">
        <v>2568</v>
      </c>
      <c r="C34" s="2991" t="s">
        <v>3146</v>
      </c>
      <c r="D34" s="435">
        <v>100</v>
      </c>
      <c r="E34" s="2991" t="s">
        <v>3146</v>
      </c>
      <c r="F34" s="461">
        <f>SUMIF(105:105,E34,106:106)-SUMIF(105:105,C34,106:106)+100</f>
        <v>100</v>
      </c>
      <c r="G34" s="2991" t="s">
        <v>3146</v>
      </c>
      <c r="H34" s="435">
        <f>SUMIF(105:105,G34,106:106)-SUMIF(105:105,C34,106:106)+100</f>
        <v>100</v>
      </c>
      <c r="I34" s="2991" t="s">
        <v>3147</v>
      </c>
      <c r="J34" s="435">
        <f>SUMIF(105:105,I34,106:106)-SUMIF(105:105,C34,106:106)+100</f>
        <v>100</v>
      </c>
      <c r="K34" s="612">
        <v>2</v>
      </c>
      <c r="L34" s="1141"/>
      <c r="M34" s="1132"/>
      <c r="N34" s="1132"/>
      <c r="O34" s="1132"/>
      <c r="P34" s="3262"/>
      <c r="Q34" s="1808" t="str">
        <f t="shared" si="11"/>
        <v>建筑结构</v>
      </c>
      <c r="R34" s="772" t="s">
        <v>17</v>
      </c>
      <c r="S34" s="773">
        <f t="shared" si="12"/>
        <v>100</v>
      </c>
      <c r="T34" s="772" t="s">
        <v>17</v>
      </c>
      <c r="U34" s="773">
        <f t="shared" si="13"/>
        <v>100</v>
      </c>
      <c r="V34" s="772" t="s">
        <v>17</v>
      </c>
      <c r="W34" s="773">
        <f t="shared" si="14"/>
        <v>100</v>
      </c>
      <c r="X34" s="1811"/>
      <c r="Y34" s="3264"/>
      <c r="Z34" s="1812" t="str">
        <f t="shared" si="15"/>
        <v>建筑结构</v>
      </c>
      <c r="AA34" s="1809">
        <f t="shared" si="3"/>
        <v>1</v>
      </c>
      <c r="AB34" s="1809">
        <f t="shared" si="4"/>
        <v>1</v>
      </c>
      <c r="AC34" s="1809">
        <f t="shared" si="5"/>
        <v>1</v>
      </c>
    </row>
    <row r="35" spans="1:29" ht="15">
      <c r="A35" s="472"/>
      <c r="B35" s="422" t="s">
        <v>2662</v>
      </c>
      <c r="C35" s="2986" t="s">
        <v>3148</v>
      </c>
      <c r="D35" s="435">
        <v>100</v>
      </c>
      <c r="E35" s="2986" t="s">
        <v>3148</v>
      </c>
      <c r="F35" s="461">
        <f>SUMIF(107:107,E35,108:108)-SUMIF(107:107,C35,108:108)+100</f>
        <v>100</v>
      </c>
      <c r="G35" s="2986" t="s">
        <v>3148</v>
      </c>
      <c r="H35" s="435">
        <f>SUMIF(107:107,G35,108:108)-SUMIF(107:107,C35,108:108)+100</f>
        <v>100</v>
      </c>
      <c r="I35" s="2986" t="s">
        <v>3148</v>
      </c>
      <c r="J35" s="435">
        <f>SUMIF(107:107,I35,108:108)-SUMIF(107:107,C35,108:108)+100</f>
        <v>100</v>
      </c>
      <c r="K35" s="612">
        <v>2</v>
      </c>
      <c r="L35" s="1141"/>
      <c r="M35" s="1132"/>
      <c r="N35" s="1132"/>
      <c r="O35" s="1132"/>
      <c r="P35" s="3262"/>
      <c r="Q35" s="1808" t="str">
        <f t="shared" si="11"/>
        <v>公共部分装修</v>
      </c>
      <c r="R35" s="772" t="s">
        <v>17</v>
      </c>
      <c r="S35" s="773">
        <f t="shared" si="12"/>
        <v>100</v>
      </c>
      <c r="T35" s="772" t="s">
        <v>17</v>
      </c>
      <c r="U35" s="773">
        <f t="shared" si="13"/>
        <v>100</v>
      </c>
      <c r="V35" s="772" t="s">
        <v>17</v>
      </c>
      <c r="W35" s="773">
        <f t="shared" si="14"/>
        <v>100</v>
      </c>
      <c r="X35" s="1811"/>
      <c r="Y35" s="3264"/>
      <c r="Z35" s="1812" t="str">
        <f t="shared" si="15"/>
        <v>公共部分装修</v>
      </c>
      <c r="AA35" s="1809">
        <f t="shared" si="3"/>
        <v>1</v>
      </c>
      <c r="AB35" s="1809">
        <f t="shared" si="4"/>
        <v>1</v>
      </c>
      <c r="AC35" s="1809">
        <f t="shared" si="5"/>
        <v>1</v>
      </c>
    </row>
    <row r="36" spans="1:29" ht="15">
      <c r="A36" s="472"/>
      <c r="B36" s="422" t="s">
        <v>2663</v>
      </c>
      <c r="C36" s="474">
        <v>1</v>
      </c>
      <c r="D36" s="435">
        <v>100</v>
      </c>
      <c r="E36" s="474">
        <v>0.9</v>
      </c>
      <c r="F36" s="461">
        <f>LOOKUP(E36,110:110,111:111)-LOOKUP(C36,110:110,111:111)+100</f>
        <v>100</v>
      </c>
      <c r="G36" s="474">
        <v>0.9</v>
      </c>
      <c r="H36" s="461">
        <f>LOOKUP(G36,110:110,111:111)-LOOKUP(C36,110:110,111:111)+100</f>
        <v>100</v>
      </c>
      <c r="I36" s="474">
        <v>0.9</v>
      </c>
      <c r="J36" s="435">
        <f>LOOKUP(I36,110:110,111:111)-LOOKUP(C36,110:110,111:111)+100</f>
        <v>100</v>
      </c>
      <c r="K36" s="612">
        <v>2</v>
      </c>
      <c r="L36" s="1141"/>
      <c r="M36" s="1132"/>
      <c r="N36" s="1132"/>
      <c r="O36" s="1132"/>
      <c r="P36" s="3262"/>
      <c r="Q36" s="1808" t="str">
        <f t="shared" si="11"/>
        <v>成新度</v>
      </c>
      <c r="R36" s="772" t="s">
        <v>17</v>
      </c>
      <c r="S36" s="773">
        <f t="shared" si="12"/>
        <v>100</v>
      </c>
      <c r="T36" s="772" t="s">
        <v>17</v>
      </c>
      <c r="U36" s="773">
        <f t="shared" si="13"/>
        <v>100</v>
      </c>
      <c r="V36" s="772" t="s">
        <v>17</v>
      </c>
      <c r="W36" s="773">
        <f t="shared" si="14"/>
        <v>100</v>
      </c>
      <c r="X36" s="1811"/>
      <c r="Y36" s="3264"/>
      <c r="Z36" s="1812" t="str">
        <f t="shared" si="15"/>
        <v>成新度</v>
      </c>
      <c r="AA36" s="1809">
        <f t="shared" si="3"/>
        <v>1</v>
      </c>
      <c r="AB36" s="1809">
        <f t="shared" si="4"/>
        <v>1</v>
      </c>
      <c r="AC36" s="1809">
        <f t="shared" si="5"/>
        <v>1</v>
      </c>
    </row>
    <row r="37" spans="1:29" s="117" customFormat="1" ht="15">
      <c r="A37" s="473"/>
      <c r="B37" s="422" t="s">
        <v>2664</v>
      </c>
      <c r="C37" s="2996" t="s">
        <v>3130</v>
      </c>
      <c r="D37" s="136">
        <v>100</v>
      </c>
      <c r="E37" s="2986" t="s">
        <v>3130</v>
      </c>
      <c r="F37" s="461">
        <f>SUMIF(112:112,E37,113:113)-SUMIF(112:112,C37,113:113)+100</f>
        <v>100</v>
      </c>
      <c r="G37" s="2986" t="s">
        <v>3130</v>
      </c>
      <c r="H37" s="435">
        <f>SUMIF(112:112,G37,113:113)-SUMIF(112:112,C37,113:113)+100</f>
        <v>100</v>
      </c>
      <c r="I37" s="2986" t="s">
        <v>3179</v>
      </c>
      <c r="J37" s="435">
        <f>SUMIF(112:112,I37,113:113)-SUMIF(112:112,C37,113:113)+100</f>
        <v>96</v>
      </c>
      <c r="K37" s="612">
        <v>2</v>
      </c>
      <c r="L37" s="1133"/>
      <c r="M37" s="1134"/>
      <c r="N37" s="1134"/>
      <c r="O37" s="1134"/>
      <c r="P37" s="3262"/>
      <c r="Q37" s="1793" t="str">
        <f t="shared" si="11"/>
        <v>市政基础设施</v>
      </c>
      <c r="R37" s="768" t="s">
        <v>17</v>
      </c>
      <c r="S37" s="769">
        <f t="shared" si="12"/>
        <v>100</v>
      </c>
      <c r="T37" s="768" t="s">
        <v>17</v>
      </c>
      <c r="U37" s="769">
        <f t="shared" si="13"/>
        <v>100</v>
      </c>
      <c r="V37" s="768" t="s">
        <v>17</v>
      </c>
      <c r="W37" s="769">
        <f t="shared" si="14"/>
        <v>96</v>
      </c>
      <c r="X37" s="770"/>
      <c r="Y37" s="3264"/>
      <c r="Z37" s="55" t="str">
        <f t="shared" si="15"/>
        <v>市政基础设施</v>
      </c>
      <c r="AA37" s="771">
        <f t="shared" si="3"/>
        <v>1</v>
      </c>
      <c r="AB37" s="771">
        <f t="shared" si="4"/>
        <v>1</v>
      </c>
      <c r="AC37" s="771">
        <f t="shared" si="5"/>
        <v>1.0416666666666667</v>
      </c>
    </row>
    <row r="38" spans="1:29" ht="15">
      <c r="A38" s="472"/>
      <c r="B38" s="422" t="s">
        <v>2665</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v>2</v>
      </c>
      <c r="L38" s="1141"/>
      <c r="M38" s="1132"/>
      <c r="N38" s="1132"/>
      <c r="O38" s="1132"/>
      <c r="P38" s="3262" t="s">
        <v>2566</v>
      </c>
      <c r="Q38" s="1808" t="str">
        <f t="shared" si="11"/>
        <v>业态</v>
      </c>
      <c r="R38" s="772" t="s">
        <v>17</v>
      </c>
      <c r="S38" s="773">
        <f t="shared" si="12"/>
        <v>100</v>
      </c>
      <c r="T38" s="772" t="s">
        <v>17</v>
      </c>
      <c r="U38" s="773">
        <f t="shared" si="13"/>
        <v>100</v>
      </c>
      <c r="V38" s="772" t="s">
        <v>17</v>
      </c>
      <c r="W38" s="773">
        <f t="shared" si="14"/>
        <v>100</v>
      </c>
      <c r="X38" s="1811"/>
      <c r="Y38" s="3264" t="s">
        <v>2566</v>
      </c>
      <c r="Z38" s="1812" t="str">
        <f t="shared" si="15"/>
        <v>业态</v>
      </c>
      <c r="AA38" s="1809">
        <f t="shared" si="3"/>
        <v>1</v>
      </c>
      <c r="AB38" s="1809">
        <f t="shared" si="4"/>
        <v>1</v>
      </c>
      <c r="AC38" s="1809">
        <f t="shared" si="5"/>
        <v>1</v>
      </c>
    </row>
    <row r="39" spans="1:29" ht="15">
      <c r="A39" s="472"/>
      <c r="B39" s="422" t="s">
        <v>2666</v>
      </c>
      <c r="C39" s="2986" t="s">
        <v>3149</v>
      </c>
      <c r="D39" s="435">
        <v>100</v>
      </c>
      <c r="E39" s="2986" t="s">
        <v>3149</v>
      </c>
      <c r="F39" s="461">
        <f>SUMIF(116:116,E39,117:117)-SUMIF(116:116,C39,117:117)+100</f>
        <v>100</v>
      </c>
      <c r="G39" s="2986" t="s">
        <v>3149</v>
      </c>
      <c r="H39" s="435">
        <f>SUMIF(116:116,G39,117:117)-SUMIF(116:116,C39,117:117)+100</f>
        <v>100</v>
      </c>
      <c r="I39" s="2986" t="s">
        <v>3149</v>
      </c>
      <c r="J39" s="435">
        <f>SUMIF(116:116,I39,117:117)-SUMIF(116:116,C39,117:117)+100</f>
        <v>100</v>
      </c>
      <c r="K39" s="612">
        <v>2</v>
      </c>
      <c r="L39" s="1141"/>
      <c r="M39" s="1132"/>
      <c r="N39" s="1132"/>
      <c r="O39" s="1132"/>
      <c r="P39" s="3262"/>
      <c r="Q39" s="1808" t="str">
        <f t="shared" si="11"/>
        <v>层高</v>
      </c>
      <c r="R39" s="772" t="s">
        <v>17</v>
      </c>
      <c r="S39" s="773">
        <f t="shared" si="12"/>
        <v>100</v>
      </c>
      <c r="T39" s="772" t="s">
        <v>17</v>
      </c>
      <c r="U39" s="773">
        <f t="shared" si="13"/>
        <v>100</v>
      </c>
      <c r="V39" s="772" t="s">
        <v>17</v>
      </c>
      <c r="W39" s="773">
        <f t="shared" si="14"/>
        <v>100</v>
      </c>
      <c r="X39" s="1811"/>
      <c r="Y39" s="3264"/>
      <c r="Z39" s="1812" t="str">
        <f t="shared" si="15"/>
        <v>层高</v>
      </c>
      <c r="AA39" s="1809">
        <f t="shared" si="3"/>
        <v>1</v>
      </c>
      <c r="AB39" s="1809">
        <f t="shared" si="4"/>
        <v>1</v>
      </c>
      <c r="AC39" s="1809">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262"/>
      <c r="Q40" s="1808" t="str">
        <f t="shared" si="11"/>
        <v>单套建筑面积</v>
      </c>
      <c r="R40" s="772" t="s">
        <v>17</v>
      </c>
      <c r="S40" s="773">
        <f t="shared" si="12"/>
        <v>100</v>
      </c>
      <c r="T40" s="772" t="s">
        <v>17</v>
      </c>
      <c r="U40" s="773">
        <f t="shared" si="13"/>
        <v>100</v>
      </c>
      <c r="V40" s="772" t="s">
        <v>17</v>
      </c>
      <c r="W40" s="773">
        <f t="shared" si="14"/>
        <v>100</v>
      </c>
      <c r="X40" s="1811"/>
      <c r="Y40" s="3264"/>
      <c r="Z40" s="1812" t="str">
        <f t="shared" si="15"/>
        <v>单套建筑面积</v>
      </c>
      <c r="AA40" s="1809">
        <f t="shared" si="3"/>
        <v>1</v>
      </c>
      <c r="AB40" s="1809">
        <f t="shared" si="4"/>
        <v>1</v>
      </c>
      <c r="AC40" s="1809">
        <f t="shared" si="5"/>
        <v>1</v>
      </c>
    </row>
    <row r="41" spans="1:29" s="471" customFormat="1" ht="15">
      <c r="A41" s="468"/>
      <c r="B41" s="1810"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2</v>
      </c>
      <c r="L41" s="1139"/>
      <c r="M41" s="1142"/>
      <c r="N41" s="1142"/>
      <c r="O41" s="1142"/>
      <c r="P41" s="3262"/>
      <c r="Q41" s="774" t="str">
        <f t="shared" si="11"/>
        <v>进深比</v>
      </c>
      <c r="R41" s="775" t="s">
        <v>17</v>
      </c>
      <c r="S41" s="776">
        <f t="shared" si="12"/>
        <v>100</v>
      </c>
      <c r="T41" s="775" t="s">
        <v>17</v>
      </c>
      <c r="U41" s="776">
        <f t="shared" si="13"/>
        <v>100</v>
      </c>
      <c r="V41" s="775" t="s">
        <v>17</v>
      </c>
      <c r="W41" s="776">
        <f t="shared" si="14"/>
        <v>100</v>
      </c>
      <c r="X41" s="777"/>
      <c r="Y41" s="3264"/>
      <c r="Z41" s="778" t="str">
        <f t="shared" si="15"/>
        <v>进深比</v>
      </c>
      <c r="AA41" s="1809">
        <f t="shared" si="3"/>
        <v>1</v>
      </c>
      <c r="AB41" s="1809">
        <f t="shared" si="4"/>
        <v>1</v>
      </c>
      <c r="AC41" s="1809">
        <f t="shared" si="5"/>
        <v>1</v>
      </c>
    </row>
    <row r="42" spans="1:29" ht="15">
      <c r="A42" s="472"/>
      <c r="B42" s="422" t="s">
        <v>2669</v>
      </c>
      <c r="C42" s="2986" t="s">
        <v>3158</v>
      </c>
      <c r="D42" s="435">
        <v>100</v>
      </c>
      <c r="E42" s="2986" t="s">
        <v>3159</v>
      </c>
      <c r="F42" s="461">
        <f>SUMIF(122:122,E42,123:123)-SUMIF(122:122,C42,123:123)+100</f>
        <v>102</v>
      </c>
      <c r="G42" s="2986" t="s">
        <v>3159</v>
      </c>
      <c r="H42" s="435">
        <f>SUMIF(122:122,G42,123:123)-SUMIF(122:122,C42,123:123)+100</f>
        <v>102</v>
      </c>
      <c r="I42" s="2986" t="s">
        <v>3160</v>
      </c>
      <c r="J42" s="435">
        <f>SUMIF(122:122,I42,123:123)-SUMIF(122:122,C42,123:123)+100</f>
        <v>102</v>
      </c>
      <c r="K42" s="612">
        <v>1</v>
      </c>
      <c r="L42" s="1141"/>
      <c r="M42" s="1132"/>
      <c r="N42" s="1132"/>
      <c r="O42" s="1132"/>
      <c r="P42" s="3262"/>
      <c r="Q42" s="1808" t="str">
        <f t="shared" si="11"/>
        <v>内部装修</v>
      </c>
      <c r="R42" s="772" t="s">
        <v>17</v>
      </c>
      <c r="S42" s="773">
        <f t="shared" si="12"/>
        <v>102</v>
      </c>
      <c r="T42" s="772" t="s">
        <v>17</v>
      </c>
      <c r="U42" s="773">
        <f t="shared" si="13"/>
        <v>102</v>
      </c>
      <c r="V42" s="772" t="s">
        <v>17</v>
      </c>
      <c r="W42" s="773">
        <f t="shared" si="14"/>
        <v>102</v>
      </c>
      <c r="X42" s="1811"/>
      <c r="Y42" s="3264"/>
      <c r="Z42" s="1812" t="str">
        <f t="shared" si="15"/>
        <v>内部装修</v>
      </c>
      <c r="AA42" s="1809">
        <f t="shared" si="3"/>
        <v>0.98039215686274506</v>
      </c>
      <c r="AB42" s="1809">
        <f t="shared" si="4"/>
        <v>0.98039215686274506</v>
      </c>
      <c r="AC42" s="1809">
        <f t="shared" si="5"/>
        <v>0.98039215686274506</v>
      </c>
    </row>
    <row r="43" spans="1:29" ht="15">
      <c r="A43" s="472"/>
      <c r="B43" s="422" t="s">
        <v>2577</v>
      </c>
      <c r="C43" s="2986" t="s">
        <v>3129</v>
      </c>
      <c r="D43" s="435">
        <v>100</v>
      </c>
      <c r="E43" s="2986" t="s">
        <v>3129</v>
      </c>
      <c r="F43" s="461">
        <f>SUMIF(124:124,E43,125:125)-SUMIF(124:124,C43,125:125)+100</f>
        <v>100</v>
      </c>
      <c r="G43" s="2986" t="s">
        <v>3129</v>
      </c>
      <c r="H43" s="435">
        <f>SUMIF(124:124,G43,125:125)-SUMIF(124:124,C43,125:125)+100</f>
        <v>100</v>
      </c>
      <c r="I43" s="2986" t="s">
        <v>3129</v>
      </c>
      <c r="J43" s="435">
        <f>SUMIF(124:124,I43,125:125)-SUMIF(124:124,C43,125:125)+100</f>
        <v>100</v>
      </c>
      <c r="K43" s="612">
        <v>2</v>
      </c>
      <c r="L43" s="1141"/>
      <c r="M43" s="1132"/>
      <c r="N43" s="1132"/>
      <c r="O43" s="1132"/>
      <c r="P43" s="3262"/>
      <c r="Q43" s="1808" t="str">
        <f t="shared" si="11"/>
        <v>内部装修维护情况</v>
      </c>
      <c r="R43" s="772" t="s">
        <v>17</v>
      </c>
      <c r="S43" s="773">
        <f t="shared" si="12"/>
        <v>100</v>
      </c>
      <c r="T43" s="772" t="s">
        <v>17</v>
      </c>
      <c r="U43" s="773">
        <f t="shared" si="13"/>
        <v>100</v>
      </c>
      <c r="V43" s="772" t="s">
        <v>17</v>
      </c>
      <c r="W43" s="773">
        <f t="shared" si="14"/>
        <v>100</v>
      </c>
      <c r="X43" s="1811"/>
      <c r="Y43" s="3264"/>
      <c r="Z43" s="1812" t="str">
        <f t="shared" si="15"/>
        <v>内部装修维护情况</v>
      </c>
      <c r="AA43" s="1809">
        <f t="shared" si="3"/>
        <v>1</v>
      </c>
      <c r="AB43" s="1809">
        <f t="shared" si="4"/>
        <v>1</v>
      </c>
      <c r="AC43" s="1809">
        <f t="shared" si="5"/>
        <v>1</v>
      </c>
    </row>
    <row r="44" spans="1:29" s="117" customFormat="1" ht="15">
      <c r="A44" s="473"/>
      <c r="B44" s="1387">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262"/>
      <c r="Q44" s="1793">
        <f t="shared" si="11"/>
        <v>111</v>
      </c>
      <c r="R44" s="768" t="s">
        <v>17</v>
      </c>
      <c r="S44" s="769">
        <f t="shared" si="12"/>
        <v>100</v>
      </c>
      <c r="T44" s="768" t="s">
        <v>17</v>
      </c>
      <c r="U44" s="769">
        <f t="shared" si="13"/>
        <v>100</v>
      </c>
      <c r="V44" s="768" t="s">
        <v>17</v>
      </c>
      <c r="W44" s="769">
        <f t="shared" si="14"/>
        <v>100</v>
      </c>
      <c r="X44" s="770"/>
      <c r="Y44" s="3264"/>
      <c r="Z44" s="55">
        <f t="shared" si="15"/>
        <v>111</v>
      </c>
      <c r="AA44" s="771">
        <f t="shared" si="3"/>
        <v>1</v>
      </c>
      <c r="AB44" s="771">
        <f t="shared" si="4"/>
        <v>1</v>
      </c>
      <c r="AC44" s="771">
        <f t="shared" si="5"/>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262"/>
      <c r="Q45" s="1808">
        <f t="shared" si="11"/>
        <v>111</v>
      </c>
      <c r="R45" s="772" t="s">
        <v>17</v>
      </c>
      <c r="S45" s="773">
        <f t="shared" si="12"/>
        <v>100</v>
      </c>
      <c r="T45" s="772" t="s">
        <v>17</v>
      </c>
      <c r="U45" s="773">
        <f t="shared" si="13"/>
        <v>100</v>
      </c>
      <c r="V45" s="772" t="s">
        <v>17</v>
      </c>
      <c r="W45" s="773">
        <f t="shared" si="14"/>
        <v>100</v>
      </c>
      <c r="X45" s="1811"/>
      <c r="Y45" s="3264"/>
      <c r="Z45" s="1812">
        <f t="shared" si="15"/>
        <v>111</v>
      </c>
      <c r="AA45" s="1809">
        <f t="shared" si="3"/>
        <v>1</v>
      </c>
      <c r="AB45" s="1809">
        <f t="shared" si="4"/>
        <v>1</v>
      </c>
      <c r="AC45" s="1809">
        <f t="shared" si="5"/>
        <v>1</v>
      </c>
    </row>
    <row r="46" spans="1:29" ht="15.75" thickBot="1">
      <c r="A46" s="478"/>
      <c r="B46" s="2603">
        <v>0.93</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263"/>
      <c r="Q46" s="1808">
        <f t="shared" si="11"/>
        <v>0.93</v>
      </c>
      <c r="R46" s="772" t="s">
        <v>17</v>
      </c>
      <c r="S46" s="773">
        <f t="shared" si="12"/>
        <v>100</v>
      </c>
      <c r="T46" s="772" t="s">
        <v>17</v>
      </c>
      <c r="U46" s="773">
        <f t="shared" si="13"/>
        <v>100</v>
      </c>
      <c r="V46" s="772" t="s">
        <v>17</v>
      </c>
      <c r="W46" s="773">
        <f t="shared" si="14"/>
        <v>100</v>
      </c>
      <c r="X46" s="1811"/>
      <c r="Y46" s="3265"/>
      <c r="Z46" s="1812">
        <f t="shared" si="15"/>
        <v>0.93</v>
      </c>
      <c r="AA46" s="1809">
        <f t="shared" si="3"/>
        <v>1</v>
      </c>
      <c r="AB46" s="1809">
        <f t="shared" si="4"/>
        <v>1</v>
      </c>
      <c r="AC46" s="1809">
        <f t="shared" si="5"/>
        <v>1</v>
      </c>
    </row>
    <row r="47" spans="1:29" ht="15">
      <c r="A47" s="479" t="s">
        <v>2578</v>
      </c>
      <c r="B47" s="480"/>
      <c r="C47" s="1408" t="s">
        <v>1</v>
      </c>
      <c r="D47" s="1409"/>
      <c r="E47" s="1410">
        <f>30700*B46</f>
        <v>28551</v>
      </c>
      <c r="F47" s="1411"/>
      <c r="G47" s="1412">
        <f>Sheet3!C56*B46</f>
        <v>27900</v>
      </c>
      <c r="H47" s="1413"/>
      <c r="I47" s="1410">
        <f>Sheet3!C57*B46</f>
        <v>30690</v>
      </c>
      <c r="J47" s="1413"/>
      <c r="K47" s="781"/>
      <c r="L47" s="1144"/>
      <c r="M47" s="1145"/>
      <c r="N47" s="1132"/>
      <c r="O47" s="1145"/>
      <c r="P47" s="3266" t="str">
        <f>A47</f>
        <v>成交单价（元/平方米）</v>
      </c>
      <c r="Q47" s="3266"/>
      <c r="R47" s="3228">
        <f>E47</f>
        <v>28551</v>
      </c>
      <c r="S47" s="3228"/>
      <c r="T47" s="3228">
        <f>G47</f>
        <v>27900</v>
      </c>
      <c r="U47" s="3228"/>
      <c r="V47" s="3228">
        <f>I47</f>
        <v>30690</v>
      </c>
      <c r="W47" s="3228"/>
      <c r="X47" s="757"/>
      <c r="Y47" s="779"/>
      <c r="Z47" s="757"/>
      <c r="AA47" s="757"/>
      <c r="AB47" s="757"/>
      <c r="AC47" s="757"/>
    </row>
    <row r="48" spans="1:29" ht="15.75" thickBot="1">
      <c r="A48" s="486" t="s">
        <v>2670</v>
      </c>
      <c r="B48" s="487"/>
      <c r="C48" s="1414">
        <f>R49</f>
        <v>28512</v>
      </c>
      <c r="D48" s="1415"/>
      <c r="E48" s="1416">
        <f>R48</f>
        <v>27453</v>
      </c>
      <c r="F48" s="1416"/>
      <c r="G48" s="1414">
        <f>T48</f>
        <v>27945</v>
      </c>
      <c r="H48" s="1415"/>
      <c r="I48" s="1416">
        <f>V48</f>
        <v>30137</v>
      </c>
      <c r="J48" s="1415"/>
      <c r="K48" s="782"/>
      <c r="L48" s="1144"/>
      <c r="M48" s="1145"/>
      <c r="N48" s="1132"/>
      <c r="O48" s="1145"/>
      <c r="P48" s="3266" t="str">
        <f>A48</f>
        <v>比较价值（元/平方米）</v>
      </c>
      <c r="Q48" s="3266"/>
      <c r="R48" s="3267">
        <f>IF(F1="售价",ROUND(PRODUCT(R47,AA7:AA46),0),ROUND(PRODUCT(R47,AA7:AA46),1))</f>
        <v>27453</v>
      </c>
      <c r="S48" s="3267"/>
      <c r="T48" s="3267">
        <f>IF(F1="售价",ROUND(PRODUCT(T47,AB7:AB46),0),ROUND(PRODUCT(T47,AB7:AB46),1))</f>
        <v>27945</v>
      </c>
      <c r="U48" s="3267"/>
      <c r="V48" s="3267">
        <f>IF(F1="售价",ROUND(PRODUCT(V47,AC7:AC46),0),ROUND(PRODUCT(V47,AC7:AC46),1))</f>
        <v>30137</v>
      </c>
      <c r="W48" s="3267"/>
      <c r="X48" s="757"/>
      <c r="Y48" s="757"/>
      <c r="Z48" s="757"/>
      <c r="AA48" s="757"/>
      <c r="AB48" s="757"/>
      <c r="AC48" s="757"/>
    </row>
    <row r="49" spans="1:29" ht="15.75" thickBot="1">
      <c r="A49" s="492" t="s">
        <v>2671</v>
      </c>
      <c r="B49" s="493"/>
      <c r="C49" s="1418">
        <f>R49</f>
        <v>28512</v>
      </c>
      <c r="D49" s="1418"/>
      <c r="E49" s="1418"/>
      <c r="F49" s="1418"/>
      <c r="G49" s="1418"/>
      <c r="H49" s="1418"/>
      <c r="I49" s="1418"/>
      <c r="J49" s="1418"/>
      <c r="K49" s="783"/>
      <c r="L49" s="1144"/>
      <c r="M49" s="1145"/>
      <c r="N49" s="1132"/>
      <c r="O49" s="1145"/>
      <c r="P49" s="3268" t="str">
        <f>A49</f>
        <v>估价对象XX用房的比较价值（楼面单价，元/平方米）</v>
      </c>
      <c r="Q49" s="3269"/>
      <c r="R49" s="3270">
        <f>IF(F1="售价",ROUND(AVERAGE(R48:V48),0),ROUND(AVERAGE(R48:V48),1))</f>
        <v>28512</v>
      </c>
      <c r="S49" s="3270"/>
      <c r="T49" s="3270"/>
      <c r="U49" s="3270"/>
      <c r="V49" s="3270"/>
      <c r="W49" s="3270"/>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5"/>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5"/>
      <c r="Q51" s="757"/>
      <c r="R51" s="757"/>
      <c r="S51" s="757"/>
      <c r="T51" s="757"/>
      <c r="U51" s="757"/>
      <c r="V51" s="757"/>
      <c r="W51" s="757"/>
      <c r="X51" s="757"/>
      <c r="Y51" s="757"/>
      <c r="Z51" s="757"/>
      <c r="AA51" s="757"/>
      <c r="AB51" s="757"/>
      <c r="AC51" s="757"/>
    </row>
    <row r="52" spans="1:29" ht="13.5" customHeight="1">
      <c r="A52" s="1145"/>
      <c r="B52" s="1145"/>
      <c r="C52" s="497" t="s">
        <v>2672</v>
      </c>
      <c r="D52" s="498"/>
      <c r="E52" s="499">
        <f>IF(E47&lt;E48,E48/E47-1,E47/E48-1)</f>
        <v>3.9995628893017221E-2</v>
      </c>
      <c r="F52" s="500" t="str">
        <f>IF(OR(E52&gt;=0.3,E52&lt;=-0.3),"超过30%","")</f>
        <v/>
      </c>
      <c r="G52" s="499">
        <f>IF(G47&lt;G48,G48/G47-1,G47/G48-1)</f>
        <v>1.612903225806539E-3</v>
      </c>
      <c r="H52" s="500" t="str">
        <f>IF(OR(G52&gt;=0.3,G52&lt;=-0.3),"超过30%","")</f>
        <v/>
      </c>
      <c r="I52" s="499">
        <f>IF(I47&lt;I48,I48/I47-1,I47/I48-1)</f>
        <v>1.8349537113846681E-2</v>
      </c>
      <c r="J52" s="500" t="str">
        <f>IF(OR(I52&gt;=0.3,I52&lt;=-0.3),"超过30%","")</f>
        <v/>
      </c>
      <c r="K52" s="1106"/>
      <c r="L52" s="1107"/>
      <c r="M52" s="1145"/>
      <c r="N52" s="1145"/>
      <c r="O52" s="1145"/>
      <c r="P52" s="675"/>
      <c r="Q52" s="757"/>
      <c r="R52" s="757"/>
      <c r="S52" s="757"/>
      <c r="T52" s="757"/>
      <c r="U52" s="757"/>
      <c r="V52" s="757"/>
      <c r="W52" s="757"/>
      <c r="X52" s="757"/>
      <c r="Y52" s="757"/>
      <c r="Z52" s="757"/>
      <c r="AA52" s="757"/>
      <c r="AB52" s="757"/>
      <c r="AC52" s="757"/>
    </row>
    <row r="53" spans="1:29" ht="13.5" customHeight="1">
      <c r="A53" s="1145"/>
      <c r="B53" s="1145"/>
      <c r="C53" s="497" t="s">
        <v>2673</v>
      </c>
      <c r="D53" s="501"/>
      <c r="E53" s="499">
        <f>IF(E48&lt;G48,G48/E48-1,E48/G48-1)</f>
        <v>1.7921538629658063E-2</v>
      </c>
      <c r="F53" s="500" t="str">
        <f>IF(OR(E53&gt;=0.2,E53&lt;=-0.2),"超过20%","")</f>
        <v/>
      </c>
      <c r="G53" s="499">
        <f>IF(G48&lt;I48,I48/G48-1,G48/I48-1)</f>
        <v>7.8439792449454204E-2</v>
      </c>
      <c r="H53" s="500" t="str">
        <f>IF(OR(G53&gt;=0.2,G53&lt;=-0.2),"超过20%","")</f>
        <v/>
      </c>
      <c r="I53" s="499">
        <f>IF(I48&lt;E48,E48/I48-1,I48/E48-1)</f>
        <v>9.7767092849597503E-2</v>
      </c>
      <c r="J53" s="500" t="str">
        <f>IF(OR(I53&gt;=0.2,I53&lt;=-0.2),"超过20%","")</f>
        <v/>
      </c>
      <c r="K53" s="1106"/>
      <c r="L53" s="1107"/>
      <c r="M53" s="1145"/>
      <c r="N53" s="1145"/>
      <c r="O53" s="1145"/>
      <c r="P53" s="675"/>
      <c r="Q53" s="757"/>
      <c r="R53" s="757"/>
      <c r="S53" s="757"/>
      <c r="T53" s="757"/>
      <c r="U53" s="757"/>
      <c r="V53" s="757"/>
      <c r="W53" s="757"/>
      <c r="X53" s="757"/>
      <c r="Y53" s="757"/>
      <c r="Z53" s="757"/>
      <c r="AA53" s="757"/>
      <c r="AB53" s="757"/>
      <c r="AC53" s="757"/>
    </row>
    <row r="54" spans="1:29" s="502" customFormat="1" ht="13.5" customHeight="1">
      <c r="A54" s="1146"/>
      <c r="B54" s="1146"/>
      <c r="C54" s="497" t="s">
        <v>2674</v>
      </c>
      <c r="D54" s="501"/>
      <c r="E54" s="499">
        <f>IF(E47&lt;G47,G47/E47-1,E47/G47-1)</f>
        <v>2.3333333333333428E-2</v>
      </c>
      <c r="F54" s="500" t="str">
        <f>IF(OR(E54&gt;=0.3,E54&lt;=-0.3),"超过30%","")</f>
        <v/>
      </c>
      <c r="G54" s="499">
        <f>IF(G47&lt;I47,I47/G47-1,G47/I47-1)</f>
        <v>0.10000000000000009</v>
      </c>
      <c r="H54" s="500" t="str">
        <f>IF(OR(G54&gt;=0.3,G54&lt;=-0.3),"超过30%","")</f>
        <v/>
      </c>
      <c r="I54" s="499">
        <f>IF(I47&lt;E47,E47/I47-1,I47/E47-1)</f>
        <v>7.4918566775244333E-2</v>
      </c>
      <c r="J54" s="500" t="str">
        <f>IF(OR(I54&gt;=0.3,I54&lt;=-0.3),"超过30%","")</f>
        <v/>
      </c>
      <c r="K54" s="1149"/>
      <c r="L54" s="1150"/>
      <c r="M54" s="1146"/>
      <c r="N54" s="1146"/>
      <c r="O54" s="1146"/>
      <c r="P54" s="2667"/>
      <c r="Q54" s="758"/>
      <c r="R54" s="758"/>
      <c r="S54" s="758"/>
      <c r="T54" s="758"/>
      <c r="U54" s="758"/>
      <c r="V54" s="758"/>
      <c r="W54" s="758"/>
      <c r="X54" s="758"/>
      <c r="Y54" s="758"/>
      <c r="Z54" s="758"/>
      <c r="AA54" s="758"/>
      <c r="AB54" s="758"/>
      <c r="AC54" s="758"/>
    </row>
    <row r="55" spans="1:29" s="502" customFormat="1">
      <c r="A55" s="1146"/>
      <c r="B55" s="1147"/>
      <c r="C55" s="1151"/>
      <c r="D55" s="1146"/>
      <c r="E55" s="1146"/>
      <c r="F55" s="1146"/>
      <c r="G55" s="1146"/>
      <c r="H55" s="1146"/>
      <c r="I55" s="1146"/>
      <c r="J55" s="1146"/>
      <c r="K55" s="1149"/>
      <c r="L55" s="1150"/>
      <c r="M55" s="1146"/>
      <c r="N55" s="1146"/>
      <c r="O55" s="1146"/>
      <c r="P55" s="2667"/>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5"/>
      <c r="Q56" s="757"/>
      <c r="R56" s="757"/>
      <c r="S56" s="757"/>
      <c r="T56" s="757"/>
      <c r="U56" s="757"/>
      <c r="V56" s="757"/>
      <c r="W56" s="757"/>
      <c r="X56" s="757"/>
      <c r="Y56" s="757"/>
      <c r="Z56" s="757"/>
      <c r="AA56" s="757"/>
      <c r="AB56" s="757"/>
      <c r="AC56" s="757"/>
    </row>
    <row r="57" spans="1:29" ht="21.75" thickBot="1">
      <c r="A57" s="761" t="s">
        <v>2675</v>
      </c>
      <c r="B57" s="757"/>
      <c r="C57" s="762"/>
      <c r="D57" s="762"/>
      <c r="E57" s="762"/>
      <c r="F57" s="763"/>
      <c r="G57" s="763"/>
      <c r="H57" s="762"/>
      <c r="I57" s="762"/>
      <c r="J57" s="762"/>
      <c r="K57" s="764"/>
      <c r="L57" s="1162"/>
      <c r="M57" s="1160"/>
      <c r="N57" s="1160"/>
      <c r="O57" s="1160"/>
      <c r="P57" s="2668"/>
      <c r="Q57" s="2669"/>
      <c r="R57" s="757"/>
      <c r="S57" s="757"/>
      <c r="T57" s="757"/>
      <c r="U57" s="757"/>
      <c r="V57" s="757"/>
      <c r="W57" s="757"/>
      <c r="X57" s="757"/>
      <c r="Y57" s="757"/>
      <c r="Z57" s="757"/>
      <c r="AA57" s="757"/>
      <c r="AB57" s="757"/>
      <c r="AC57" s="757"/>
    </row>
    <row r="58" spans="1:29" s="508" customFormat="1" ht="15">
      <c r="A58" s="505" t="s">
        <v>2549</v>
      </c>
      <c r="B58" s="506"/>
      <c r="C58" s="1575" t="str">
        <f>YEAR(C7)&amp;"-"&amp;MONTH(C7)</f>
        <v>2019-4</v>
      </c>
      <c r="D58" s="1576">
        <f>EDATE(C58,-1)</f>
        <v>43525</v>
      </c>
      <c r="E58" s="1576">
        <f t="shared" ref="E58:N58" si="16">EDATE(D58,-1)</f>
        <v>43497</v>
      </c>
      <c r="F58" s="1576">
        <f t="shared" si="16"/>
        <v>43466</v>
      </c>
      <c r="G58" s="1576">
        <f t="shared" si="16"/>
        <v>43435</v>
      </c>
      <c r="H58" s="1576">
        <f t="shared" si="16"/>
        <v>43405</v>
      </c>
      <c r="I58" s="1576">
        <f t="shared" si="16"/>
        <v>43374</v>
      </c>
      <c r="J58" s="1576">
        <f t="shared" si="16"/>
        <v>43344</v>
      </c>
      <c r="K58" s="1576">
        <f t="shared" si="16"/>
        <v>43313</v>
      </c>
      <c r="L58" s="1576">
        <f t="shared" si="16"/>
        <v>43282</v>
      </c>
      <c r="M58" s="1576">
        <f t="shared" si="16"/>
        <v>43252</v>
      </c>
      <c r="N58" s="1576">
        <f t="shared" si="16"/>
        <v>43221</v>
      </c>
      <c r="O58" s="1576">
        <f>EDATE(N58,-1)</f>
        <v>43191</v>
      </c>
      <c r="P58" s="1571"/>
    </row>
    <row r="59" spans="1:29" s="117" customFormat="1" ht="15">
      <c r="A59" s="509"/>
      <c r="B59" s="510"/>
      <c r="C59" s="1574">
        <v>100</v>
      </c>
      <c r="D59" s="512"/>
      <c r="E59" s="512"/>
      <c r="F59" s="512"/>
      <c r="G59" s="512"/>
      <c r="H59" s="512"/>
      <c r="I59" s="512"/>
      <c r="J59" s="512"/>
      <c r="K59" s="512"/>
      <c r="L59" s="512"/>
      <c r="M59" s="513"/>
      <c r="N59" s="512"/>
      <c r="O59" s="513"/>
      <c r="P59" s="2629"/>
    </row>
    <row r="60" spans="1:29" s="117" customFormat="1" ht="15.75" thickBot="1">
      <c r="A60" s="515" t="s">
        <v>2586</v>
      </c>
      <c r="B60" s="516"/>
      <c r="C60" s="517"/>
      <c r="D60" s="518"/>
      <c r="E60" s="518"/>
      <c r="F60" s="518"/>
      <c r="G60" s="518"/>
      <c r="H60" s="518"/>
      <c r="I60" s="518"/>
      <c r="J60" s="518"/>
      <c r="K60" s="518"/>
      <c r="L60" s="518"/>
      <c r="M60" s="519"/>
      <c r="N60" s="518"/>
      <c r="O60" s="519"/>
      <c r="P60" s="2629"/>
      <c r="Q60" s="504"/>
    </row>
    <row r="61" spans="1:29" s="117" customFormat="1" ht="15">
      <c r="A61" s="521" t="s">
        <v>2551</v>
      </c>
      <c r="B61" s="510"/>
      <c r="C61" s="522" t="s">
        <v>2653</v>
      </c>
      <c r="D61" s="523"/>
      <c r="E61" s="523"/>
      <c r="F61" s="523"/>
      <c r="G61" s="523"/>
      <c r="H61" s="523"/>
      <c r="I61" s="523"/>
      <c r="J61" s="523"/>
      <c r="K61" s="523"/>
      <c r="L61" s="524"/>
      <c r="M61" s="525"/>
      <c r="N61" s="1152"/>
      <c r="O61" s="1152"/>
      <c r="P61" s="2630"/>
      <c r="Q61" s="504"/>
    </row>
    <row r="62" spans="1:29" s="117" customFormat="1" ht="15.75" thickBot="1">
      <c r="A62" s="521"/>
      <c r="B62" s="510"/>
      <c r="C62" s="511">
        <v>100</v>
      </c>
      <c r="D62" s="512"/>
      <c r="E62" s="512"/>
      <c r="F62" s="512"/>
      <c r="G62" s="512"/>
      <c r="H62" s="512"/>
      <c r="I62" s="512"/>
      <c r="J62" s="512"/>
      <c r="K62" s="512"/>
      <c r="L62" s="512"/>
      <c r="M62" s="514"/>
      <c r="N62" s="1152"/>
      <c r="O62" s="1152"/>
      <c r="P62" s="2629"/>
      <c r="Q62" s="504"/>
    </row>
    <row r="63" spans="1:29">
      <c r="A63" s="527" t="s">
        <v>2589</v>
      </c>
      <c r="B63" s="528" t="s">
        <v>2555</v>
      </c>
      <c r="C63" s="529" t="str">
        <f>C9</f>
        <v>商业</v>
      </c>
      <c r="D63" s="530"/>
      <c r="E63" s="530"/>
      <c r="F63" s="530"/>
      <c r="G63" s="530"/>
      <c r="H63" s="530"/>
      <c r="I63" s="530"/>
      <c r="J63" s="530"/>
      <c r="K63" s="531"/>
      <c r="L63" s="532"/>
      <c r="M63" s="533"/>
      <c r="N63" s="1153"/>
      <c r="O63" s="1153"/>
      <c r="P63" s="2631"/>
      <c r="Q63" s="504"/>
    </row>
    <row r="64" spans="1:29" ht="15.75" thickBot="1">
      <c r="A64" s="534"/>
      <c r="B64" s="535"/>
      <c r="C64" s="536">
        <v>100</v>
      </c>
      <c r="D64" s="536"/>
      <c r="E64" s="536"/>
      <c r="F64" s="536"/>
      <c r="G64" s="536"/>
      <c r="H64" s="536"/>
      <c r="I64" s="536"/>
      <c r="J64" s="536"/>
      <c r="K64" s="536"/>
      <c r="L64" s="536"/>
      <c r="M64" s="537"/>
      <c r="N64" s="1154"/>
      <c r="O64" s="1154"/>
      <c r="P64" s="2631"/>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3"/>
      <c r="O65" s="1153"/>
      <c r="P65" s="2631"/>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4"/>
      <c r="O66" s="1154"/>
      <c r="P66" s="2631"/>
      <c r="Q66" s="504"/>
    </row>
    <row r="67" spans="1:17" ht="15.75" thickTop="1">
      <c r="A67" s="534"/>
      <c r="B67" s="546" t="s">
        <v>2559</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v>
      </c>
      <c r="I67" s="547" t="str">
        <f t="shared" si="17"/>
        <v>（含）-</v>
      </c>
      <c r="J67" s="547" t="str">
        <f t="shared" si="17"/>
        <v>（含）-</v>
      </c>
      <c r="K67" s="547" t="str">
        <f t="shared" si="17"/>
        <v>（含）-</v>
      </c>
      <c r="L67" s="547" t="str">
        <f t="shared" si="17"/>
        <v>（含）-</v>
      </c>
      <c r="M67" s="448" t="str">
        <f>M68&amp;"（含）"&amp;"-"&amp;P68</f>
        <v>（含）-</v>
      </c>
      <c r="N67" s="1154"/>
      <c r="O67" s="1154"/>
      <c r="P67" s="2631"/>
      <c r="Q67" s="504"/>
    </row>
    <row r="68" spans="1:17" ht="15">
      <c r="A68" s="534"/>
      <c r="B68" s="548"/>
      <c r="C68" s="549">
        <v>0</v>
      </c>
      <c r="D68" s="549">
        <v>1</v>
      </c>
      <c r="E68" s="549">
        <v>2</v>
      </c>
      <c r="F68" s="549">
        <v>3</v>
      </c>
      <c r="G68" s="549">
        <v>4</v>
      </c>
      <c r="H68" s="549">
        <v>5</v>
      </c>
      <c r="I68" s="549"/>
      <c r="J68" s="549"/>
      <c r="K68" s="550"/>
      <c r="L68" s="551"/>
      <c r="M68" s="552"/>
      <c r="N68" s="1153"/>
      <c r="O68" s="1153"/>
      <c r="P68" s="2631"/>
      <c r="Q68" s="504"/>
    </row>
    <row r="69" spans="1:17" ht="15.75" thickBot="1">
      <c r="A69" s="534"/>
      <c r="B69" s="535"/>
      <c r="C69" s="544">
        <v>100</v>
      </c>
      <c r="D69" s="544">
        <f t="shared" ref="D69:M69" si="18">C69-$K11</f>
        <v>98</v>
      </c>
      <c r="E69" s="544">
        <f t="shared" si="18"/>
        <v>96</v>
      </c>
      <c r="F69" s="544">
        <f t="shared" si="18"/>
        <v>94</v>
      </c>
      <c r="G69" s="544">
        <f t="shared" si="18"/>
        <v>92</v>
      </c>
      <c r="H69" s="544">
        <f t="shared" si="18"/>
        <v>90</v>
      </c>
      <c r="I69" s="544">
        <f t="shared" si="18"/>
        <v>88</v>
      </c>
      <c r="J69" s="544">
        <f t="shared" si="18"/>
        <v>86</v>
      </c>
      <c r="K69" s="544">
        <f t="shared" si="18"/>
        <v>84</v>
      </c>
      <c r="L69" s="544">
        <f t="shared" si="18"/>
        <v>82</v>
      </c>
      <c r="M69" s="545">
        <f t="shared" si="18"/>
        <v>80</v>
      </c>
      <c r="N69" s="1154"/>
      <c r="O69" s="1154"/>
      <c r="P69" s="2631"/>
      <c r="Q69" s="504"/>
    </row>
    <row r="70" spans="1:17" s="471" customFormat="1" ht="15.75" thickTop="1">
      <c r="A70" s="553"/>
      <c r="B70" s="538">
        <f>B12</f>
        <v>111</v>
      </c>
      <c r="C70" s="554"/>
      <c r="D70" s="554"/>
      <c r="E70" s="554"/>
      <c r="F70" s="554"/>
      <c r="G70" s="554"/>
      <c r="H70" s="555"/>
      <c r="I70" s="555"/>
      <c r="J70" s="555"/>
      <c r="K70" s="555"/>
      <c r="L70" s="556"/>
      <c r="M70" s="557"/>
      <c r="N70" s="1155"/>
      <c r="O70" s="1155"/>
      <c r="P70" s="2632"/>
      <c r="Q70" s="559"/>
    </row>
    <row r="71" spans="1:17" s="471" customFormat="1" ht="15.75" thickBot="1">
      <c r="A71" s="553"/>
      <c r="B71" s="543"/>
      <c r="C71" s="560"/>
      <c r="D71" s="536"/>
      <c r="E71" s="536"/>
      <c r="F71" s="536"/>
      <c r="G71" s="536"/>
      <c r="H71" s="536"/>
      <c r="I71" s="536"/>
      <c r="J71" s="536"/>
      <c r="K71" s="536"/>
      <c r="L71" s="536"/>
      <c r="M71" s="537"/>
      <c r="N71" s="1154"/>
      <c r="O71" s="1154"/>
      <c r="P71" s="2632"/>
      <c r="Q71" s="559"/>
    </row>
    <row r="72" spans="1:17" s="471" customFormat="1" ht="15.75" thickTop="1">
      <c r="A72" s="553"/>
      <c r="B72" s="538">
        <f>B13</f>
        <v>111</v>
      </c>
      <c r="C72" s="554"/>
      <c r="D72" s="554"/>
      <c r="E72" s="554"/>
      <c r="F72" s="554"/>
      <c r="G72" s="554"/>
      <c r="H72" s="555"/>
      <c r="I72" s="555"/>
      <c r="J72" s="555"/>
      <c r="K72" s="555"/>
      <c r="L72" s="556"/>
      <c r="M72" s="557"/>
      <c r="N72" s="1155"/>
      <c r="O72" s="1155"/>
      <c r="P72" s="2633"/>
      <c r="Q72" s="561"/>
    </row>
    <row r="73" spans="1:17" s="471" customFormat="1" ht="15.75" thickBot="1">
      <c r="A73" s="553"/>
      <c r="B73" s="543"/>
      <c r="C73" s="560"/>
      <c r="D73" s="536"/>
      <c r="E73" s="536"/>
      <c r="F73" s="536"/>
      <c r="G73" s="560"/>
      <c r="H73" s="562"/>
      <c r="I73" s="562"/>
      <c r="J73" s="562"/>
      <c r="K73" s="562"/>
      <c r="L73" s="562"/>
      <c r="M73" s="563"/>
      <c r="N73" s="1155"/>
      <c r="O73" s="1155"/>
      <c r="P73" s="2632"/>
      <c r="Q73" s="559"/>
    </row>
    <row r="74" spans="1:17" s="471" customFormat="1" ht="15.75" thickTop="1">
      <c r="A74" s="553"/>
      <c r="B74" s="546">
        <f>B14</f>
        <v>111</v>
      </c>
      <c r="C74" s="554"/>
      <c r="D74" s="554"/>
      <c r="E74" s="554"/>
      <c r="F74" s="554"/>
      <c r="G74" s="523"/>
      <c r="H74" s="564"/>
      <c r="I74" s="564"/>
      <c r="J74" s="564"/>
      <c r="K74" s="564"/>
      <c r="L74" s="565"/>
      <c r="M74" s="566"/>
      <c r="N74" s="1155"/>
      <c r="O74" s="1155"/>
      <c r="P74" s="2634"/>
      <c r="Q74" s="559"/>
    </row>
    <row r="75" spans="1:17" s="471" customFormat="1" ht="15.75" thickBot="1">
      <c r="A75" s="568"/>
      <c r="B75" s="569"/>
      <c r="C75" s="570"/>
      <c r="D75" s="570"/>
      <c r="E75" s="570"/>
      <c r="F75" s="570"/>
      <c r="G75" s="570"/>
      <c r="H75" s="571"/>
      <c r="I75" s="571"/>
      <c r="J75" s="571"/>
      <c r="K75" s="571"/>
      <c r="L75" s="571"/>
      <c r="M75" s="572"/>
      <c r="N75" s="1155"/>
      <c r="O75" s="1155"/>
      <c r="P75" s="2632"/>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3"/>
      <c r="O76" s="1153"/>
      <c r="P76" s="2635"/>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4"/>
      <c r="O77" s="1154"/>
      <c r="P77" s="2631"/>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3"/>
      <c r="O78" s="1153"/>
      <c r="P78" s="2631"/>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4"/>
      <c r="O79" s="1154"/>
      <c r="P79" s="2631"/>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3"/>
      <c r="O80" s="1153"/>
      <c r="P80" s="2631"/>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4"/>
      <c r="O81" s="1154"/>
      <c r="P81" s="2631"/>
      <c r="Q81" s="504"/>
    </row>
    <row r="82" spans="1:17" ht="15.75" thickTop="1">
      <c r="A82" s="534"/>
      <c r="B82" s="546" t="s">
        <v>2656</v>
      </c>
      <c r="C82" s="660" t="s">
        <v>2676</v>
      </c>
      <c r="D82" s="660" t="s">
        <v>2677</v>
      </c>
      <c r="E82" s="660" t="s">
        <v>2678</v>
      </c>
      <c r="F82" s="660" t="s">
        <v>2679</v>
      </c>
      <c r="G82" s="660" t="s">
        <v>2680</v>
      </c>
      <c r="H82" s="539"/>
      <c r="I82" s="539"/>
      <c r="J82" s="539"/>
      <c r="K82" s="539"/>
      <c r="L82" s="539"/>
      <c r="M82" s="1383"/>
      <c r="N82" s="1154"/>
      <c r="O82" s="1154"/>
      <c r="P82" s="2631"/>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4"/>
      <c r="O83" s="1154"/>
      <c r="P83" s="2631"/>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3"/>
      <c r="O84" s="1153"/>
      <c r="P84" s="2631"/>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4"/>
      <c r="O85" s="1154"/>
      <c r="P85" s="2631"/>
      <c r="Q85" s="504"/>
    </row>
    <row r="86" spans="1:17" s="117" customFormat="1" ht="15.75" thickTop="1">
      <c r="A86" s="579"/>
      <c r="B86" s="538" t="s">
        <v>2681</v>
      </c>
      <c r="C86" s="554"/>
      <c r="D86" s="554"/>
      <c r="E86" s="554"/>
      <c r="F86" s="554"/>
      <c r="G86" s="554"/>
      <c r="H86" s="554"/>
      <c r="I86" s="554"/>
      <c r="J86" s="554"/>
      <c r="K86" s="554"/>
      <c r="L86" s="580"/>
      <c r="M86" s="581"/>
      <c r="N86" s="1152"/>
      <c r="O86" s="1152"/>
      <c r="P86" s="2631"/>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4"/>
      <c r="O87" s="1154"/>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2"/>
      <c r="O88" s="1152"/>
      <c r="P88" s="2631"/>
      <c r="Q88" s="504"/>
    </row>
    <row r="89" spans="1:17" s="117" customFormat="1" ht="15.75" thickBot="1">
      <c r="A89" s="579"/>
      <c r="B89" s="543"/>
      <c r="C89" s="560"/>
      <c r="D89" s="536"/>
      <c r="E89" s="536"/>
      <c r="F89" s="536"/>
      <c r="G89" s="536"/>
      <c r="H89" s="536"/>
      <c r="I89" s="536"/>
      <c r="J89" s="536"/>
      <c r="K89" s="536"/>
      <c r="L89" s="536"/>
      <c r="M89" s="536"/>
      <c r="N89" s="1154"/>
      <c r="O89" s="1154"/>
      <c r="P89" s="2631"/>
      <c r="Q89" s="504"/>
    </row>
    <row r="90" spans="1:17" s="471" customFormat="1" ht="15.75" thickTop="1">
      <c r="A90" s="553"/>
      <c r="B90" s="538" t="str">
        <f>B27</f>
        <v>人流量</v>
      </c>
      <c r="C90" s="2983" t="s">
        <v>3137</v>
      </c>
      <c r="D90" s="2983" t="s">
        <v>3136</v>
      </c>
      <c r="E90" s="2983" t="s">
        <v>3134</v>
      </c>
      <c r="F90" s="2983" t="s">
        <v>3138</v>
      </c>
      <c r="G90" s="2983" t="s">
        <v>3139</v>
      </c>
      <c r="H90" s="555"/>
      <c r="I90" s="555"/>
      <c r="J90" s="555"/>
      <c r="K90" s="555"/>
      <c r="L90" s="556"/>
      <c r="M90" s="557"/>
      <c r="N90" s="1155"/>
      <c r="O90" s="1155"/>
      <c r="P90" s="2632"/>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5"/>
      <c r="O91" s="1155"/>
      <c r="P91" s="2632"/>
      <c r="Q91" s="559"/>
    </row>
    <row r="92" spans="1:17" ht="15.75" thickTop="1">
      <c r="A92" s="534"/>
      <c r="B92" s="538" t="str">
        <f>B28</f>
        <v>楼层</v>
      </c>
      <c r="C92" s="554"/>
      <c r="D92" s="554"/>
      <c r="E92" s="554"/>
      <c r="F92" s="554"/>
      <c r="G92" s="554"/>
      <c r="H92" s="554"/>
      <c r="I92" s="554"/>
      <c r="J92" s="554"/>
      <c r="K92" s="554"/>
      <c r="L92" s="580"/>
      <c r="M92" s="581"/>
      <c r="N92" s="1153"/>
      <c r="O92" s="1153"/>
      <c r="P92" s="2631"/>
      <c r="Q92" s="504"/>
    </row>
    <row r="93" spans="1:17" ht="15.75" thickBot="1">
      <c r="A93" s="534"/>
      <c r="B93" s="543"/>
      <c r="C93" s="536"/>
      <c r="D93" s="536"/>
      <c r="E93" s="536"/>
      <c r="F93" s="536"/>
      <c r="G93" s="536"/>
      <c r="H93" s="536"/>
      <c r="I93" s="536"/>
      <c r="J93" s="536"/>
      <c r="K93" s="536"/>
      <c r="L93" s="536"/>
      <c r="M93" s="537"/>
      <c r="N93" s="1154"/>
      <c r="O93" s="1154"/>
      <c r="P93" s="2631"/>
      <c r="Q93" s="504"/>
    </row>
    <row r="94" spans="1:17" ht="15.75" thickTop="1">
      <c r="A94" s="534"/>
      <c r="B94" s="538">
        <f>B29</f>
        <v>111</v>
      </c>
      <c r="C94" s="554"/>
      <c r="D94" s="554"/>
      <c r="E94" s="554"/>
      <c r="F94" s="554"/>
      <c r="G94" s="583"/>
      <c r="H94" s="583"/>
      <c r="I94" s="583"/>
      <c r="J94" s="583"/>
      <c r="K94" s="584"/>
      <c r="L94" s="585"/>
      <c r="M94" s="586"/>
      <c r="N94" s="1153"/>
      <c r="O94" s="1153"/>
      <c r="P94" s="2631"/>
      <c r="Q94" s="504"/>
    </row>
    <row r="95" spans="1:17" ht="15.75" thickBot="1">
      <c r="A95" s="534"/>
      <c r="B95" s="543"/>
      <c r="C95" s="560"/>
      <c r="D95" s="536"/>
      <c r="E95" s="536"/>
      <c r="F95" s="536"/>
      <c r="G95" s="536"/>
      <c r="H95" s="536"/>
      <c r="I95" s="536"/>
      <c r="J95" s="536"/>
      <c r="K95" s="536"/>
      <c r="L95" s="536"/>
      <c r="M95" s="537"/>
      <c r="N95" s="1154"/>
      <c r="O95" s="1154"/>
      <c r="P95" s="2631"/>
      <c r="Q95" s="504"/>
    </row>
    <row r="96" spans="1:17" ht="15.75" thickTop="1">
      <c r="A96" s="534"/>
      <c r="B96" s="538">
        <f>B30</f>
        <v>111</v>
      </c>
      <c r="C96" s="554"/>
      <c r="D96" s="554"/>
      <c r="E96" s="554"/>
      <c r="F96" s="554"/>
      <c r="G96" s="583"/>
      <c r="H96" s="583"/>
      <c r="I96" s="583"/>
      <c r="J96" s="583"/>
      <c r="K96" s="584"/>
      <c r="L96" s="585"/>
      <c r="M96" s="586"/>
      <c r="N96" s="1153"/>
      <c r="O96" s="1153"/>
      <c r="P96" s="2631"/>
      <c r="Q96" s="504"/>
    </row>
    <row r="97" spans="1:17" ht="15.75" thickBot="1">
      <c r="A97" s="534"/>
      <c r="B97" s="543"/>
      <c r="C97" s="560"/>
      <c r="D97" s="536"/>
      <c r="E97" s="536"/>
      <c r="F97" s="536"/>
      <c r="G97" s="536"/>
      <c r="H97" s="536"/>
      <c r="I97" s="536"/>
      <c r="J97" s="536"/>
      <c r="K97" s="536"/>
      <c r="L97" s="536"/>
      <c r="M97" s="537"/>
      <c r="N97" s="1154"/>
      <c r="O97" s="1154"/>
      <c r="P97" s="2631"/>
      <c r="Q97" s="504"/>
    </row>
    <row r="98" spans="1:17" ht="15.75" thickTop="1">
      <c r="A98" s="534"/>
      <c r="B98" s="546">
        <f>B31</f>
        <v>111</v>
      </c>
      <c r="C98" s="554"/>
      <c r="D98" s="554"/>
      <c r="E98" s="554"/>
      <c r="F98" s="554"/>
      <c r="G98" s="587"/>
      <c r="H98" s="587"/>
      <c r="I98" s="587"/>
      <c r="J98" s="587"/>
      <c r="K98" s="588"/>
      <c r="L98" s="589"/>
      <c r="M98" s="590"/>
      <c r="N98" s="1153"/>
      <c r="O98" s="1153"/>
      <c r="P98" s="2631"/>
      <c r="Q98" s="504"/>
    </row>
    <row r="99" spans="1:17" ht="15.75" thickBot="1">
      <c r="A99" s="2637"/>
      <c r="B99" s="569"/>
      <c r="C99" s="570"/>
      <c r="D99" s="570"/>
      <c r="E99" s="570"/>
      <c r="F99" s="570"/>
      <c r="G99" s="591"/>
      <c r="H99" s="591"/>
      <c r="I99" s="591"/>
      <c r="J99" s="591"/>
      <c r="K99" s="591"/>
      <c r="L99" s="591"/>
      <c r="M99" s="592"/>
      <c r="N99" s="1154"/>
      <c r="O99" s="1154"/>
      <c r="P99" s="2631"/>
      <c r="Q99" s="504"/>
    </row>
    <row r="100" spans="1:17">
      <c r="A100" s="527" t="s">
        <v>2564</v>
      </c>
      <c r="B100" s="528" t="s">
        <v>2682</v>
      </c>
      <c r="C100" s="2990" t="s">
        <v>3143</v>
      </c>
      <c r="D100" s="2990" t="s">
        <v>3144</v>
      </c>
      <c r="E100" s="2990" t="s">
        <v>3145</v>
      </c>
      <c r="F100" s="530"/>
      <c r="G100" s="530"/>
      <c r="H100" s="530"/>
      <c r="I100" s="530"/>
      <c r="J100" s="530"/>
      <c r="K100" s="531"/>
      <c r="L100" s="532"/>
      <c r="M100" s="533"/>
      <c r="N100" s="1153"/>
      <c r="O100" s="1153"/>
      <c r="P100" s="2631"/>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4"/>
      <c r="O101" s="1154"/>
      <c r="P101" s="2631"/>
      <c r="Q101" s="504"/>
    </row>
    <row r="102" spans="1:17" ht="15.75" thickTop="1">
      <c r="A102" s="534"/>
      <c r="B102" s="538" t="s">
        <v>2614</v>
      </c>
      <c r="C102" s="578" t="str">
        <f>C103&amp;"(含)"&amp;"-"&amp;D103</f>
        <v>0(含)-50</v>
      </c>
      <c r="D102" s="578" t="str">
        <f t="shared" ref="D102:L102" si="23">D103&amp;"(含)"&amp;"-"&amp;E103</f>
        <v>50(含)-100</v>
      </c>
      <c r="E102" s="578" t="str">
        <f t="shared" si="23"/>
        <v>100(含)-150</v>
      </c>
      <c r="F102" s="578" t="str">
        <f t="shared" si="23"/>
        <v>150(含)-200</v>
      </c>
      <c r="G102" s="578" t="str">
        <f t="shared" si="23"/>
        <v>200(含)-400</v>
      </c>
      <c r="H102" s="578" t="str">
        <f t="shared" si="23"/>
        <v>400(含)-</v>
      </c>
      <c r="I102" s="578" t="str">
        <f t="shared" si="23"/>
        <v>(含)-</v>
      </c>
      <c r="J102" s="578" t="str">
        <f t="shared" si="23"/>
        <v>(含)-</v>
      </c>
      <c r="K102" s="578" t="str">
        <f t="shared" si="23"/>
        <v>(含)-</v>
      </c>
      <c r="L102" s="578" t="str">
        <f t="shared" si="23"/>
        <v>(含)-</v>
      </c>
      <c r="M102" s="622" t="str">
        <f>M103&amp;"(含)"&amp;"-"&amp;P103</f>
        <v>(含)-</v>
      </c>
      <c r="N102" s="1152"/>
      <c r="O102" s="1152"/>
      <c r="P102" s="2631"/>
      <c r="Q102" s="504"/>
    </row>
    <row r="103" spans="1:17" s="471" customFormat="1">
      <c r="A103" s="593"/>
      <c r="B103" s="594"/>
      <c r="C103" s="595">
        <v>0</v>
      </c>
      <c r="D103" s="595">
        <v>50</v>
      </c>
      <c r="E103" s="595">
        <v>100</v>
      </c>
      <c r="F103" s="595">
        <v>150</v>
      </c>
      <c r="G103" s="595">
        <v>200</v>
      </c>
      <c r="H103" s="595">
        <v>400</v>
      </c>
      <c r="I103" s="595"/>
      <c r="J103" s="596"/>
      <c r="K103" s="596"/>
      <c r="L103" s="597"/>
      <c r="M103" s="598"/>
      <c r="N103" s="1155"/>
      <c r="O103" s="1155"/>
      <c r="P103" s="2632"/>
      <c r="Q103" s="559"/>
    </row>
    <row r="104" spans="1:17" s="471" customFormat="1" ht="15.75" thickBot="1">
      <c r="A104" s="553"/>
      <c r="B104" s="543"/>
      <c r="C104" s="560">
        <v>100</v>
      </c>
      <c r="D104" s="536">
        <v>98</v>
      </c>
      <c r="E104" s="536">
        <v>96</v>
      </c>
      <c r="F104" s="536">
        <v>94</v>
      </c>
      <c r="G104" s="536">
        <v>92</v>
      </c>
      <c r="H104" s="536">
        <v>90</v>
      </c>
      <c r="I104" s="536"/>
      <c r="J104" s="536"/>
      <c r="K104" s="536"/>
      <c r="L104" s="536"/>
      <c r="M104" s="537"/>
      <c r="N104" s="1154"/>
      <c r="O104" s="1154"/>
      <c r="P104" s="2632"/>
      <c r="Q104" s="559"/>
    </row>
    <row r="105" spans="1:17" ht="15" thickTop="1">
      <c r="A105" s="599"/>
      <c r="B105" s="538" t="s">
        <v>2615</v>
      </c>
      <c r="C105" s="554"/>
      <c r="D105" s="554"/>
      <c r="E105" s="583"/>
      <c r="F105" s="583"/>
      <c r="G105" s="583"/>
      <c r="H105" s="583"/>
      <c r="I105" s="583"/>
      <c r="J105" s="583"/>
      <c r="K105" s="584"/>
      <c r="L105" s="585"/>
      <c r="M105" s="586"/>
      <c r="N105" s="1153"/>
      <c r="O105" s="1153"/>
      <c r="P105" s="2631"/>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4"/>
      <c r="O106" s="1154"/>
      <c r="P106" s="2631"/>
      <c r="Q106" s="504"/>
    </row>
    <row r="107" spans="1:17" ht="15" thickTop="1">
      <c r="A107" s="599"/>
      <c r="B107" s="538" t="s">
        <v>2617</v>
      </c>
      <c r="C107" s="554"/>
      <c r="D107" s="554"/>
      <c r="E107" s="554"/>
      <c r="F107" s="583"/>
      <c r="G107" s="583"/>
      <c r="H107" s="583"/>
      <c r="I107" s="583"/>
      <c r="J107" s="583"/>
      <c r="K107" s="584"/>
      <c r="L107" s="585"/>
      <c r="M107" s="586"/>
      <c r="N107" s="1153"/>
      <c r="O107" s="1153"/>
      <c r="P107" s="2631"/>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4"/>
      <c r="O108" s="1154"/>
      <c r="P108" s="2631"/>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31"/>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31"/>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4"/>
      <c r="O111" s="1154"/>
      <c r="P111" s="2631"/>
      <c r="Q111" s="504"/>
    </row>
    <row r="112" spans="1:17" s="471" customFormat="1" ht="15" thickTop="1">
      <c r="A112" s="593"/>
      <c r="B112" s="538" t="s">
        <v>2619</v>
      </c>
      <c r="C112" s="2983" t="s">
        <v>3181</v>
      </c>
      <c r="D112" s="2983" t="s">
        <v>3182</v>
      </c>
      <c r="E112" s="2983" t="s">
        <v>3183</v>
      </c>
      <c r="F112" s="554"/>
      <c r="G112" s="554"/>
      <c r="H112" s="583"/>
      <c r="I112" s="583"/>
      <c r="J112" s="583"/>
      <c r="K112" s="584"/>
      <c r="L112" s="585"/>
      <c r="M112" s="586"/>
      <c r="N112" s="1155"/>
      <c r="O112" s="1155"/>
      <c r="P112" s="2632"/>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5"/>
      <c r="O113" s="1155"/>
      <c r="P113" s="2632"/>
      <c r="Q113" s="559"/>
    </row>
    <row r="114" spans="1:17" ht="15" thickTop="1">
      <c r="A114" s="599"/>
      <c r="B114" s="538" t="s">
        <v>2683</v>
      </c>
      <c r="C114" s="554"/>
      <c r="D114" s="554"/>
      <c r="E114" s="583"/>
      <c r="F114" s="583"/>
      <c r="G114" s="583"/>
      <c r="H114" s="583"/>
      <c r="I114" s="583"/>
      <c r="J114" s="583"/>
      <c r="K114" s="584"/>
      <c r="L114" s="585"/>
      <c r="M114" s="586"/>
      <c r="N114" s="1153"/>
      <c r="O114" s="1153"/>
      <c r="P114" s="2631"/>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4"/>
      <c r="O115" s="1154"/>
      <c r="P115" s="2631"/>
      <c r="Q115" s="504"/>
    </row>
    <row r="116" spans="1:17" ht="15" thickTop="1">
      <c r="A116" s="599"/>
      <c r="B116" s="538" t="s">
        <v>2684</v>
      </c>
      <c r="C116" s="554"/>
      <c r="D116" s="554"/>
      <c r="E116" s="554"/>
      <c r="F116" s="554"/>
      <c r="G116" s="554"/>
      <c r="H116" s="583"/>
      <c r="I116" s="583"/>
      <c r="J116" s="583"/>
      <c r="K116" s="584"/>
      <c r="L116" s="585"/>
      <c r="M116" s="586"/>
      <c r="N116" s="1153"/>
      <c r="O116" s="1153"/>
      <c r="P116" s="2631"/>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4"/>
      <c r="O117" s="1154"/>
      <c r="P117" s="2631"/>
      <c r="Q117" s="504"/>
    </row>
    <row r="118" spans="1:17" ht="15" thickTop="1">
      <c r="A118" s="599"/>
      <c r="B118" s="538" t="s">
        <v>2685</v>
      </c>
      <c r="C118" s="627"/>
      <c r="D118" s="627"/>
      <c r="E118" s="627"/>
      <c r="F118" s="627"/>
      <c r="G118" s="627"/>
      <c r="H118" s="555"/>
      <c r="I118" s="555"/>
      <c r="J118" s="555"/>
      <c r="K118" s="555"/>
      <c r="L118" s="556"/>
      <c r="M118" s="557"/>
      <c r="N118" s="1153"/>
      <c r="O118" s="1153"/>
      <c r="P118" s="2631"/>
      <c r="Q118" s="504"/>
    </row>
    <row r="119" spans="1:17" ht="15.75" thickBot="1">
      <c r="A119" s="534"/>
      <c r="B119" s="543"/>
      <c r="C119" s="560"/>
      <c r="D119" s="536"/>
      <c r="E119" s="536"/>
      <c r="F119" s="536"/>
      <c r="G119" s="536"/>
      <c r="H119" s="536"/>
      <c r="I119" s="536"/>
      <c r="J119" s="536"/>
      <c r="K119" s="536"/>
      <c r="L119" s="536"/>
      <c r="M119" s="537"/>
      <c r="N119" s="1154"/>
      <c r="O119" s="1154"/>
      <c r="P119" s="2631"/>
      <c r="Q119" s="504"/>
    </row>
    <row r="120" spans="1:17" s="471" customFormat="1" ht="15" thickTop="1">
      <c r="A120" s="593"/>
      <c r="B120" s="538" t="s">
        <v>2686</v>
      </c>
      <c r="C120" s="583"/>
      <c r="D120" s="583"/>
      <c r="E120" s="583"/>
      <c r="F120" s="583"/>
      <c r="G120" s="555"/>
      <c r="H120" s="555"/>
      <c r="I120" s="555"/>
      <c r="J120" s="555"/>
      <c r="K120" s="555"/>
      <c r="L120" s="556"/>
      <c r="M120" s="557"/>
      <c r="N120" s="1155"/>
      <c r="O120" s="1155"/>
      <c r="P120" s="2632"/>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5"/>
      <c r="O121" s="1155"/>
      <c r="P121" s="2632"/>
      <c r="Q121" s="559"/>
    </row>
    <row r="122" spans="1:17" ht="15" thickTop="1">
      <c r="A122" s="599"/>
      <c r="B122" s="538" t="s">
        <v>2621</v>
      </c>
      <c r="C122" s="2983" t="s">
        <v>3161</v>
      </c>
      <c r="D122" s="2983" t="s">
        <v>3162</v>
      </c>
      <c r="E122" s="2983" t="s">
        <v>3163</v>
      </c>
      <c r="F122" s="2994" t="s">
        <v>3164</v>
      </c>
      <c r="G122" s="583"/>
      <c r="H122" s="583"/>
      <c r="I122" s="583"/>
      <c r="J122" s="583"/>
      <c r="K122" s="584"/>
      <c r="L122" s="585"/>
      <c r="M122" s="586"/>
      <c r="N122" s="1153"/>
      <c r="O122" s="1153"/>
      <c r="P122" s="2631"/>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4"/>
      <c r="O123" s="1154"/>
      <c r="P123" s="2631"/>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3"/>
      <c r="O124" s="1153"/>
      <c r="P124" s="2632"/>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4"/>
      <c r="O125" s="1154"/>
      <c r="P125" s="2631"/>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2"/>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2"/>
      <c r="Q127" s="559"/>
    </row>
    <row r="128" spans="1:17" ht="15" thickTop="1">
      <c r="A128" s="599"/>
      <c r="B128" s="538">
        <f>B45</f>
        <v>111</v>
      </c>
      <c r="C128" s="554"/>
      <c r="D128" s="554"/>
      <c r="E128" s="554"/>
      <c r="F128" s="554"/>
      <c r="G128" s="583"/>
      <c r="H128" s="583"/>
      <c r="I128" s="583"/>
      <c r="J128" s="583"/>
      <c r="K128" s="584"/>
      <c r="L128" s="585"/>
      <c r="M128" s="586"/>
      <c r="N128" s="1153"/>
      <c r="O128" s="1153"/>
      <c r="P128" s="2631"/>
      <c r="Q128" s="504"/>
    </row>
    <row r="129" spans="1:17" ht="15.75" thickBot="1">
      <c r="A129" s="534"/>
      <c r="B129" s="543"/>
      <c r="C129" s="560"/>
      <c r="D129" s="536"/>
      <c r="E129" s="536"/>
      <c r="F129" s="536"/>
      <c r="G129" s="536"/>
      <c r="H129" s="536"/>
      <c r="I129" s="536"/>
      <c r="J129" s="536"/>
      <c r="K129" s="536"/>
      <c r="L129" s="536"/>
      <c r="M129" s="537"/>
      <c r="N129" s="1154"/>
      <c r="O129" s="1154"/>
      <c r="P129" s="2631"/>
      <c r="Q129" s="504"/>
    </row>
    <row r="130" spans="1:17" ht="15" thickTop="1">
      <c r="A130" s="599"/>
      <c r="B130" s="546">
        <f>B46</f>
        <v>0.93</v>
      </c>
      <c r="C130" s="554"/>
      <c r="D130" s="554"/>
      <c r="E130" s="554"/>
      <c r="F130" s="554"/>
      <c r="G130" s="587"/>
      <c r="H130" s="587"/>
      <c r="I130" s="587"/>
      <c r="J130" s="587"/>
      <c r="K130" s="523"/>
      <c r="L130" s="524"/>
      <c r="M130" s="590"/>
      <c r="N130" s="1153"/>
      <c r="O130" s="1153"/>
      <c r="P130" s="2631"/>
      <c r="Q130" s="504"/>
    </row>
    <row r="131" spans="1:17" ht="15.75" thickBot="1">
      <c r="A131" s="2637"/>
      <c r="B131" s="569"/>
      <c r="C131" s="570"/>
      <c r="D131" s="570"/>
      <c r="E131" s="570"/>
      <c r="F131" s="570"/>
      <c r="G131" s="591"/>
      <c r="H131" s="591"/>
      <c r="I131" s="591"/>
      <c r="J131" s="591"/>
      <c r="K131" s="591"/>
      <c r="L131" s="591"/>
      <c r="M131" s="592"/>
      <c r="N131" s="1154"/>
      <c r="O131" s="1154"/>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58" priority="17" stopIfTrue="1" operator="containsText" text="超过">
      <formula>NOT(ISERROR(SEARCH("超过",F52)))</formula>
    </cfRule>
  </conditionalFormatting>
  <conditionalFormatting sqref="H54">
    <cfRule type="containsText" dxfId="157" priority="15" stopIfTrue="1" operator="containsText" text="超过">
      <formula>NOT(ISERROR(SEARCH("超过",H54)))</formula>
    </cfRule>
  </conditionalFormatting>
  <conditionalFormatting sqref="F54">
    <cfRule type="containsText" dxfId="156" priority="14" stopIfTrue="1" operator="containsText" text="超过">
      <formula>NOT(ISERROR(SEARCH("超过",F54)))</formula>
    </cfRule>
  </conditionalFormatting>
  <conditionalFormatting sqref="F53 H53">
    <cfRule type="containsText" dxfId="155" priority="13" stopIfTrue="1" operator="containsText" text="超过">
      <formula>NOT(ISERROR(SEARCH("超过",F53)))</formula>
    </cfRule>
  </conditionalFormatting>
  <conditionalFormatting sqref="E52">
    <cfRule type="expression" dxfId="154" priority="12" stopIfTrue="1">
      <formula>$F$52="超过30%"</formula>
    </cfRule>
  </conditionalFormatting>
  <conditionalFormatting sqref="E53">
    <cfRule type="expression" dxfId="153" priority="11" stopIfTrue="1">
      <formula>$F$53="超过20%"</formula>
    </cfRule>
  </conditionalFormatting>
  <conditionalFormatting sqref="E54">
    <cfRule type="expression" dxfId="152" priority="10" stopIfTrue="1">
      <formula>$F$54="超过30%"</formula>
    </cfRule>
  </conditionalFormatting>
  <conditionalFormatting sqref="G54">
    <cfRule type="expression" dxfId="151" priority="9" stopIfTrue="1">
      <formula>$H$54="超过30%"</formula>
    </cfRule>
  </conditionalFormatting>
  <conditionalFormatting sqref="G52">
    <cfRule type="expression" dxfId="150" priority="8" stopIfTrue="1">
      <formula>$H$52="超过30%"</formula>
    </cfRule>
  </conditionalFormatting>
  <conditionalFormatting sqref="G53">
    <cfRule type="expression" dxfId="149" priority="7" stopIfTrue="1">
      <formula>$H$53="超过20%"</formula>
    </cfRule>
  </conditionalFormatting>
  <conditionalFormatting sqref="J52">
    <cfRule type="containsText" dxfId="148" priority="6" stopIfTrue="1" operator="containsText" text="超过">
      <formula>NOT(ISERROR(SEARCH("超过",J52)))</formula>
    </cfRule>
  </conditionalFormatting>
  <conditionalFormatting sqref="J54">
    <cfRule type="containsText" dxfId="147" priority="5" stopIfTrue="1" operator="containsText" text="超过">
      <formula>NOT(ISERROR(SEARCH("超过",J54)))</formula>
    </cfRule>
  </conditionalFormatting>
  <conditionalFormatting sqref="J53">
    <cfRule type="containsText" dxfId="146" priority="4" stopIfTrue="1" operator="containsText" text="超过">
      <formula>NOT(ISERROR(SEARCH("超过",J53)))</formula>
    </cfRule>
  </conditionalFormatting>
  <conditionalFormatting sqref="I52">
    <cfRule type="expression" dxfId="145" priority="3" stopIfTrue="1">
      <formula>$J$52="超过30%"</formula>
    </cfRule>
  </conditionalFormatting>
  <conditionalFormatting sqref="I53">
    <cfRule type="expression" dxfId="144" priority="2" stopIfTrue="1">
      <formula>$J$53="超过20%"</formula>
    </cfRule>
  </conditionalFormatting>
  <conditionalFormatting sqref="I54">
    <cfRule type="expression" dxfId="14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4" sqref="B24"/>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205" t="s">
        <v>3005</v>
      </c>
      <c r="C1" s="3272" t="s">
        <v>3006</v>
      </c>
      <c r="D1" s="3273"/>
      <c r="E1" s="3273"/>
      <c r="F1" s="3273"/>
      <c r="G1" s="3273"/>
      <c r="H1" s="3273"/>
      <c r="I1" s="3273"/>
      <c r="J1" s="3273"/>
      <c r="K1" s="3273"/>
      <c r="L1" s="3273"/>
      <c r="M1" s="3273"/>
      <c r="N1" s="3273"/>
      <c r="O1" s="3273"/>
      <c r="P1" s="3273"/>
      <c r="Q1" s="3273"/>
      <c r="R1" s="3273"/>
      <c r="S1" s="3274"/>
      <c r="T1" s="1205" t="s">
        <v>3007</v>
      </c>
    </row>
    <row r="2" spans="1:45" s="707" customFormat="1" ht="38.25">
      <c r="A2" s="1206"/>
      <c r="B2" s="703" t="s">
        <v>3008</v>
      </c>
      <c r="C2" s="704" t="str">
        <f t="shared" ref="C2:L2" si="0">C3&amp;"(含)"&amp;"-"&amp;D3</f>
        <v>0(含)-50</v>
      </c>
      <c r="D2" s="705" t="str">
        <f t="shared" si="0"/>
        <v>50(含)-100</v>
      </c>
      <c r="E2" s="705" t="str">
        <f t="shared" si="0"/>
        <v>100(含)-150</v>
      </c>
      <c r="F2" s="705" t="str">
        <f t="shared" si="0"/>
        <v>150(含)-200</v>
      </c>
      <c r="G2" s="705" t="str">
        <f t="shared" si="0"/>
        <v>200(含)-400</v>
      </c>
      <c r="H2" s="705" t="str">
        <f t="shared" si="0"/>
        <v>400(含)-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8"/>
      <c r="B3" s="708"/>
      <c r="C3" s="3003">
        <f>'比较法-商业'!C103</f>
        <v>0</v>
      </c>
      <c r="D3" s="3003">
        <f>'比较法-商业'!D103</f>
        <v>50</v>
      </c>
      <c r="E3" s="3003">
        <f>'比较法-商业'!E103</f>
        <v>100</v>
      </c>
      <c r="F3" s="3003">
        <f>'比较法-商业'!F103</f>
        <v>150</v>
      </c>
      <c r="G3" s="3003">
        <f>'比较法-商业'!G103</f>
        <v>200</v>
      </c>
      <c r="H3" s="3003">
        <v>400</v>
      </c>
      <c r="I3" s="3003"/>
      <c r="J3" s="3003"/>
      <c r="K3" s="3003"/>
      <c r="L3" s="3003"/>
      <c r="M3" s="3003"/>
      <c r="N3" s="3003"/>
      <c r="O3" s="3003"/>
      <c r="P3" s="3003"/>
      <c r="Q3" s="3003"/>
      <c r="R3" s="3003"/>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9"/>
      <c r="B4" s="1210"/>
      <c r="C4" s="1211">
        <v>100</v>
      </c>
      <c r="D4" s="1212">
        <v>98</v>
      </c>
      <c r="E4" s="1212">
        <v>96</v>
      </c>
      <c r="F4" s="1706">
        <v>94</v>
      </c>
      <c r="G4" s="1706">
        <v>92</v>
      </c>
      <c r="H4" s="1706">
        <v>90</v>
      </c>
      <c r="I4" s="1706"/>
      <c r="J4" s="1706"/>
      <c r="K4" s="1706"/>
      <c r="L4" s="1706"/>
      <c r="M4" s="1707"/>
      <c r="N4" s="1707"/>
      <c r="O4" s="1706"/>
      <c r="P4" s="1706"/>
      <c r="Q4" s="1706"/>
      <c r="R4" s="1706"/>
      <c r="S4" s="1708"/>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16"/>
      <c r="B5" s="1767" t="s">
        <v>3009</v>
      </c>
      <c r="C5" s="1217"/>
      <c r="D5" s="1218"/>
      <c r="E5" s="1218"/>
      <c r="F5" s="1709"/>
      <c r="G5" s="1709"/>
      <c r="H5" s="1709"/>
      <c r="I5" s="1709"/>
      <c r="J5" s="1709"/>
      <c r="K5" s="1709"/>
      <c r="L5" s="1710"/>
      <c r="M5" s="1711"/>
      <c r="N5" s="1711"/>
      <c r="O5" s="1709"/>
      <c r="P5" s="1709"/>
      <c r="Q5" s="1709"/>
      <c r="R5" s="1709"/>
      <c r="S5" s="1712"/>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6"/>
      <c r="B6" s="1117"/>
      <c r="C6" s="1123">
        <v>100</v>
      </c>
      <c r="D6" s="1120">
        <f>C6-$T5</f>
        <v>100</v>
      </c>
      <c r="E6" s="1120">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6"/>
      <c r="B7" s="1768" t="s">
        <v>3010</v>
      </c>
      <c r="C7" s="1122"/>
      <c r="D7" s="1116"/>
      <c r="E7" s="1116"/>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6"/>
      <c r="B8" s="1117"/>
      <c r="C8" s="1123">
        <v>100</v>
      </c>
      <c r="D8" s="1120">
        <f>C8-$T7</f>
        <v>100</v>
      </c>
      <c r="E8" s="1120">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6"/>
      <c r="B9" s="1768" t="s">
        <v>3011</v>
      </c>
      <c r="C9" s="1122"/>
      <c r="D9" s="1116"/>
      <c r="E9" s="1116"/>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6"/>
      <c r="B10" s="1210"/>
      <c r="C10" s="1221">
        <v>100</v>
      </c>
      <c r="D10" s="1222">
        <f>C10-$T9</f>
        <v>100</v>
      </c>
      <c r="E10" s="1222">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6"/>
      <c r="B11" s="1767" t="s">
        <v>3012</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6"/>
      <c r="B13" s="1767" t="s">
        <v>3013</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6"/>
      <c r="B15" s="1767" t="s">
        <v>3014</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916" t="s">
        <v>3015</v>
      </c>
      <c r="B17" s="2917" t="s">
        <v>3016</v>
      </c>
      <c r="C17" s="1232">
        <v>1</v>
      </c>
      <c r="D17" s="1233">
        <v>2</v>
      </c>
      <c r="E17" s="1233">
        <v>3</v>
      </c>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7" customFormat="1" ht="13.5" thickBot="1">
      <c r="A18" s="1242"/>
      <c r="B18" s="1243"/>
      <c r="C18" s="1244">
        <v>100</v>
      </c>
      <c r="D18" s="1245">
        <v>70</v>
      </c>
      <c r="E18" s="1245">
        <v>65</v>
      </c>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8"/>
      <c r="B19" s="168"/>
      <c r="C19" s="168"/>
      <c r="D19" s="2918" t="s">
        <v>3017</v>
      </c>
      <c r="E19" s="1790"/>
      <c r="F19" s="1790"/>
      <c r="G19" s="1790"/>
      <c r="H19" s="1281"/>
      <c r="I19" s="168"/>
      <c r="J19" s="168"/>
      <c r="K19" s="168"/>
      <c r="L19" s="168"/>
      <c r="M19" s="168"/>
      <c r="N19" s="168"/>
      <c r="O19" s="168"/>
      <c r="P19" s="168"/>
      <c r="Q19" s="168"/>
      <c r="R19" s="786"/>
      <c r="S19" s="138"/>
    </row>
    <row r="20" spans="1:45" ht="16.5" thickBot="1">
      <c r="A20" s="713" t="s">
        <v>3018</v>
      </c>
      <c r="B20" s="338">
        <f>IF(D20="——",S22,S22-F20)</f>
        <v>39513</v>
      </c>
      <c r="C20" s="168"/>
      <c r="D20" s="2919" t="s">
        <v>70</v>
      </c>
      <c r="E20" s="1791"/>
      <c r="F20" s="1205" t="e">
        <f ca="1">SUMIF(INDIRECT("'"&amp;H20&amp;"'"&amp;"!A:A"),"承租人权益价值",INDIRECT("'"&amp;H20&amp;"'"&amp;"!c:c"))</f>
        <v>#REF!</v>
      </c>
      <c r="G20" s="1205" t="s">
        <v>3019</v>
      </c>
      <c r="H20" s="2920"/>
      <c r="I20" s="168"/>
      <c r="J20" s="168"/>
      <c r="K20" s="168"/>
      <c r="L20" s="168"/>
      <c r="M20" s="168"/>
      <c r="N20" s="168"/>
      <c r="O20" s="168"/>
      <c r="P20" s="168"/>
      <c r="Q20" s="168"/>
      <c r="R20" s="786"/>
      <c r="S20" s="138"/>
    </row>
    <row r="21" spans="1:45" ht="15.75">
      <c r="A21" s="713" t="s">
        <v>3020</v>
      </c>
      <c r="B21" s="338">
        <f>R22</f>
        <v>21194</v>
      </c>
      <c r="C21" s="168"/>
      <c r="D21" s="168"/>
      <c r="E21" s="168"/>
      <c r="F21" s="168"/>
      <c r="G21" s="168"/>
      <c r="H21" s="168"/>
      <c r="I21" s="168"/>
      <c r="J21" s="168"/>
      <c r="K21" s="168"/>
      <c r="L21" s="168"/>
      <c r="M21" s="168"/>
      <c r="N21" s="168"/>
      <c r="O21" s="168"/>
      <c r="P21" s="168"/>
      <c r="Q21" s="168"/>
      <c r="R21" s="786"/>
      <c r="S21" s="138"/>
    </row>
    <row r="22" spans="1:45">
      <c r="A22" s="361" t="s">
        <v>3021</v>
      </c>
      <c r="B22" s="24">
        <f>SUM(B24:B10000)</f>
        <v>18643.310000000009</v>
      </c>
      <c r="C22" s="3137" t="s">
        <v>33</v>
      </c>
      <c r="D22" s="3138"/>
      <c r="E22" s="3138"/>
      <c r="F22" s="3138"/>
      <c r="G22" s="3138"/>
      <c r="H22" s="3138"/>
      <c r="I22" s="3138"/>
      <c r="J22" s="3138"/>
      <c r="K22" s="3138"/>
      <c r="L22" s="3138"/>
      <c r="M22" s="3138"/>
      <c r="N22" s="3138"/>
      <c r="O22" s="3138"/>
      <c r="P22" s="3138"/>
      <c r="Q22" s="3271"/>
      <c r="R22" s="714">
        <f>ROUND(S22*10000/B22,0)</f>
        <v>21194</v>
      </c>
      <c r="S22" s="24">
        <f>SUM(S24:S10000)</f>
        <v>39513</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5" t="s">
        <v>3025</v>
      </c>
      <c r="S23" s="11" t="s">
        <v>3026</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f>商业面积!A2</f>
        <v>101</v>
      </c>
      <c r="B24" s="716">
        <f>商业面积!D2</f>
        <v>89.03</v>
      </c>
      <c r="C24" s="717">
        <v>1</v>
      </c>
      <c r="D24" s="718"/>
      <c r="E24" s="717">
        <v>1</v>
      </c>
      <c r="F24" s="718"/>
      <c r="G24" s="717">
        <v>1</v>
      </c>
      <c r="H24" s="718"/>
      <c r="I24" s="717">
        <v>1</v>
      </c>
      <c r="J24" s="718"/>
      <c r="K24" s="717">
        <v>1</v>
      </c>
      <c r="L24" s="718"/>
      <c r="M24" s="717">
        <v>1</v>
      </c>
      <c r="N24" s="718"/>
      <c r="O24" s="717">
        <v>1</v>
      </c>
      <c r="P24" s="718">
        <v>1</v>
      </c>
      <c r="Q24" s="717">
        <v>1</v>
      </c>
      <c r="R24" s="719">
        <f>'比较法-商业'!C48</f>
        <v>28512</v>
      </c>
      <c r="S24" s="717">
        <f t="shared" ref="S24:S54" si="11">ROUND(R24*B24/10000,0)</f>
        <v>254</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716">
        <f>商业面积!A3</f>
        <v>102</v>
      </c>
      <c r="B25" s="716">
        <f>商业面积!D3</f>
        <v>70.77</v>
      </c>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v>1</v>
      </c>
      <c r="Q25" s="24">
        <f>(SUMIF($17:$17,P25,$18:$18)-SUMIF($17:$17,$P$24,$18:$18)+100)/100</f>
        <v>1</v>
      </c>
      <c r="R25" s="714">
        <f>IF(B25="",0,ROUND($R$24*C25*E25*G25*I25*K25*M25*O25*Q25,0))</f>
        <v>28512</v>
      </c>
      <c r="S25" s="361">
        <f t="shared" si="11"/>
        <v>202</v>
      </c>
    </row>
    <row r="26" spans="1:45">
      <c r="A26" s="716">
        <f>商业面积!A4</f>
        <v>103</v>
      </c>
      <c r="B26" s="716">
        <f>商业面积!D4</f>
        <v>127.93</v>
      </c>
      <c r="C26" s="24">
        <f t="shared" ref="C26:C89" si="12">IF(B26="",1,(LOOKUP(B26,$3:$3,$4:$4)-LOOKUP($B$24,$3:$3,$4:$4)+100)/100)</f>
        <v>0.98</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v>1</v>
      </c>
      <c r="Q26" s="24">
        <f t="shared" ref="Q26:Q89" si="19">(SUMIF($17:$17,P26,$18:$18)-SUMIF($17:$17,$P$24,$18:$18)+100)/100</f>
        <v>1</v>
      </c>
      <c r="R26" s="714">
        <f t="shared" ref="R26:R89" si="20">IF(B26="",0,ROUND($R$24*C26*E26*G26*I26*K26*M26*O26*Q26,0))</f>
        <v>27942</v>
      </c>
      <c r="S26" s="361">
        <f t="shared" si="11"/>
        <v>357</v>
      </c>
    </row>
    <row r="27" spans="1:45">
      <c r="A27" s="716">
        <f>商业面积!A5</f>
        <v>104</v>
      </c>
      <c r="B27" s="716">
        <f>商业面积!D5</f>
        <v>165.57</v>
      </c>
      <c r="C27" s="24">
        <f t="shared" si="12"/>
        <v>0.96</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v>1</v>
      </c>
      <c r="Q27" s="24">
        <f t="shared" si="19"/>
        <v>1</v>
      </c>
      <c r="R27" s="714">
        <f t="shared" si="20"/>
        <v>27372</v>
      </c>
      <c r="S27" s="361">
        <f t="shared" si="11"/>
        <v>453</v>
      </c>
    </row>
    <row r="28" spans="1:45">
      <c r="A28" s="716">
        <f>商业面积!A6</f>
        <v>105</v>
      </c>
      <c r="B28" s="716">
        <f>商业面积!D6</f>
        <v>125.17</v>
      </c>
      <c r="C28" s="24">
        <f t="shared" si="12"/>
        <v>0.98</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v>1</v>
      </c>
      <c r="Q28" s="24">
        <f t="shared" si="19"/>
        <v>1</v>
      </c>
      <c r="R28" s="714">
        <f t="shared" si="20"/>
        <v>27942</v>
      </c>
      <c r="S28" s="361">
        <f t="shared" si="11"/>
        <v>350</v>
      </c>
    </row>
    <row r="29" spans="1:45">
      <c r="A29" s="716">
        <f>商业面积!A7</f>
        <v>106</v>
      </c>
      <c r="B29" s="716">
        <f>商业面积!D7</f>
        <v>239.87</v>
      </c>
      <c r="C29" s="24">
        <f t="shared" si="12"/>
        <v>0.94</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v>1</v>
      </c>
      <c r="Q29" s="24">
        <f t="shared" si="19"/>
        <v>1</v>
      </c>
      <c r="R29" s="714">
        <f t="shared" si="20"/>
        <v>26801</v>
      </c>
      <c r="S29" s="361">
        <f t="shared" si="11"/>
        <v>643</v>
      </c>
    </row>
    <row r="30" spans="1:45">
      <c r="A30" s="716">
        <f>商业面积!A8</f>
        <v>107</v>
      </c>
      <c r="B30" s="716">
        <f>商业面积!D8</f>
        <v>155.21</v>
      </c>
      <c r="C30" s="24">
        <f t="shared" si="12"/>
        <v>0.96</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v>1</v>
      </c>
      <c r="Q30" s="24">
        <f t="shared" si="19"/>
        <v>1</v>
      </c>
      <c r="R30" s="714">
        <f t="shared" si="20"/>
        <v>27372</v>
      </c>
      <c r="S30" s="361">
        <f t="shared" si="11"/>
        <v>425</v>
      </c>
    </row>
    <row r="31" spans="1:45">
      <c r="A31" s="716">
        <f>商业面积!A9</f>
        <v>108</v>
      </c>
      <c r="B31" s="716">
        <f>商业面积!D9</f>
        <v>208.7</v>
      </c>
      <c r="C31" s="24">
        <f t="shared" si="12"/>
        <v>0.94</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v>1</v>
      </c>
      <c r="Q31" s="24">
        <f t="shared" si="19"/>
        <v>1</v>
      </c>
      <c r="R31" s="714">
        <f t="shared" si="20"/>
        <v>26801</v>
      </c>
      <c r="S31" s="361">
        <f t="shared" si="11"/>
        <v>559</v>
      </c>
    </row>
    <row r="32" spans="1:45">
      <c r="A32" s="716">
        <f>商业面积!A10</f>
        <v>109</v>
      </c>
      <c r="B32" s="716">
        <f>商业面积!D10</f>
        <v>203.52</v>
      </c>
      <c r="C32" s="24">
        <f t="shared" si="12"/>
        <v>0.94</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v>1</v>
      </c>
      <c r="Q32" s="24">
        <f t="shared" si="19"/>
        <v>1</v>
      </c>
      <c r="R32" s="714">
        <f t="shared" si="20"/>
        <v>26801</v>
      </c>
      <c r="S32" s="361">
        <f t="shared" si="11"/>
        <v>545</v>
      </c>
    </row>
    <row r="33" spans="1:19">
      <c r="A33" s="716">
        <f>商业面积!A11</f>
        <v>110</v>
      </c>
      <c r="B33" s="716">
        <f>商业面积!D11</f>
        <v>192.7</v>
      </c>
      <c r="C33" s="24">
        <f t="shared" si="12"/>
        <v>0.96</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v>1</v>
      </c>
      <c r="Q33" s="24">
        <f t="shared" si="19"/>
        <v>1</v>
      </c>
      <c r="R33" s="714">
        <f t="shared" si="20"/>
        <v>27372</v>
      </c>
      <c r="S33" s="361">
        <f t="shared" si="11"/>
        <v>527</v>
      </c>
    </row>
    <row r="34" spans="1:19">
      <c r="A34" s="716">
        <f>商业面积!A12</f>
        <v>111</v>
      </c>
      <c r="B34" s="716">
        <f>商业面积!D12</f>
        <v>204.97</v>
      </c>
      <c r="C34" s="24">
        <f t="shared" si="12"/>
        <v>0.94</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v>1</v>
      </c>
      <c r="Q34" s="24">
        <f t="shared" si="19"/>
        <v>1</v>
      </c>
      <c r="R34" s="714">
        <f t="shared" si="20"/>
        <v>26801</v>
      </c>
      <c r="S34" s="361">
        <f t="shared" si="11"/>
        <v>549</v>
      </c>
    </row>
    <row r="35" spans="1:19">
      <c r="A35" s="716">
        <f>商业面积!A13</f>
        <v>112</v>
      </c>
      <c r="B35" s="716">
        <f>商业面积!D13</f>
        <v>203.52</v>
      </c>
      <c r="C35" s="24">
        <f t="shared" si="12"/>
        <v>0.94</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v>1</v>
      </c>
      <c r="Q35" s="24">
        <f t="shared" si="19"/>
        <v>1</v>
      </c>
      <c r="R35" s="714">
        <f t="shared" si="20"/>
        <v>26801</v>
      </c>
      <c r="S35" s="361">
        <f t="shared" si="11"/>
        <v>545</v>
      </c>
    </row>
    <row r="36" spans="1:19">
      <c r="A36" s="716">
        <f>商业面积!A14</f>
        <v>113</v>
      </c>
      <c r="B36" s="716">
        <f>商业面积!D14</f>
        <v>204.98</v>
      </c>
      <c r="C36" s="24">
        <f t="shared" si="12"/>
        <v>0.94</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v>1</v>
      </c>
      <c r="Q36" s="24">
        <f t="shared" si="19"/>
        <v>1</v>
      </c>
      <c r="R36" s="714">
        <f t="shared" si="20"/>
        <v>26801</v>
      </c>
      <c r="S36" s="361">
        <f t="shared" si="11"/>
        <v>549</v>
      </c>
    </row>
    <row r="37" spans="1:19">
      <c r="A37" s="716">
        <f>商业面积!A15</f>
        <v>114</v>
      </c>
      <c r="B37" s="716">
        <f>商业面积!D15</f>
        <v>192.72</v>
      </c>
      <c r="C37" s="24">
        <f t="shared" si="12"/>
        <v>0.96</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v>1</v>
      </c>
      <c r="Q37" s="24">
        <f t="shared" si="19"/>
        <v>1</v>
      </c>
      <c r="R37" s="714">
        <f t="shared" si="20"/>
        <v>27372</v>
      </c>
      <c r="S37" s="361">
        <f t="shared" si="11"/>
        <v>528</v>
      </c>
    </row>
    <row r="38" spans="1:19">
      <c r="A38" s="716">
        <f>商业面积!A16</f>
        <v>115</v>
      </c>
      <c r="B38" s="716">
        <f>商业面积!D16</f>
        <v>203.52</v>
      </c>
      <c r="C38" s="24">
        <f t="shared" si="12"/>
        <v>0.94</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v>1</v>
      </c>
      <c r="Q38" s="24">
        <f t="shared" si="19"/>
        <v>1</v>
      </c>
      <c r="R38" s="714">
        <f t="shared" si="20"/>
        <v>26801</v>
      </c>
      <c r="S38" s="361">
        <f t="shared" si="11"/>
        <v>545</v>
      </c>
    </row>
    <row r="39" spans="1:19">
      <c r="A39" s="716">
        <f>商业面积!A17</f>
        <v>116</v>
      </c>
      <c r="B39" s="716">
        <f>商业面积!D17</f>
        <v>208.81</v>
      </c>
      <c r="C39" s="24">
        <f t="shared" si="12"/>
        <v>0.94</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v>1</v>
      </c>
      <c r="Q39" s="24">
        <f t="shared" si="19"/>
        <v>1</v>
      </c>
      <c r="R39" s="714">
        <f t="shared" si="20"/>
        <v>26801</v>
      </c>
      <c r="S39" s="361">
        <f t="shared" si="11"/>
        <v>560</v>
      </c>
    </row>
    <row r="40" spans="1:19">
      <c r="A40" s="716">
        <f>商业面积!A18</f>
        <v>117</v>
      </c>
      <c r="B40" s="716">
        <f>商业面积!D18</f>
        <v>154.65</v>
      </c>
      <c r="C40" s="24">
        <f t="shared" si="12"/>
        <v>0.96</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v>1</v>
      </c>
      <c r="Q40" s="24">
        <f t="shared" si="19"/>
        <v>1</v>
      </c>
      <c r="R40" s="714">
        <f t="shared" si="20"/>
        <v>27372</v>
      </c>
      <c r="S40" s="361">
        <f t="shared" si="11"/>
        <v>423</v>
      </c>
    </row>
    <row r="41" spans="1:19">
      <c r="A41" s="716">
        <f>商业面积!A19</f>
        <v>118</v>
      </c>
      <c r="B41" s="716">
        <f>商业面积!D19</f>
        <v>239.78</v>
      </c>
      <c r="C41" s="24">
        <f t="shared" si="12"/>
        <v>0.94</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v>1</v>
      </c>
      <c r="Q41" s="24">
        <f t="shared" si="19"/>
        <v>1</v>
      </c>
      <c r="R41" s="714">
        <f t="shared" si="20"/>
        <v>26801</v>
      </c>
      <c r="S41" s="361">
        <f t="shared" si="11"/>
        <v>643</v>
      </c>
    </row>
    <row r="42" spans="1:19">
      <c r="A42" s="716">
        <f>商业面积!A20</f>
        <v>119</v>
      </c>
      <c r="B42" s="716">
        <f>商业面积!D20</f>
        <v>125.17</v>
      </c>
      <c r="C42" s="24">
        <f t="shared" si="12"/>
        <v>0.98</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v>1</v>
      </c>
      <c r="Q42" s="24">
        <f t="shared" si="19"/>
        <v>1</v>
      </c>
      <c r="R42" s="714">
        <f t="shared" si="20"/>
        <v>27942</v>
      </c>
      <c r="S42" s="361">
        <f t="shared" si="11"/>
        <v>350</v>
      </c>
    </row>
    <row r="43" spans="1:19">
      <c r="A43" s="716">
        <f>商业面积!A21</f>
        <v>120</v>
      </c>
      <c r="B43" s="716">
        <f>商业面积!D21</f>
        <v>169.36</v>
      </c>
      <c r="C43" s="24">
        <f t="shared" si="12"/>
        <v>0.96</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v>1</v>
      </c>
      <c r="Q43" s="24">
        <f t="shared" si="19"/>
        <v>1</v>
      </c>
      <c r="R43" s="714">
        <f t="shared" si="20"/>
        <v>27372</v>
      </c>
      <c r="S43" s="361">
        <f t="shared" si="11"/>
        <v>464</v>
      </c>
    </row>
    <row r="44" spans="1:19">
      <c r="A44" s="716">
        <f>商业面积!A22</f>
        <v>121</v>
      </c>
      <c r="B44" s="716">
        <f>商业面积!D22</f>
        <v>76.06</v>
      </c>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v>1</v>
      </c>
      <c r="Q44" s="24">
        <f t="shared" si="19"/>
        <v>1</v>
      </c>
      <c r="R44" s="714">
        <f t="shared" si="20"/>
        <v>28512</v>
      </c>
      <c r="S44" s="361">
        <f t="shared" si="11"/>
        <v>217</v>
      </c>
    </row>
    <row r="45" spans="1:19">
      <c r="A45" s="716">
        <f>商业面积!A23</f>
        <v>122</v>
      </c>
      <c r="B45" s="716">
        <f>商业面积!D23</f>
        <v>80.790000000000006</v>
      </c>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v>1</v>
      </c>
      <c r="Q45" s="24">
        <f t="shared" si="19"/>
        <v>1</v>
      </c>
      <c r="R45" s="714">
        <f t="shared" si="20"/>
        <v>28512</v>
      </c>
      <c r="S45" s="361">
        <f t="shared" si="11"/>
        <v>230</v>
      </c>
    </row>
    <row r="46" spans="1:19">
      <c r="A46" s="716">
        <f>商业面积!A24</f>
        <v>123</v>
      </c>
      <c r="B46" s="716">
        <f>商业面积!D24</f>
        <v>70.77</v>
      </c>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v>1</v>
      </c>
      <c r="Q46" s="24">
        <f t="shared" si="19"/>
        <v>1</v>
      </c>
      <c r="R46" s="714">
        <f t="shared" si="20"/>
        <v>28512</v>
      </c>
      <c r="S46" s="361">
        <f t="shared" si="11"/>
        <v>202</v>
      </c>
    </row>
    <row r="47" spans="1:19">
      <c r="A47" s="716">
        <f>商业面积!A25</f>
        <v>124</v>
      </c>
      <c r="B47" s="716">
        <f>商业面积!D25</f>
        <v>89.03</v>
      </c>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v>1</v>
      </c>
      <c r="Q47" s="24">
        <f t="shared" si="19"/>
        <v>1</v>
      </c>
      <c r="R47" s="714">
        <f t="shared" si="20"/>
        <v>28512</v>
      </c>
      <c r="S47" s="361">
        <f t="shared" si="11"/>
        <v>254</v>
      </c>
    </row>
    <row r="48" spans="1:19">
      <c r="A48" s="716">
        <f>商业面积!A26</f>
        <v>125</v>
      </c>
      <c r="B48" s="716">
        <f>商业面积!D26</f>
        <v>197.3</v>
      </c>
      <c r="C48" s="24">
        <f t="shared" si="12"/>
        <v>0.96</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v>1</v>
      </c>
      <c r="Q48" s="24">
        <f t="shared" si="19"/>
        <v>1</v>
      </c>
      <c r="R48" s="714">
        <f t="shared" si="20"/>
        <v>27372</v>
      </c>
      <c r="S48" s="361">
        <f t="shared" si="11"/>
        <v>540</v>
      </c>
    </row>
    <row r="49" spans="1:19">
      <c r="A49" s="716">
        <f>商业面积!A27</f>
        <v>126</v>
      </c>
      <c r="B49" s="716">
        <f>商业面积!D27</f>
        <v>142.59</v>
      </c>
      <c r="C49" s="24">
        <f t="shared" si="12"/>
        <v>0.98</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v>1</v>
      </c>
      <c r="Q49" s="24">
        <f t="shared" si="19"/>
        <v>1</v>
      </c>
      <c r="R49" s="714">
        <f t="shared" si="20"/>
        <v>27942</v>
      </c>
      <c r="S49" s="361">
        <f t="shared" si="11"/>
        <v>398</v>
      </c>
    </row>
    <row r="50" spans="1:19">
      <c r="A50" s="716">
        <f>商业面积!A28</f>
        <v>127</v>
      </c>
      <c r="B50" s="716">
        <f>商业面积!D28</f>
        <v>50.36</v>
      </c>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v>1</v>
      </c>
      <c r="Q50" s="24">
        <f t="shared" si="19"/>
        <v>1</v>
      </c>
      <c r="R50" s="714">
        <f t="shared" si="20"/>
        <v>28512</v>
      </c>
      <c r="S50" s="361">
        <f t="shared" si="11"/>
        <v>144</v>
      </c>
    </row>
    <row r="51" spans="1:19">
      <c r="A51" s="716">
        <f>商业面积!A29</f>
        <v>128</v>
      </c>
      <c r="B51" s="716">
        <f>商业面积!D29</f>
        <v>93.45</v>
      </c>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v>1</v>
      </c>
      <c r="Q51" s="24">
        <f t="shared" si="19"/>
        <v>1</v>
      </c>
      <c r="R51" s="714">
        <f t="shared" si="20"/>
        <v>28512</v>
      </c>
      <c r="S51" s="361">
        <f t="shared" si="11"/>
        <v>266</v>
      </c>
    </row>
    <row r="52" spans="1:19">
      <c r="A52" s="716">
        <f>商业面积!A30</f>
        <v>129</v>
      </c>
      <c r="B52" s="716">
        <f>商业面积!D30</f>
        <v>141.13999999999999</v>
      </c>
      <c r="C52" s="24">
        <f t="shared" si="12"/>
        <v>0.98</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v>1</v>
      </c>
      <c r="Q52" s="24">
        <f t="shared" si="19"/>
        <v>1</v>
      </c>
      <c r="R52" s="714">
        <f t="shared" si="20"/>
        <v>27942</v>
      </c>
      <c r="S52" s="361">
        <f t="shared" si="11"/>
        <v>394</v>
      </c>
    </row>
    <row r="53" spans="1:19">
      <c r="A53" s="716">
        <f>商业面积!A31</f>
        <v>130</v>
      </c>
      <c r="B53" s="716">
        <f>商业面积!D31</f>
        <v>196.98</v>
      </c>
      <c r="C53" s="24">
        <f t="shared" si="12"/>
        <v>0.96</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v>1</v>
      </c>
      <c r="Q53" s="24">
        <f t="shared" si="19"/>
        <v>1</v>
      </c>
      <c r="R53" s="714">
        <f t="shared" si="20"/>
        <v>27372</v>
      </c>
      <c r="S53" s="361">
        <f t="shared" si="11"/>
        <v>539</v>
      </c>
    </row>
    <row r="54" spans="1:19">
      <c r="A54" s="716">
        <f>商业面积!A32</f>
        <v>131</v>
      </c>
      <c r="B54" s="716">
        <f>商业面积!D32</f>
        <v>280.64</v>
      </c>
      <c r="C54" s="24">
        <f t="shared" si="12"/>
        <v>0.94</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v>1</v>
      </c>
      <c r="Q54" s="24">
        <f t="shared" si="19"/>
        <v>1</v>
      </c>
      <c r="R54" s="714">
        <f t="shared" si="20"/>
        <v>26801</v>
      </c>
      <c r="S54" s="361">
        <f t="shared" si="11"/>
        <v>752</v>
      </c>
    </row>
    <row r="55" spans="1:19">
      <c r="A55" s="716">
        <f>商业面积!A33</f>
        <v>133</v>
      </c>
      <c r="B55" s="716">
        <f>商业面积!D33</f>
        <v>150.03</v>
      </c>
      <c r="C55" s="24">
        <f t="shared" si="12"/>
        <v>0.96</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v>1</v>
      </c>
      <c r="Q55" s="24">
        <f t="shared" si="19"/>
        <v>1</v>
      </c>
      <c r="R55" s="714">
        <f t="shared" si="20"/>
        <v>27372</v>
      </c>
      <c r="S55" s="361">
        <f t="shared" ref="S55:S77" si="21">ROUND(R55*B55/10000,0)</f>
        <v>411</v>
      </c>
    </row>
    <row r="56" spans="1:19">
      <c r="A56" s="716">
        <f>商业面积!A34</f>
        <v>134</v>
      </c>
      <c r="B56" s="716">
        <f>商业面积!D34</f>
        <v>45.49</v>
      </c>
      <c r="C56" s="24">
        <f t="shared" si="12"/>
        <v>1.02</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v>1</v>
      </c>
      <c r="Q56" s="24">
        <f t="shared" si="19"/>
        <v>1</v>
      </c>
      <c r="R56" s="714">
        <f t="shared" si="20"/>
        <v>29082</v>
      </c>
      <c r="S56" s="361">
        <f t="shared" si="21"/>
        <v>132</v>
      </c>
    </row>
    <row r="57" spans="1:19">
      <c r="A57" s="716">
        <f>商业面积!A35</f>
        <v>135</v>
      </c>
      <c r="B57" s="716">
        <f>商业面积!D35</f>
        <v>214.99</v>
      </c>
      <c r="C57" s="24">
        <f t="shared" si="12"/>
        <v>0.94</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v>1</v>
      </c>
      <c r="Q57" s="24">
        <f t="shared" si="19"/>
        <v>1</v>
      </c>
      <c r="R57" s="714">
        <f t="shared" si="20"/>
        <v>26801</v>
      </c>
      <c r="S57" s="361">
        <f t="shared" si="21"/>
        <v>576</v>
      </c>
    </row>
    <row r="58" spans="1:19">
      <c r="A58" s="716">
        <f>商业面积!A36</f>
        <v>136</v>
      </c>
      <c r="B58" s="716">
        <f>商业面积!D36</f>
        <v>284.02</v>
      </c>
      <c r="C58" s="24">
        <f t="shared" si="12"/>
        <v>0.94</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v>1</v>
      </c>
      <c r="Q58" s="24">
        <f t="shared" si="19"/>
        <v>1</v>
      </c>
      <c r="R58" s="714">
        <f t="shared" si="20"/>
        <v>26801</v>
      </c>
      <c r="S58" s="361">
        <f t="shared" si="21"/>
        <v>761</v>
      </c>
    </row>
    <row r="59" spans="1:19">
      <c r="A59" s="716">
        <f>商业面积!A37</f>
        <v>137</v>
      </c>
      <c r="B59" s="716">
        <f>商业面积!D37</f>
        <v>232.59</v>
      </c>
      <c r="C59" s="24">
        <f t="shared" si="12"/>
        <v>0.94</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v>1</v>
      </c>
      <c r="Q59" s="24">
        <f t="shared" si="19"/>
        <v>1</v>
      </c>
      <c r="R59" s="714">
        <f t="shared" si="20"/>
        <v>26801</v>
      </c>
      <c r="S59" s="361">
        <f t="shared" si="21"/>
        <v>623</v>
      </c>
    </row>
    <row r="60" spans="1:19">
      <c r="A60" s="716">
        <f>商业面积!A38</f>
        <v>138</v>
      </c>
      <c r="B60" s="716">
        <f>商业面积!D38</f>
        <v>122.53</v>
      </c>
      <c r="C60" s="24">
        <f t="shared" si="12"/>
        <v>0.98</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v>1</v>
      </c>
      <c r="Q60" s="24">
        <f t="shared" si="19"/>
        <v>1</v>
      </c>
      <c r="R60" s="714">
        <f t="shared" si="20"/>
        <v>27942</v>
      </c>
      <c r="S60" s="361">
        <f t="shared" si="21"/>
        <v>342</v>
      </c>
    </row>
    <row r="61" spans="1:19">
      <c r="A61" s="716">
        <f>商业面积!A39</f>
        <v>139</v>
      </c>
      <c r="B61" s="716">
        <f>商业面积!D39</f>
        <v>50.37</v>
      </c>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v>1</v>
      </c>
      <c r="Q61" s="24">
        <f t="shared" si="19"/>
        <v>1</v>
      </c>
      <c r="R61" s="714">
        <f t="shared" si="20"/>
        <v>28512</v>
      </c>
      <c r="S61" s="361">
        <f t="shared" si="21"/>
        <v>144</v>
      </c>
    </row>
    <row r="62" spans="1:19">
      <c r="A62" s="716">
        <f>商业面积!A40</f>
        <v>140</v>
      </c>
      <c r="B62" s="716">
        <f>商业面积!D40</f>
        <v>126.94</v>
      </c>
      <c r="C62" s="24">
        <f t="shared" si="12"/>
        <v>0.98</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v>1</v>
      </c>
      <c r="Q62" s="24">
        <f t="shared" si="19"/>
        <v>1</v>
      </c>
      <c r="R62" s="714">
        <f t="shared" si="20"/>
        <v>27942</v>
      </c>
      <c r="S62" s="361">
        <f t="shared" si="21"/>
        <v>355</v>
      </c>
    </row>
    <row r="63" spans="1:19">
      <c r="A63" s="716">
        <f>商业面积!A41</f>
        <v>141</v>
      </c>
      <c r="B63" s="716">
        <f>商业面积!D41</f>
        <v>182.17</v>
      </c>
      <c r="C63" s="24">
        <f t="shared" si="12"/>
        <v>0.96</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v>1</v>
      </c>
      <c r="Q63" s="24">
        <f t="shared" si="19"/>
        <v>1</v>
      </c>
      <c r="R63" s="714">
        <f t="shared" si="20"/>
        <v>27372</v>
      </c>
      <c r="S63" s="361">
        <f t="shared" si="21"/>
        <v>499</v>
      </c>
    </row>
    <row r="64" spans="1:19">
      <c r="A64" s="716">
        <f>商业面积!A42</f>
        <v>201</v>
      </c>
      <c r="B64" s="716">
        <f>商业面积!D42</f>
        <v>156.65</v>
      </c>
      <c r="C64" s="24">
        <f t="shared" si="12"/>
        <v>0.96</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v>2</v>
      </c>
      <c r="Q64" s="24">
        <f t="shared" si="19"/>
        <v>0.7</v>
      </c>
      <c r="R64" s="714">
        <f t="shared" si="20"/>
        <v>19160</v>
      </c>
      <c r="S64" s="361">
        <f t="shared" si="21"/>
        <v>300</v>
      </c>
    </row>
    <row r="65" spans="1:19">
      <c r="A65" s="716">
        <f>商业面积!A43</f>
        <v>202</v>
      </c>
      <c r="B65" s="716">
        <f>商业面积!D43</f>
        <v>156.65</v>
      </c>
      <c r="C65" s="24">
        <f t="shared" si="12"/>
        <v>0.96</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v>2</v>
      </c>
      <c r="Q65" s="24">
        <f t="shared" si="19"/>
        <v>0.7</v>
      </c>
      <c r="R65" s="714">
        <f t="shared" si="20"/>
        <v>19160</v>
      </c>
      <c r="S65" s="361">
        <f t="shared" si="21"/>
        <v>300</v>
      </c>
    </row>
    <row r="66" spans="1:19">
      <c r="A66" s="716">
        <f>商业面积!A44</f>
        <v>203</v>
      </c>
      <c r="B66" s="716">
        <f>商业面积!D44</f>
        <v>510.13</v>
      </c>
      <c r="C66" s="24">
        <f t="shared" si="12"/>
        <v>0.92</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v>2</v>
      </c>
      <c r="Q66" s="24">
        <f t="shared" si="19"/>
        <v>0.7</v>
      </c>
      <c r="R66" s="714">
        <f t="shared" si="20"/>
        <v>18362</v>
      </c>
      <c r="S66" s="361">
        <f t="shared" si="21"/>
        <v>937</v>
      </c>
    </row>
    <row r="67" spans="1:19">
      <c r="A67" s="716">
        <f>商业面积!A45</f>
        <v>204</v>
      </c>
      <c r="B67" s="716">
        <f>商业面积!D45</f>
        <v>394.88</v>
      </c>
      <c r="C67" s="24">
        <f t="shared" si="12"/>
        <v>0.94</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v>2</v>
      </c>
      <c r="Q67" s="24">
        <f t="shared" si="19"/>
        <v>0.7</v>
      </c>
      <c r="R67" s="714">
        <f t="shared" si="20"/>
        <v>18761</v>
      </c>
      <c r="S67" s="361">
        <f t="shared" si="21"/>
        <v>741</v>
      </c>
    </row>
    <row r="68" spans="1:19">
      <c r="A68" s="716">
        <f>商业面积!A46</f>
        <v>205</v>
      </c>
      <c r="B68" s="716">
        <f>商业面积!D46</f>
        <v>235.88</v>
      </c>
      <c r="C68" s="24">
        <f t="shared" si="12"/>
        <v>0.94</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v>2</v>
      </c>
      <c r="Q68" s="24">
        <f t="shared" si="19"/>
        <v>0.7</v>
      </c>
      <c r="R68" s="714">
        <f t="shared" si="20"/>
        <v>18761</v>
      </c>
      <c r="S68" s="361">
        <f t="shared" si="21"/>
        <v>443</v>
      </c>
    </row>
    <row r="69" spans="1:19">
      <c r="A69" s="716">
        <f>商业面积!A47</f>
        <v>206</v>
      </c>
      <c r="B69" s="716">
        <f>商业面积!D47</f>
        <v>282.67</v>
      </c>
      <c r="C69" s="24">
        <f t="shared" si="12"/>
        <v>0.94</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v>2</v>
      </c>
      <c r="Q69" s="24">
        <f t="shared" si="19"/>
        <v>0.7</v>
      </c>
      <c r="R69" s="714">
        <f t="shared" si="20"/>
        <v>18761</v>
      </c>
      <c r="S69" s="361">
        <f t="shared" si="21"/>
        <v>530</v>
      </c>
    </row>
    <row r="70" spans="1:19">
      <c r="A70" s="716">
        <f>商业面积!A48</f>
        <v>207</v>
      </c>
      <c r="B70" s="716">
        <f>商业面积!D48</f>
        <v>534.03</v>
      </c>
      <c r="C70" s="24">
        <f t="shared" si="12"/>
        <v>0.92</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v>2</v>
      </c>
      <c r="Q70" s="24">
        <f t="shared" si="19"/>
        <v>0.7</v>
      </c>
      <c r="R70" s="714">
        <f t="shared" si="20"/>
        <v>18362</v>
      </c>
      <c r="S70" s="361">
        <f t="shared" si="21"/>
        <v>981</v>
      </c>
    </row>
    <row r="71" spans="1:19">
      <c r="A71" s="716">
        <f>商业面积!A49</f>
        <v>208</v>
      </c>
      <c r="B71" s="716">
        <f>商业面积!D49</f>
        <v>342.36</v>
      </c>
      <c r="C71" s="24">
        <f t="shared" si="12"/>
        <v>0.94</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v>2</v>
      </c>
      <c r="Q71" s="24">
        <f t="shared" si="19"/>
        <v>0.7</v>
      </c>
      <c r="R71" s="714">
        <f t="shared" si="20"/>
        <v>18761</v>
      </c>
      <c r="S71" s="361">
        <f t="shared" si="21"/>
        <v>642</v>
      </c>
    </row>
    <row r="72" spans="1:19">
      <c r="A72" s="716">
        <f>商业面积!A50</f>
        <v>209</v>
      </c>
      <c r="B72" s="716">
        <f>商业面积!D50</f>
        <v>316.57</v>
      </c>
      <c r="C72" s="24">
        <f t="shared" si="12"/>
        <v>0.94</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v>2</v>
      </c>
      <c r="Q72" s="24">
        <f t="shared" si="19"/>
        <v>0.7</v>
      </c>
      <c r="R72" s="714">
        <f t="shared" si="20"/>
        <v>18761</v>
      </c>
      <c r="S72" s="361">
        <f t="shared" si="21"/>
        <v>594</v>
      </c>
    </row>
    <row r="73" spans="1:19">
      <c r="A73" s="716">
        <f>商业面积!A51</f>
        <v>210</v>
      </c>
      <c r="B73" s="716">
        <f>商业面积!D51</f>
        <v>341.2</v>
      </c>
      <c r="C73" s="24">
        <f t="shared" si="12"/>
        <v>0.94</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v>2</v>
      </c>
      <c r="Q73" s="24">
        <f t="shared" si="19"/>
        <v>0.7</v>
      </c>
      <c r="R73" s="714">
        <f t="shared" si="20"/>
        <v>18761</v>
      </c>
      <c r="S73" s="361">
        <f t="shared" si="21"/>
        <v>640</v>
      </c>
    </row>
    <row r="74" spans="1:19">
      <c r="A74" s="716">
        <f>商业面积!A52</f>
        <v>211</v>
      </c>
      <c r="B74" s="716">
        <f>商业面积!D52</f>
        <v>535.38</v>
      </c>
      <c r="C74" s="24">
        <f t="shared" si="12"/>
        <v>0.92</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v>2</v>
      </c>
      <c r="Q74" s="24">
        <f t="shared" si="19"/>
        <v>0.7</v>
      </c>
      <c r="R74" s="714">
        <f t="shared" si="20"/>
        <v>18362</v>
      </c>
      <c r="S74" s="361">
        <f t="shared" si="21"/>
        <v>983</v>
      </c>
    </row>
    <row r="75" spans="1:19">
      <c r="A75" s="716">
        <f>商业面积!A53</f>
        <v>212</v>
      </c>
      <c r="B75" s="716">
        <f>商业面积!D53</f>
        <v>282.67</v>
      </c>
      <c r="C75" s="24">
        <f t="shared" si="12"/>
        <v>0.94</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v>2</v>
      </c>
      <c r="Q75" s="24">
        <f t="shared" si="19"/>
        <v>0.7</v>
      </c>
      <c r="R75" s="714">
        <f t="shared" si="20"/>
        <v>18761</v>
      </c>
      <c r="S75" s="361">
        <f t="shared" si="21"/>
        <v>530</v>
      </c>
    </row>
    <row r="76" spans="1:19">
      <c r="A76" s="716">
        <f>商业面积!A54</f>
        <v>213</v>
      </c>
      <c r="B76" s="716">
        <f>商业面积!D54</f>
        <v>235.22</v>
      </c>
      <c r="C76" s="24">
        <f t="shared" si="12"/>
        <v>0.94</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v>2</v>
      </c>
      <c r="Q76" s="24">
        <f t="shared" si="19"/>
        <v>0.7</v>
      </c>
      <c r="R76" s="714">
        <f t="shared" si="20"/>
        <v>18761</v>
      </c>
      <c r="S76" s="361">
        <f t="shared" si="21"/>
        <v>441</v>
      </c>
    </row>
    <row r="77" spans="1:19">
      <c r="A77" s="716">
        <f>商业面积!A55</f>
        <v>214</v>
      </c>
      <c r="B77" s="716">
        <f>商业面积!D55</f>
        <v>415.69</v>
      </c>
      <c r="C77" s="24">
        <f t="shared" si="12"/>
        <v>0.92</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v>2</v>
      </c>
      <c r="Q77" s="24">
        <f t="shared" si="19"/>
        <v>0.7</v>
      </c>
      <c r="R77" s="714">
        <f t="shared" si="20"/>
        <v>18362</v>
      </c>
      <c r="S77" s="361">
        <f t="shared" si="21"/>
        <v>763</v>
      </c>
    </row>
    <row r="78" spans="1:19">
      <c r="A78" s="716">
        <f>商业面积!A56</f>
        <v>215</v>
      </c>
      <c r="B78" s="716">
        <f>商业面积!D56</f>
        <v>487.52</v>
      </c>
      <c r="C78" s="24">
        <f t="shared" si="12"/>
        <v>0.92</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v>2</v>
      </c>
      <c r="Q78" s="24">
        <f t="shared" si="19"/>
        <v>0.7</v>
      </c>
      <c r="R78" s="714">
        <f t="shared" si="20"/>
        <v>18362</v>
      </c>
      <c r="S78" s="361">
        <f t="shared" ref="S78:S122" si="22">ROUND(R78*B78/10000,0)</f>
        <v>895</v>
      </c>
    </row>
    <row r="79" spans="1:19">
      <c r="A79" s="716">
        <f>商业面积!A57</f>
        <v>216</v>
      </c>
      <c r="B79" s="716">
        <f>商业面积!D57</f>
        <v>156.65</v>
      </c>
      <c r="C79" s="24">
        <f t="shared" si="12"/>
        <v>0.96</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v>2</v>
      </c>
      <c r="Q79" s="24">
        <f t="shared" si="19"/>
        <v>0.7</v>
      </c>
      <c r="R79" s="714">
        <f t="shared" si="20"/>
        <v>19160</v>
      </c>
      <c r="S79" s="361">
        <f t="shared" si="22"/>
        <v>300</v>
      </c>
    </row>
    <row r="80" spans="1:19">
      <c r="A80" s="716">
        <f>商业面积!A58</f>
        <v>217</v>
      </c>
      <c r="B80" s="716">
        <f>商业面积!D58</f>
        <v>156.61000000000001</v>
      </c>
      <c r="C80" s="24">
        <f t="shared" si="12"/>
        <v>0.96</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v>2</v>
      </c>
      <c r="Q80" s="24">
        <f t="shared" si="19"/>
        <v>0.7</v>
      </c>
      <c r="R80" s="714">
        <f t="shared" si="20"/>
        <v>19160</v>
      </c>
      <c r="S80" s="361">
        <f t="shared" si="22"/>
        <v>300</v>
      </c>
    </row>
    <row r="81" spans="1:19">
      <c r="A81" s="716">
        <f>商业面积!A59</f>
        <v>219</v>
      </c>
      <c r="B81" s="716">
        <f>商业面积!D59</f>
        <v>163.11000000000001</v>
      </c>
      <c r="C81" s="24">
        <f t="shared" si="12"/>
        <v>0.96</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v>2</v>
      </c>
      <c r="Q81" s="24">
        <f t="shared" si="19"/>
        <v>0.7</v>
      </c>
      <c r="R81" s="714">
        <f t="shared" si="20"/>
        <v>19160</v>
      </c>
      <c r="S81" s="361">
        <f t="shared" si="22"/>
        <v>313</v>
      </c>
    </row>
    <row r="82" spans="1:19">
      <c r="A82" s="716">
        <f>商业面积!A60</f>
        <v>221</v>
      </c>
      <c r="B82" s="716">
        <f>商业面积!D60</f>
        <v>220.6</v>
      </c>
      <c r="C82" s="24">
        <f t="shared" si="12"/>
        <v>0.94</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v>2</v>
      </c>
      <c r="Q82" s="24">
        <f t="shared" si="19"/>
        <v>0.7</v>
      </c>
      <c r="R82" s="714">
        <f t="shared" si="20"/>
        <v>18761</v>
      </c>
      <c r="S82" s="361">
        <f t="shared" si="22"/>
        <v>414</v>
      </c>
    </row>
    <row r="83" spans="1:19">
      <c r="A83" s="716">
        <f>商业面积!A61</f>
        <v>224</v>
      </c>
      <c r="B83" s="716">
        <f>商业面积!D61</f>
        <v>220.6</v>
      </c>
      <c r="C83" s="24">
        <f t="shared" si="12"/>
        <v>0.94</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v>2</v>
      </c>
      <c r="Q83" s="24">
        <f t="shared" si="19"/>
        <v>0.7</v>
      </c>
      <c r="R83" s="714">
        <f t="shared" si="20"/>
        <v>18761</v>
      </c>
      <c r="S83" s="361">
        <f t="shared" si="22"/>
        <v>414</v>
      </c>
    </row>
    <row r="84" spans="1:19">
      <c r="A84" s="716">
        <f>商业面积!A62</f>
        <v>225</v>
      </c>
      <c r="B84" s="716">
        <f>商业面积!D62</f>
        <v>213.77</v>
      </c>
      <c r="C84" s="24">
        <f t="shared" si="12"/>
        <v>0.94</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v>2</v>
      </c>
      <c r="Q84" s="24">
        <f t="shared" si="19"/>
        <v>0.7</v>
      </c>
      <c r="R84" s="714">
        <f t="shared" si="20"/>
        <v>18761</v>
      </c>
      <c r="S84" s="361">
        <f t="shared" si="22"/>
        <v>401</v>
      </c>
    </row>
    <row r="85" spans="1:19">
      <c r="A85" s="716">
        <f>商业面积!A63</f>
        <v>226</v>
      </c>
      <c r="B85" s="716">
        <f>商业面积!D63</f>
        <v>340.2</v>
      </c>
      <c r="C85" s="24">
        <f t="shared" si="12"/>
        <v>0.94</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v>2</v>
      </c>
      <c r="Q85" s="24">
        <f t="shared" si="19"/>
        <v>0.7</v>
      </c>
      <c r="R85" s="714">
        <f t="shared" si="20"/>
        <v>18761</v>
      </c>
      <c r="S85" s="361">
        <f t="shared" si="22"/>
        <v>638</v>
      </c>
    </row>
    <row r="86" spans="1:19">
      <c r="A86" s="716">
        <f>商业面积!A64</f>
        <v>301</v>
      </c>
      <c r="B86" s="716">
        <f>商业面积!D64</f>
        <v>161.58000000000001</v>
      </c>
      <c r="C86" s="24">
        <f t="shared" si="12"/>
        <v>0.96</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v>3</v>
      </c>
      <c r="Q86" s="24">
        <f t="shared" si="19"/>
        <v>0.65</v>
      </c>
      <c r="R86" s="714">
        <f t="shared" si="20"/>
        <v>17791</v>
      </c>
      <c r="S86" s="361">
        <f t="shared" si="22"/>
        <v>287</v>
      </c>
    </row>
    <row r="87" spans="1:19">
      <c r="A87" s="716">
        <f>商业面积!A65</f>
        <v>302</v>
      </c>
      <c r="B87" s="716">
        <f>商业面积!D65</f>
        <v>153.21</v>
      </c>
      <c r="C87" s="24">
        <f t="shared" si="12"/>
        <v>0.96</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v>3</v>
      </c>
      <c r="Q87" s="24">
        <f t="shared" si="19"/>
        <v>0.65</v>
      </c>
      <c r="R87" s="714">
        <f t="shared" si="20"/>
        <v>17791</v>
      </c>
      <c r="S87" s="361">
        <f t="shared" si="22"/>
        <v>273</v>
      </c>
    </row>
    <row r="88" spans="1:19">
      <c r="A88" s="716">
        <f>商业面积!A66</f>
        <v>303</v>
      </c>
      <c r="B88" s="716">
        <f>商业面积!D66</f>
        <v>504.86</v>
      </c>
      <c r="C88" s="24">
        <f t="shared" si="12"/>
        <v>0.92</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v>3</v>
      </c>
      <c r="Q88" s="24">
        <f t="shared" si="19"/>
        <v>0.65</v>
      </c>
      <c r="R88" s="714">
        <f t="shared" si="20"/>
        <v>17050</v>
      </c>
      <c r="S88" s="361">
        <f t="shared" si="22"/>
        <v>861</v>
      </c>
    </row>
    <row r="89" spans="1:19">
      <c r="A89" s="716">
        <f>商业面积!A67</f>
        <v>304</v>
      </c>
      <c r="B89" s="716">
        <f>商业面积!D67</f>
        <v>364.5</v>
      </c>
      <c r="C89" s="24">
        <f t="shared" si="12"/>
        <v>0.94</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v>3</v>
      </c>
      <c r="Q89" s="24">
        <f t="shared" si="19"/>
        <v>0.65</v>
      </c>
      <c r="R89" s="714">
        <f t="shared" si="20"/>
        <v>17421</v>
      </c>
      <c r="S89" s="361">
        <f t="shared" si="22"/>
        <v>635</v>
      </c>
    </row>
    <row r="90" spans="1:19">
      <c r="A90" s="716">
        <f>商业面积!A68</f>
        <v>305</v>
      </c>
      <c r="B90" s="716">
        <f>商业面积!D68</f>
        <v>336.18</v>
      </c>
      <c r="C90" s="24">
        <f t="shared" ref="C90:C153" si="23">IF(B90="",1,(LOOKUP(B90,$3:$3,$4:$4)-LOOKUP($B$24,$3:$3,$4:$4)+100)/100)</f>
        <v>0.94</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v>3</v>
      </c>
      <c r="Q90" s="24">
        <f t="shared" ref="Q90:Q153" si="30">(SUMIF($17:$17,P90,$18:$18)-SUMIF($17:$17,$P$24,$18:$18)+100)/100</f>
        <v>0.65</v>
      </c>
      <c r="R90" s="714">
        <f t="shared" ref="R90:R153" si="31">IF(B90="",0,ROUND($R$24*C90*E90*G90*I90*K90*M90*O90*Q90,0))</f>
        <v>17421</v>
      </c>
      <c r="S90" s="361">
        <f t="shared" si="22"/>
        <v>586</v>
      </c>
    </row>
    <row r="91" spans="1:19">
      <c r="A91" s="716">
        <f>商业面积!A69</f>
        <v>306</v>
      </c>
      <c r="B91" s="716">
        <f>商业面积!D69</f>
        <v>278.88</v>
      </c>
      <c r="C91" s="24">
        <f t="shared" si="23"/>
        <v>0.94</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v>3</v>
      </c>
      <c r="Q91" s="24">
        <f t="shared" si="30"/>
        <v>0.65</v>
      </c>
      <c r="R91" s="714">
        <f t="shared" si="31"/>
        <v>17421</v>
      </c>
      <c r="S91" s="361">
        <f t="shared" si="22"/>
        <v>486</v>
      </c>
    </row>
    <row r="92" spans="1:19">
      <c r="A92" s="716">
        <f>商业面积!A70</f>
        <v>307</v>
      </c>
      <c r="B92" s="716">
        <f>商业面积!D70</f>
        <v>527.08000000000004</v>
      </c>
      <c r="C92" s="24">
        <f t="shared" si="23"/>
        <v>0.92</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v>3</v>
      </c>
      <c r="Q92" s="24">
        <f t="shared" si="30"/>
        <v>0.65</v>
      </c>
      <c r="R92" s="714">
        <f t="shared" si="31"/>
        <v>17050</v>
      </c>
      <c r="S92" s="361">
        <f t="shared" si="22"/>
        <v>899</v>
      </c>
    </row>
    <row r="93" spans="1:19">
      <c r="A93" s="716">
        <f>商业面积!A71</f>
        <v>308</v>
      </c>
      <c r="B93" s="716">
        <f>商业面积!D71</f>
        <v>336.43</v>
      </c>
      <c r="C93" s="24">
        <f t="shared" si="23"/>
        <v>0.94</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v>3</v>
      </c>
      <c r="Q93" s="24">
        <f t="shared" si="30"/>
        <v>0.65</v>
      </c>
      <c r="R93" s="714">
        <f t="shared" si="31"/>
        <v>17421</v>
      </c>
      <c r="S93" s="361">
        <f t="shared" si="22"/>
        <v>586</v>
      </c>
    </row>
    <row r="94" spans="1:19">
      <c r="A94" s="716">
        <f>商业面积!A72</f>
        <v>309</v>
      </c>
      <c r="B94" s="716">
        <f>商业面积!D72</f>
        <v>312.64999999999998</v>
      </c>
      <c r="C94" s="24">
        <f t="shared" si="23"/>
        <v>0.94</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v>3</v>
      </c>
      <c r="Q94" s="24">
        <f t="shared" si="30"/>
        <v>0.65</v>
      </c>
      <c r="R94" s="714">
        <f t="shared" si="31"/>
        <v>17421</v>
      </c>
      <c r="S94" s="361">
        <f t="shared" si="22"/>
        <v>545</v>
      </c>
    </row>
    <row r="95" spans="1:19">
      <c r="A95" s="716">
        <f>商业面积!A73</f>
        <v>310</v>
      </c>
      <c r="B95" s="716">
        <f>商业面积!D73</f>
        <v>336.98</v>
      </c>
      <c r="C95" s="24">
        <f t="shared" si="23"/>
        <v>0.94</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v>3</v>
      </c>
      <c r="Q95" s="24">
        <f t="shared" si="30"/>
        <v>0.65</v>
      </c>
      <c r="R95" s="714">
        <f t="shared" si="31"/>
        <v>17421</v>
      </c>
      <c r="S95" s="361">
        <f t="shared" si="22"/>
        <v>587</v>
      </c>
    </row>
    <row r="96" spans="1:19">
      <c r="A96" s="716">
        <f>商业面积!A74</f>
        <v>311</v>
      </c>
      <c r="B96" s="716">
        <f>商业面积!D74</f>
        <v>527.08000000000004</v>
      </c>
      <c r="C96" s="24">
        <f t="shared" si="23"/>
        <v>0.92</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v>3</v>
      </c>
      <c r="Q96" s="24">
        <f t="shared" si="30"/>
        <v>0.65</v>
      </c>
      <c r="R96" s="714">
        <f t="shared" si="31"/>
        <v>17050</v>
      </c>
      <c r="S96" s="361">
        <f t="shared" si="22"/>
        <v>899</v>
      </c>
    </row>
    <row r="97" spans="1:19">
      <c r="A97" s="716">
        <f>商业面积!A75</f>
        <v>312</v>
      </c>
      <c r="B97" s="716">
        <f>商业面积!D75</f>
        <v>278.88</v>
      </c>
      <c r="C97" s="24">
        <f t="shared" si="23"/>
        <v>0.94</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v>3</v>
      </c>
      <c r="Q97" s="24">
        <f t="shared" si="30"/>
        <v>0.65</v>
      </c>
      <c r="R97" s="714">
        <f t="shared" si="31"/>
        <v>17421</v>
      </c>
      <c r="S97" s="361">
        <f t="shared" si="22"/>
        <v>486</v>
      </c>
    </row>
    <row r="98" spans="1:19">
      <c r="A98" s="716">
        <f>商业面积!A76</f>
        <v>313</v>
      </c>
      <c r="B98" s="716">
        <f>商业面积!D76</f>
        <v>336.18</v>
      </c>
      <c r="C98" s="24">
        <f t="shared" si="23"/>
        <v>0.94</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v>3</v>
      </c>
      <c r="Q98" s="24">
        <f t="shared" si="30"/>
        <v>0.65</v>
      </c>
      <c r="R98" s="714">
        <f t="shared" si="31"/>
        <v>17421</v>
      </c>
      <c r="S98" s="361">
        <f t="shared" si="22"/>
        <v>586</v>
      </c>
    </row>
    <row r="99" spans="1:19">
      <c r="A99" s="716">
        <f>商业面积!A77</f>
        <v>314</v>
      </c>
      <c r="B99" s="716">
        <f>商业面积!D77</f>
        <v>379.82</v>
      </c>
      <c r="C99" s="24">
        <f t="shared" si="23"/>
        <v>0.94</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v>3</v>
      </c>
      <c r="Q99" s="24">
        <f t="shared" si="30"/>
        <v>0.65</v>
      </c>
      <c r="R99" s="714">
        <f t="shared" si="31"/>
        <v>17421</v>
      </c>
      <c r="S99" s="361">
        <f t="shared" si="22"/>
        <v>662</v>
      </c>
    </row>
    <row r="100" spans="1:19">
      <c r="A100" s="716">
        <f>商业面积!A78</f>
        <v>315</v>
      </c>
      <c r="B100" s="716">
        <f>商业面积!D78</f>
        <v>494.63</v>
      </c>
      <c r="C100" s="24">
        <f t="shared" si="23"/>
        <v>0.92</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v>3</v>
      </c>
      <c r="Q100" s="24">
        <f t="shared" si="30"/>
        <v>0.65</v>
      </c>
      <c r="R100" s="714">
        <f t="shared" si="31"/>
        <v>17050</v>
      </c>
      <c r="S100" s="361">
        <f t="shared" si="22"/>
        <v>843</v>
      </c>
    </row>
    <row r="101" spans="1:19">
      <c r="A101" s="716">
        <f>商业面积!A79</f>
        <v>316</v>
      </c>
      <c r="B101" s="716">
        <f>商业面积!D79</f>
        <v>149.58000000000001</v>
      </c>
      <c r="C101" s="24">
        <f t="shared" si="23"/>
        <v>0.98</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v>3</v>
      </c>
      <c r="Q101" s="24">
        <f t="shared" si="30"/>
        <v>0.65</v>
      </c>
      <c r="R101" s="714">
        <f t="shared" si="31"/>
        <v>18162</v>
      </c>
      <c r="S101" s="361">
        <f t="shared" si="22"/>
        <v>272</v>
      </c>
    </row>
    <row r="102" spans="1:19">
      <c r="A102" s="716">
        <f>商业面积!A80</f>
        <v>317</v>
      </c>
      <c r="B102" s="716">
        <f>商业面积!D80</f>
        <v>151.56</v>
      </c>
      <c r="C102" s="24">
        <f t="shared" si="23"/>
        <v>0.96</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v>3</v>
      </c>
      <c r="Q102" s="24">
        <f t="shared" si="30"/>
        <v>0.65</v>
      </c>
      <c r="R102" s="714">
        <f t="shared" si="31"/>
        <v>17791</v>
      </c>
      <c r="S102" s="361">
        <f t="shared" si="22"/>
        <v>270</v>
      </c>
    </row>
    <row r="103" spans="1:19">
      <c r="A103" s="716"/>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0</v>
      </c>
      <c r="R103" s="714">
        <f t="shared" si="31"/>
        <v>0</v>
      </c>
      <c r="S103" s="361">
        <f t="shared" si="22"/>
        <v>0</v>
      </c>
    </row>
    <row r="104" spans="1:19">
      <c r="A104" s="716"/>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0</v>
      </c>
      <c r="R104" s="714">
        <f t="shared" si="31"/>
        <v>0</v>
      </c>
      <c r="S104" s="361">
        <f t="shared" si="22"/>
        <v>0</v>
      </c>
    </row>
    <row r="105" spans="1:19">
      <c r="A105" s="716"/>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0</v>
      </c>
      <c r="R105" s="714">
        <f t="shared" si="31"/>
        <v>0</v>
      </c>
      <c r="S105" s="361">
        <f t="shared" si="22"/>
        <v>0</v>
      </c>
    </row>
    <row r="106" spans="1:19">
      <c r="A106" s="716"/>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0</v>
      </c>
      <c r="R106" s="714">
        <f t="shared" si="31"/>
        <v>0</v>
      </c>
      <c r="S106" s="361">
        <f t="shared" si="22"/>
        <v>0</v>
      </c>
    </row>
    <row r="107" spans="1:19">
      <c r="A107" s="716"/>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0</v>
      </c>
      <c r="R107" s="714">
        <f t="shared" si="31"/>
        <v>0</v>
      </c>
      <c r="S107" s="361">
        <f t="shared" si="22"/>
        <v>0</v>
      </c>
    </row>
    <row r="108" spans="1:19">
      <c r="A108" s="716"/>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0</v>
      </c>
      <c r="R108" s="714">
        <f t="shared" si="31"/>
        <v>0</v>
      </c>
      <c r="S108" s="361">
        <f t="shared" si="22"/>
        <v>0</v>
      </c>
    </row>
    <row r="109" spans="1:19">
      <c r="A109" s="716"/>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0</v>
      </c>
      <c r="R109" s="714">
        <f t="shared" si="31"/>
        <v>0</v>
      </c>
      <c r="S109" s="361">
        <f t="shared" si="22"/>
        <v>0</v>
      </c>
    </row>
    <row r="110" spans="1:19">
      <c r="A110" s="716"/>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0</v>
      </c>
      <c r="R110" s="714">
        <f t="shared" si="31"/>
        <v>0</v>
      </c>
      <c r="S110" s="361">
        <f t="shared" si="22"/>
        <v>0</v>
      </c>
    </row>
    <row r="111" spans="1:19">
      <c r="A111" s="716"/>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0</v>
      </c>
      <c r="R111" s="714">
        <f t="shared" si="31"/>
        <v>0</v>
      </c>
      <c r="S111" s="361">
        <f t="shared" si="22"/>
        <v>0</v>
      </c>
    </row>
    <row r="112" spans="1:19">
      <c r="A112" s="716"/>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0</v>
      </c>
      <c r="R112" s="714">
        <f t="shared" si="31"/>
        <v>0</v>
      </c>
      <c r="S112" s="361">
        <f t="shared" si="22"/>
        <v>0</v>
      </c>
    </row>
    <row r="113" spans="1:19">
      <c r="A113" s="716"/>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0</v>
      </c>
      <c r="R113" s="714">
        <f t="shared" si="31"/>
        <v>0</v>
      </c>
      <c r="S113" s="361">
        <f t="shared" si="22"/>
        <v>0</v>
      </c>
    </row>
    <row r="114" spans="1:19">
      <c r="A114" s="716"/>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0</v>
      </c>
      <c r="R114" s="714">
        <f t="shared" si="31"/>
        <v>0</v>
      </c>
      <c r="S114" s="361">
        <f t="shared" si="22"/>
        <v>0</v>
      </c>
    </row>
    <row r="115" spans="1:19">
      <c r="A115" s="716"/>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0</v>
      </c>
      <c r="R115" s="714">
        <f t="shared" si="31"/>
        <v>0</v>
      </c>
      <c r="S115" s="361">
        <f t="shared" si="22"/>
        <v>0</v>
      </c>
    </row>
    <row r="116" spans="1:19">
      <c r="A116" s="716"/>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0</v>
      </c>
      <c r="R116" s="714">
        <f t="shared" si="31"/>
        <v>0</v>
      </c>
      <c r="S116" s="361">
        <f t="shared" si="22"/>
        <v>0</v>
      </c>
    </row>
    <row r="117" spans="1:19">
      <c r="A117" s="716"/>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0</v>
      </c>
      <c r="R117" s="714">
        <f t="shared" si="31"/>
        <v>0</v>
      </c>
      <c r="S117" s="361">
        <f t="shared" si="22"/>
        <v>0</v>
      </c>
    </row>
    <row r="118" spans="1:19">
      <c r="A118" s="716"/>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0</v>
      </c>
      <c r="R118" s="714">
        <f t="shared" si="31"/>
        <v>0</v>
      </c>
      <c r="S118" s="361">
        <f t="shared" si="22"/>
        <v>0</v>
      </c>
    </row>
    <row r="119" spans="1:19">
      <c r="A119" s="716"/>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0</v>
      </c>
      <c r="R119" s="714">
        <f t="shared" si="31"/>
        <v>0</v>
      </c>
      <c r="S119" s="361">
        <f t="shared" si="22"/>
        <v>0</v>
      </c>
    </row>
    <row r="120" spans="1:19">
      <c r="A120" s="716"/>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0</v>
      </c>
      <c r="R120" s="714">
        <f t="shared" si="31"/>
        <v>0</v>
      </c>
      <c r="S120" s="361">
        <f t="shared" si="22"/>
        <v>0</v>
      </c>
    </row>
    <row r="121" spans="1:19">
      <c r="A121" s="716"/>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0</v>
      </c>
      <c r="R121" s="714">
        <f t="shared" si="31"/>
        <v>0</v>
      </c>
      <c r="S121" s="361">
        <f t="shared" si="22"/>
        <v>0</v>
      </c>
    </row>
    <row r="122" spans="1:19">
      <c r="A122" s="716"/>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0</v>
      </c>
      <c r="R122" s="714">
        <f t="shared" si="31"/>
        <v>0</v>
      </c>
      <c r="S122" s="361">
        <f t="shared" si="22"/>
        <v>0</v>
      </c>
    </row>
    <row r="123" spans="1:19">
      <c r="A123" s="716"/>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0</v>
      </c>
      <c r="R123" s="714">
        <f t="shared" si="31"/>
        <v>0</v>
      </c>
      <c r="S123" s="361">
        <f t="shared" ref="S123:S186" si="32">ROUND(R123*B123/10000,0)</f>
        <v>0</v>
      </c>
    </row>
    <row r="124" spans="1:19">
      <c r="A124" s="716"/>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0</v>
      </c>
      <c r="R124" s="714">
        <f t="shared" si="31"/>
        <v>0</v>
      </c>
      <c r="S124" s="361">
        <f t="shared" si="32"/>
        <v>0</v>
      </c>
    </row>
    <row r="125" spans="1:19">
      <c r="A125" s="716"/>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0</v>
      </c>
      <c r="R125" s="714">
        <f t="shared" si="31"/>
        <v>0</v>
      </c>
      <c r="S125" s="361">
        <f t="shared" si="32"/>
        <v>0</v>
      </c>
    </row>
    <row r="126" spans="1:19">
      <c r="A126" s="716"/>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0</v>
      </c>
      <c r="R126" s="714">
        <f t="shared" si="31"/>
        <v>0</v>
      </c>
      <c r="S126" s="361">
        <f t="shared" si="32"/>
        <v>0</v>
      </c>
    </row>
    <row r="127" spans="1:19">
      <c r="A127" s="716"/>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0</v>
      </c>
      <c r="R127" s="714">
        <f t="shared" si="31"/>
        <v>0</v>
      </c>
      <c r="S127" s="361">
        <f t="shared" si="32"/>
        <v>0</v>
      </c>
    </row>
    <row r="128" spans="1:19">
      <c r="A128" s="716"/>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0</v>
      </c>
      <c r="R128" s="714">
        <f t="shared" si="31"/>
        <v>0</v>
      </c>
      <c r="S128" s="361">
        <f t="shared" si="32"/>
        <v>0</v>
      </c>
    </row>
    <row r="129" spans="1:19">
      <c r="A129" s="716"/>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0</v>
      </c>
      <c r="R129" s="714">
        <f t="shared" si="31"/>
        <v>0</v>
      </c>
      <c r="S129" s="361">
        <f t="shared" si="32"/>
        <v>0</v>
      </c>
    </row>
    <row r="130" spans="1:19">
      <c r="A130" s="716"/>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0</v>
      </c>
      <c r="R130" s="714">
        <f t="shared" si="31"/>
        <v>0</v>
      </c>
      <c r="S130" s="361">
        <f t="shared" si="32"/>
        <v>0</v>
      </c>
    </row>
    <row r="131" spans="1:19">
      <c r="A131" s="716"/>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0</v>
      </c>
      <c r="R131" s="714">
        <f t="shared" si="31"/>
        <v>0</v>
      </c>
      <c r="S131" s="361">
        <f t="shared" si="32"/>
        <v>0</v>
      </c>
    </row>
    <row r="132" spans="1:19">
      <c r="A132" s="716"/>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0</v>
      </c>
      <c r="R132" s="714">
        <f t="shared" si="31"/>
        <v>0</v>
      </c>
      <c r="S132" s="361">
        <f t="shared" si="32"/>
        <v>0</v>
      </c>
    </row>
    <row r="133" spans="1:19">
      <c r="A133" s="716"/>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0</v>
      </c>
      <c r="R133" s="714">
        <f t="shared" si="31"/>
        <v>0</v>
      </c>
      <c r="S133" s="361">
        <f t="shared" si="32"/>
        <v>0</v>
      </c>
    </row>
    <row r="134" spans="1:19">
      <c r="A134" s="716"/>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0</v>
      </c>
      <c r="R134" s="714">
        <f t="shared" si="31"/>
        <v>0</v>
      </c>
      <c r="S134" s="361">
        <f t="shared" si="32"/>
        <v>0</v>
      </c>
    </row>
    <row r="135" spans="1:19">
      <c r="A135" s="716"/>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0</v>
      </c>
      <c r="R135" s="714">
        <f t="shared" si="31"/>
        <v>0</v>
      </c>
      <c r="S135" s="361">
        <f t="shared" si="32"/>
        <v>0</v>
      </c>
    </row>
    <row r="136" spans="1:19">
      <c r="A136" s="716"/>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0</v>
      </c>
      <c r="R136" s="714">
        <f t="shared" si="31"/>
        <v>0</v>
      </c>
      <c r="S136" s="361">
        <f t="shared" si="32"/>
        <v>0</v>
      </c>
    </row>
    <row r="137" spans="1:19">
      <c r="A137" s="716"/>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0</v>
      </c>
      <c r="R137" s="714">
        <f t="shared" si="31"/>
        <v>0</v>
      </c>
      <c r="S137" s="361">
        <f t="shared" si="32"/>
        <v>0</v>
      </c>
    </row>
    <row r="138" spans="1:19">
      <c r="A138" s="716"/>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0</v>
      </c>
      <c r="R138" s="714">
        <f t="shared" si="31"/>
        <v>0</v>
      </c>
      <c r="S138" s="361">
        <f t="shared" si="32"/>
        <v>0</v>
      </c>
    </row>
    <row r="139" spans="1:19">
      <c r="A139" s="716"/>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0</v>
      </c>
      <c r="R139" s="714">
        <f t="shared" si="31"/>
        <v>0</v>
      </c>
      <c r="S139" s="361">
        <f t="shared" si="32"/>
        <v>0</v>
      </c>
    </row>
    <row r="140" spans="1:19">
      <c r="A140" s="716"/>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0</v>
      </c>
      <c r="R140" s="714">
        <f t="shared" si="31"/>
        <v>0</v>
      </c>
      <c r="S140" s="361">
        <f t="shared" si="32"/>
        <v>0</v>
      </c>
    </row>
    <row r="141" spans="1:19">
      <c r="A141" s="716"/>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0</v>
      </c>
      <c r="R141" s="714">
        <f t="shared" si="31"/>
        <v>0</v>
      </c>
      <c r="S141" s="361">
        <f t="shared" si="32"/>
        <v>0</v>
      </c>
    </row>
    <row r="142" spans="1:19">
      <c r="A142" s="716"/>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0</v>
      </c>
      <c r="R142" s="714">
        <f t="shared" si="31"/>
        <v>0</v>
      </c>
      <c r="S142" s="361">
        <f t="shared" si="32"/>
        <v>0</v>
      </c>
    </row>
    <row r="143" spans="1:19">
      <c r="A143" s="716"/>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0</v>
      </c>
      <c r="R143" s="714">
        <f t="shared" si="31"/>
        <v>0</v>
      </c>
      <c r="S143" s="361">
        <f t="shared" si="32"/>
        <v>0</v>
      </c>
    </row>
    <row r="144" spans="1:19">
      <c r="A144" s="716"/>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0</v>
      </c>
      <c r="R144" s="714">
        <f t="shared" si="31"/>
        <v>0</v>
      </c>
      <c r="S144" s="361">
        <f t="shared" si="32"/>
        <v>0</v>
      </c>
    </row>
    <row r="145" spans="1:19">
      <c r="A145" s="716"/>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0</v>
      </c>
      <c r="R145" s="714">
        <f t="shared" si="31"/>
        <v>0</v>
      </c>
      <c r="S145" s="361">
        <f t="shared" si="32"/>
        <v>0</v>
      </c>
    </row>
    <row r="146" spans="1:19">
      <c r="A146" s="716"/>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0</v>
      </c>
      <c r="R146" s="714">
        <f t="shared" si="31"/>
        <v>0</v>
      </c>
      <c r="S146" s="361">
        <f t="shared" si="32"/>
        <v>0</v>
      </c>
    </row>
    <row r="147" spans="1:19">
      <c r="A147" s="716"/>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0</v>
      </c>
      <c r="R147" s="714">
        <f t="shared" si="31"/>
        <v>0</v>
      </c>
      <c r="S147" s="361">
        <f t="shared" si="32"/>
        <v>0</v>
      </c>
    </row>
    <row r="148" spans="1:19">
      <c r="A148" s="716"/>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0</v>
      </c>
      <c r="R148" s="714">
        <f t="shared" si="31"/>
        <v>0</v>
      </c>
      <c r="S148" s="361">
        <f t="shared" si="32"/>
        <v>0</v>
      </c>
    </row>
    <row r="149" spans="1:19">
      <c r="A149" s="716"/>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0</v>
      </c>
      <c r="R149" s="714">
        <f t="shared" si="31"/>
        <v>0</v>
      </c>
      <c r="S149" s="361">
        <f t="shared" si="32"/>
        <v>0</v>
      </c>
    </row>
    <row r="150" spans="1:19">
      <c r="A150" s="716"/>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0</v>
      </c>
      <c r="R150" s="714">
        <f t="shared" si="31"/>
        <v>0</v>
      </c>
      <c r="S150" s="361">
        <f t="shared" si="32"/>
        <v>0</v>
      </c>
    </row>
    <row r="151" spans="1:19">
      <c r="A151" s="716"/>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0</v>
      </c>
      <c r="R151" s="714">
        <f t="shared" si="31"/>
        <v>0</v>
      </c>
      <c r="S151" s="361">
        <f t="shared" si="32"/>
        <v>0</v>
      </c>
    </row>
    <row r="152" spans="1:19">
      <c r="A152" s="716"/>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0</v>
      </c>
      <c r="R152" s="714">
        <f t="shared" si="31"/>
        <v>0</v>
      </c>
      <c r="S152" s="361">
        <f t="shared" si="32"/>
        <v>0</v>
      </c>
    </row>
    <row r="153" spans="1:19">
      <c r="A153" s="716"/>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0</v>
      </c>
      <c r="R153" s="714">
        <f t="shared" si="31"/>
        <v>0</v>
      </c>
      <c r="S153" s="361">
        <f t="shared" si="32"/>
        <v>0</v>
      </c>
    </row>
    <row r="154" spans="1:19">
      <c r="A154" s="716"/>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v>
      </c>
      <c r="R154" s="714">
        <f t="shared" ref="R154:R217" si="41">IF(B154="",0,ROUND($R$24*C154*E154*G154*I154*K154*M154*O154*Q154,0))</f>
        <v>0</v>
      </c>
      <c r="S154" s="361">
        <f t="shared" si="32"/>
        <v>0</v>
      </c>
    </row>
    <row r="155" spans="1:19">
      <c r="A155" s="716"/>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0</v>
      </c>
      <c r="R155" s="714">
        <f t="shared" si="41"/>
        <v>0</v>
      </c>
      <c r="S155" s="361">
        <f t="shared" si="32"/>
        <v>0</v>
      </c>
    </row>
    <row r="156" spans="1:19">
      <c r="A156" s="716"/>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0</v>
      </c>
      <c r="R156" s="714">
        <f t="shared" si="41"/>
        <v>0</v>
      </c>
      <c r="S156" s="361">
        <f t="shared" si="32"/>
        <v>0</v>
      </c>
    </row>
    <row r="157" spans="1:19">
      <c r="A157" s="716"/>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0</v>
      </c>
      <c r="R157" s="714">
        <f t="shared" si="41"/>
        <v>0</v>
      </c>
      <c r="S157" s="361">
        <f t="shared" si="32"/>
        <v>0</v>
      </c>
    </row>
    <row r="158" spans="1:19">
      <c r="A158" s="716"/>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0</v>
      </c>
      <c r="R158" s="714">
        <f t="shared" si="41"/>
        <v>0</v>
      </c>
      <c r="S158" s="361">
        <f t="shared" si="32"/>
        <v>0</v>
      </c>
    </row>
    <row r="159" spans="1:19">
      <c r="A159" s="716"/>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0</v>
      </c>
      <c r="R159" s="714">
        <f t="shared" si="41"/>
        <v>0</v>
      </c>
      <c r="S159" s="361">
        <f t="shared" si="32"/>
        <v>0</v>
      </c>
    </row>
    <row r="160" spans="1:19">
      <c r="A160" s="716"/>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0</v>
      </c>
      <c r="R160" s="714">
        <f t="shared" si="41"/>
        <v>0</v>
      </c>
      <c r="S160" s="361">
        <f t="shared" si="32"/>
        <v>0</v>
      </c>
    </row>
    <row r="161" spans="1:19">
      <c r="A161" s="716"/>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0</v>
      </c>
      <c r="R161" s="714">
        <f t="shared" si="41"/>
        <v>0</v>
      </c>
      <c r="S161" s="361">
        <f t="shared" si="32"/>
        <v>0</v>
      </c>
    </row>
    <row r="162" spans="1:19">
      <c r="A162" s="716"/>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0</v>
      </c>
      <c r="R162" s="714">
        <f t="shared" si="41"/>
        <v>0</v>
      </c>
      <c r="S162" s="361">
        <f t="shared" si="32"/>
        <v>0</v>
      </c>
    </row>
    <row r="163" spans="1:19">
      <c r="A163" s="716"/>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0</v>
      </c>
      <c r="R163" s="714">
        <f t="shared" si="41"/>
        <v>0</v>
      </c>
      <c r="S163" s="361">
        <f t="shared" si="32"/>
        <v>0</v>
      </c>
    </row>
    <row r="164" spans="1:19">
      <c r="A164" s="716"/>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0</v>
      </c>
      <c r="R164" s="714">
        <f t="shared" si="41"/>
        <v>0</v>
      </c>
      <c r="S164" s="361">
        <f t="shared" si="32"/>
        <v>0</v>
      </c>
    </row>
    <row r="165" spans="1:19">
      <c r="A165" s="716"/>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0</v>
      </c>
      <c r="R165" s="714">
        <f t="shared" si="41"/>
        <v>0</v>
      </c>
      <c r="S165" s="361">
        <f t="shared" si="32"/>
        <v>0</v>
      </c>
    </row>
    <row r="166" spans="1:19">
      <c r="A166" s="716"/>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0</v>
      </c>
      <c r="R166" s="714">
        <f t="shared" si="41"/>
        <v>0</v>
      </c>
      <c r="S166" s="361">
        <f t="shared" si="32"/>
        <v>0</v>
      </c>
    </row>
    <row r="167" spans="1:19">
      <c r="A167" s="716"/>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0</v>
      </c>
      <c r="R167" s="714">
        <f t="shared" si="41"/>
        <v>0</v>
      </c>
      <c r="S167" s="361">
        <f t="shared" si="32"/>
        <v>0</v>
      </c>
    </row>
    <row r="168" spans="1:19">
      <c r="A168" s="716"/>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0</v>
      </c>
      <c r="R168" s="714">
        <f t="shared" si="41"/>
        <v>0</v>
      </c>
      <c r="S168" s="361">
        <f t="shared" si="32"/>
        <v>0</v>
      </c>
    </row>
    <row r="169" spans="1:19">
      <c r="A169" s="716"/>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0</v>
      </c>
      <c r="R169" s="714">
        <f t="shared" si="41"/>
        <v>0</v>
      </c>
      <c r="S169" s="361">
        <f t="shared" si="32"/>
        <v>0</v>
      </c>
    </row>
    <row r="170" spans="1:19">
      <c r="A170" s="716"/>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0</v>
      </c>
      <c r="R170" s="714">
        <f t="shared" si="41"/>
        <v>0</v>
      </c>
      <c r="S170" s="361">
        <f t="shared" si="32"/>
        <v>0</v>
      </c>
    </row>
    <row r="171" spans="1:19">
      <c r="A171" s="716"/>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0</v>
      </c>
      <c r="R171" s="714">
        <f t="shared" si="41"/>
        <v>0</v>
      </c>
      <c r="S171" s="361">
        <f t="shared" si="32"/>
        <v>0</v>
      </c>
    </row>
    <row r="172" spans="1:19">
      <c r="A172" s="716"/>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0</v>
      </c>
      <c r="R172" s="714">
        <f t="shared" si="41"/>
        <v>0</v>
      </c>
      <c r="S172" s="361">
        <f t="shared" si="32"/>
        <v>0</v>
      </c>
    </row>
    <row r="173" spans="1:19">
      <c r="A173" s="716"/>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0</v>
      </c>
      <c r="R173" s="714">
        <f t="shared" si="41"/>
        <v>0</v>
      </c>
      <c r="S173" s="361">
        <f t="shared" si="32"/>
        <v>0</v>
      </c>
    </row>
    <row r="174" spans="1:19">
      <c r="A174" s="716"/>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0</v>
      </c>
      <c r="R174" s="714">
        <f t="shared" si="41"/>
        <v>0</v>
      </c>
      <c r="S174" s="361">
        <f t="shared" si="32"/>
        <v>0</v>
      </c>
    </row>
    <row r="175" spans="1:19">
      <c r="A175" s="716"/>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0</v>
      </c>
      <c r="R175" s="714">
        <f t="shared" si="41"/>
        <v>0</v>
      </c>
      <c r="S175" s="361">
        <f t="shared" si="32"/>
        <v>0</v>
      </c>
    </row>
    <row r="176" spans="1:19">
      <c r="A176" s="716"/>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0</v>
      </c>
      <c r="R176" s="714">
        <f t="shared" si="41"/>
        <v>0</v>
      </c>
      <c r="S176" s="361">
        <f t="shared" si="32"/>
        <v>0</v>
      </c>
    </row>
    <row r="177" spans="1:19">
      <c r="A177" s="716"/>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0</v>
      </c>
      <c r="R177" s="714">
        <f t="shared" si="41"/>
        <v>0</v>
      </c>
      <c r="S177" s="361">
        <f t="shared" si="32"/>
        <v>0</v>
      </c>
    </row>
    <row r="178" spans="1:19">
      <c r="A178" s="716"/>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0</v>
      </c>
      <c r="R178" s="714">
        <f t="shared" si="41"/>
        <v>0</v>
      </c>
      <c r="S178" s="361">
        <f t="shared" si="32"/>
        <v>0</v>
      </c>
    </row>
    <row r="179" spans="1:19">
      <c r="A179" s="716"/>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0</v>
      </c>
      <c r="R179" s="714">
        <f t="shared" si="41"/>
        <v>0</v>
      </c>
      <c r="S179" s="361">
        <f t="shared" si="32"/>
        <v>0</v>
      </c>
    </row>
    <row r="180" spans="1:19">
      <c r="A180" s="716"/>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0</v>
      </c>
      <c r="R180" s="714">
        <f t="shared" si="41"/>
        <v>0</v>
      </c>
      <c r="S180" s="361">
        <f t="shared" si="32"/>
        <v>0</v>
      </c>
    </row>
    <row r="181" spans="1:19">
      <c r="A181" s="716"/>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0</v>
      </c>
      <c r="R181" s="714">
        <f t="shared" si="41"/>
        <v>0</v>
      </c>
      <c r="S181" s="361">
        <f t="shared" si="32"/>
        <v>0</v>
      </c>
    </row>
    <row r="182" spans="1:19">
      <c r="A182" s="716"/>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0</v>
      </c>
      <c r="R182" s="714">
        <f t="shared" si="41"/>
        <v>0</v>
      </c>
      <c r="S182" s="361">
        <f t="shared" si="32"/>
        <v>0</v>
      </c>
    </row>
    <row r="183" spans="1:19">
      <c r="A183" s="716"/>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0</v>
      </c>
      <c r="R183" s="714">
        <f t="shared" si="41"/>
        <v>0</v>
      </c>
      <c r="S183" s="361">
        <f t="shared" si="32"/>
        <v>0</v>
      </c>
    </row>
    <row r="184" spans="1:19">
      <c r="A184" s="716"/>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0</v>
      </c>
      <c r="R184" s="714">
        <f t="shared" si="41"/>
        <v>0</v>
      </c>
      <c r="S184" s="361">
        <f t="shared" si="32"/>
        <v>0</v>
      </c>
    </row>
    <row r="185" spans="1:19">
      <c r="A185" s="716"/>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0</v>
      </c>
      <c r="R185" s="714">
        <f t="shared" si="41"/>
        <v>0</v>
      </c>
      <c r="S185" s="361">
        <f t="shared" si="32"/>
        <v>0</v>
      </c>
    </row>
    <row r="186" spans="1:19">
      <c r="A186" s="716"/>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0</v>
      </c>
      <c r="R186" s="714">
        <f t="shared" si="41"/>
        <v>0</v>
      </c>
      <c r="S186" s="361">
        <f t="shared" si="32"/>
        <v>0</v>
      </c>
    </row>
    <row r="187" spans="1:19">
      <c r="A187" s="716"/>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0</v>
      </c>
      <c r="R187" s="714">
        <f t="shared" si="41"/>
        <v>0</v>
      </c>
      <c r="S187" s="361">
        <f t="shared" ref="S187:S222" si="42">ROUND(R187*B187/10000,0)</f>
        <v>0</v>
      </c>
    </row>
    <row r="188" spans="1:19">
      <c r="A188" s="716"/>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0</v>
      </c>
      <c r="R188" s="714">
        <f t="shared" si="41"/>
        <v>0</v>
      </c>
      <c r="S188" s="361">
        <f t="shared" si="42"/>
        <v>0</v>
      </c>
    </row>
    <row r="189" spans="1:19">
      <c r="A189" s="716"/>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0</v>
      </c>
      <c r="R189" s="714">
        <f t="shared" si="41"/>
        <v>0</v>
      </c>
      <c r="S189" s="361">
        <f t="shared" si="42"/>
        <v>0</v>
      </c>
    </row>
    <row r="190" spans="1:19">
      <c r="A190" s="716"/>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0</v>
      </c>
      <c r="R190" s="714">
        <f t="shared" si="41"/>
        <v>0</v>
      </c>
      <c r="S190" s="361">
        <f t="shared" si="42"/>
        <v>0</v>
      </c>
    </row>
    <row r="191" spans="1:19">
      <c r="A191" s="716"/>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0</v>
      </c>
      <c r="R191" s="714">
        <f t="shared" si="41"/>
        <v>0</v>
      </c>
      <c r="S191" s="361">
        <f t="shared" si="42"/>
        <v>0</v>
      </c>
    </row>
    <row r="192" spans="1:19">
      <c r="A192" s="716"/>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0</v>
      </c>
      <c r="R192" s="714">
        <f t="shared" si="41"/>
        <v>0</v>
      </c>
      <c r="S192" s="361">
        <f t="shared" si="42"/>
        <v>0</v>
      </c>
    </row>
    <row r="193" spans="1:19">
      <c r="A193" s="716"/>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0</v>
      </c>
      <c r="R193" s="714">
        <f t="shared" si="41"/>
        <v>0</v>
      </c>
      <c r="S193" s="361">
        <f t="shared" si="42"/>
        <v>0</v>
      </c>
    </row>
    <row r="194" spans="1:19">
      <c r="A194" s="716"/>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0</v>
      </c>
      <c r="R194" s="714">
        <f t="shared" si="41"/>
        <v>0</v>
      </c>
      <c r="S194" s="361">
        <f t="shared" si="42"/>
        <v>0</v>
      </c>
    </row>
    <row r="195" spans="1:19">
      <c r="A195" s="716"/>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0</v>
      </c>
      <c r="R195" s="714">
        <f t="shared" si="41"/>
        <v>0</v>
      </c>
      <c r="S195" s="361">
        <f t="shared" si="42"/>
        <v>0</v>
      </c>
    </row>
    <row r="196" spans="1:19">
      <c r="A196" s="716"/>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0</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0</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0</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0</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0</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0</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0</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0</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0</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0</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0</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0</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0</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0</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0</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0</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0</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0</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0</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0</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0</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0</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0</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0</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0</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0</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0</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0</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0</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0</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0</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0</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0</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0</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0</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0</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0</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0</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0</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0</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0</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0</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0</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0</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0</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0</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0</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0</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0</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0</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0</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0</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0</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0</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0</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0</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0</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0</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0</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0</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0</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0</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0</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0</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0</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0</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0</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0</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0</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0</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0</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0</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0</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0</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0</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0</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0</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0</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0</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0</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0</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0</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0</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0</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0</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0</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0</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0</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0</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0</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0</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0</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0</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0</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0</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0</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0</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0</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0</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0</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0</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0</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0</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0</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0</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0</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0</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0</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0</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0</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0</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0</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0</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0</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0</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0</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0</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0</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0</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0</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0</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0</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0</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0</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0</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0</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0</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0</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0</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0</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0</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0</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0</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0</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0</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0</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0</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0</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0</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0</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0</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0</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0</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0</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0</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0</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0</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0</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0</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0</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0</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0</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0</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0</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0</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0</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0</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0</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0</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0</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0</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0</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0</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0</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0</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0</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0</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0</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0</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0</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0</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0</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0</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0</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0</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0</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0</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0</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0</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0</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0</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0</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0</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0</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0</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0</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0</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0</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0</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0</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0</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0</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0</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0</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0</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0</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0</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0</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0</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0</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0</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0</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0</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0</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0</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0</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0</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0</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0</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0</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0</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0</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0</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0</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0</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0</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0</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0</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0</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0</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0</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0</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0</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0</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0</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0</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0</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0</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0</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0</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0</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0</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0</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0</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0</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0</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0</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0</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0</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0</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0</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0</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0</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0</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0</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0</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0</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0</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0</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0</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0</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0</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0</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0</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0</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0</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0</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0</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0</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0</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0</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0</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0</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0</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0</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0</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0</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0</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0</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0</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0</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0</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0</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0</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0</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0</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0</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0</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0</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0</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0</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0</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0</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0</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0</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0</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0</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0</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0</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0</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0</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0</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0</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0</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0</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0</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0</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0</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0</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0</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0</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0</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0</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0</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0</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0</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0</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0</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0</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0</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0</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0</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0</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0</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0</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0</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0</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0</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0</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0</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0</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0</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0</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0</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70" zoomScaleNormal="70" zoomScaleSheetLayoutView="90" workbookViewId="0">
      <selection activeCell="K49" sqref="K4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0"/>
      <c r="C1" s="1835" t="s">
        <v>1373</v>
      </c>
      <c r="D1" s="1818" t="s">
        <v>70</v>
      </c>
      <c r="E1" s="1819" t="s">
        <v>1383</v>
      </c>
      <c r="F1" s="1284">
        <f ca="1">J53</f>
        <v>34.67</v>
      </c>
      <c r="G1" s="1834">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1511</v>
      </c>
      <c r="B2" s="1842">
        <f ca="1">C40+J29+L46</f>
        <v>41889</v>
      </c>
      <c r="C2" s="1843" t="s">
        <v>1512</v>
      </c>
      <c r="D2" s="1843"/>
      <c r="E2" s="1844"/>
      <c r="F2" s="1845"/>
      <c r="G2" s="1846"/>
      <c r="H2" s="1838"/>
      <c r="I2" s="1838"/>
      <c r="J2" s="1838"/>
      <c r="K2" s="1839"/>
      <c r="L2" s="1838"/>
      <c r="M2" s="1838"/>
    </row>
    <row r="3" spans="1:37" ht="18" customHeight="1" thickBot="1">
      <c r="A3" s="1847" t="s">
        <v>1513</v>
      </c>
      <c r="B3" s="1848">
        <f ca="1">IF(ISERROR(B2*10000/F43),0,ROUND(B2*10000/F43,0))</f>
        <v>22469</v>
      </c>
      <c r="C3" s="1843" t="s">
        <v>1514</v>
      </c>
      <c r="D3" s="1843"/>
      <c r="E3" s="1844"/>
      <c r="F3" s="1845"/>
      <c r="G3" s="1846"/>
      <c r="H3" s="742"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3">
        <f ca="1">C6+C10+C12</f>
        <v>2453</v>
      </c>
      <c r="D5" s="1820" t="s">
        <v>1398</v>
      </c>
      <c r="E5" s="1294"/>
      <c r="F5" s="1295"/>
      <c r="G5" s="1849"/>
      <c r="H5" s="344">
        <v>1</v>
      </c>
      <c r="I5" s="345" t="s">
        <v>1397</v>
      </c>
      <c r="J5" s="1293">
        <f ca="1">J6+J10+J12</f>
        <v>0</v>
      </c>
      <c r="K5" s="1820" t="s">
        <v>1398</v>
      </c>
      <c r="L5" s="1294"/>
      <c r="M5" s="1295"/>
    </row>
    <row r="6" spans="1:37" ht="18" customHeight="1">
      <c r="A6" s="1292" t="s">
        <v>1032</v>
      </c>
      <c r="B6" s="3275" t="s">
        <v>1399</v>
      </c>
      <c r="C6" s="1297">
        <f ca="1">ROUND(F6*F8*F7*(1-F9)/10000,0)</f>
        <v>2450</v>
      </c>
      <c r="D6" s="164" t="s">
        <v>3030</v>
      </c>
      <c r="E6" s="347" t="s">
        <v>1401</v>
      </c>
      <c r="F6" s="348">
        <f ca="1">INDIRECT("'数据-取费表'!u"&amp;$G$1)</f>
        <v>4</v>
      </c>
      <c r="G6" s="1849"/>
      <c r="H6" s="1292" t="s">
        <v>1032</v>
      </c>
      <c r="I6" s="3275" t="s">
        <v>1399</v>
      </c>
      <c r="J6" s="346">
        <f ca="1">ROUND(M6*M8*M7*(1-M9)/10000,0)</f>
        <v>0</v>
      </c>
      <c r="K6" s="164" t="s">
        <v>3029</v>
      </c>
      <c r="L6" s="347" t="s">
        <v>1401</v>
      </c>
      <c r="M6" s="348">
        <f ca="1">INDIRECT("'数据-取费表'!z"&amp;$G$1)</f>
        <v>0</v>
      </c>
    </row>
    <row r="7" spans="1:37" ht="18" customHeight="1">
      <c r="A7" s="1296"/>
      <c r="B7" s="3276"/>
      <c r="C7" s="1298"/>
      <c r="D7" s="352"/>
      <c r="E7" s="2951" t="s">
        <v>1402</v>
      </c>
      <c r="F7" s="348">
        <f ca="1">IF(INDIRECT("'数据-取费表'!ah"&amp;$G$1)="",INDIRECT("'数据-取费表'!k"&amp;$G$1),INDIRECT("'数据-取费表'!ah"&amp;$G$1))</f>
        <v>18643.309999999998</v>
      </c>
      <c r="G7" s="1849"/>
      <c r="H7" s="349"/>
      <c r="I7" s="3276"/>
      <c r="J7" s="351"/>
      <c r="K7" s="352"/>
      <c r="L7" s="347" t="s">
        <v>1402</v>
      </c>
      <c r="M7" s="348">
        <f ca="1">F7</f>
        <v>18643.309999999998</v>
      </c>
    </row>
    <row r="8" spans="1:37" ht="18" customHeight="1">
      <c r="A8" s="349"/>
      <c r="B8" s="3276"/>
      <c r="C8" s="351"/>
      <c r="D8" s="352"/>
      <c r="E8" s="347" t="s">
        <v>1403</v>
      </c>
      <c r="F8" s="348">
        <f ca="1">INDIRECT("'数据-取费表'!ai"&amp;$G$1)</f>
        <v>365</v>
      </c>
      <c r="G8" s="1849"/>
      <c r="H8" s="349"/>
      <c r="I8" s="3276"/>
      <c r="J8" s="351"/>
      <c r="K8" s="352"/>
      <c r="L8" s="347" t="s">
        <v>1403</v>
      </c>
      <c r="M8" s="348">
        <f ca="1">INDIRECT("'数据-取费表'!ai"&amp;$G$1)</f>
        <v>365</v>
      </c>
    </row>
    <row r="9" spans="1:37" ht="18" customHeight="1">
      <c r="A9" s="349"/>
      <c r="B9" s="3277"/>
      <c r="C9" s="351"/>
      <c r="D9" s="352"/>
      <c r="E9" s="347" t="s">
        <v>1404</v>
      </c>
      <c r="F9" s="357">
        <f ca="1">INDIRECT("'数据-取费表'!w"&amp;$G$1)</f>
        <v>0.1</v>
      </c>
      <c r="G9" s="1849"/>
      <c r="H9" s="349"/>
      <c r="I9" s="3277"/>
      <c r="J9" s="351"/>
      <c r="K9" s="352"/>
      <c r="L9" s="358" t="s">
        <v>1404</v>
      </c>
      <c r="M9" s="359">
        <f ca="1">INDIRECT("'数据-取费表'!ab"&amp;$G$1)</f>
        <v>0</v>
      </c>
    </row>
    <row r="10" spans="1:37" ht="18" customHeight="1">
      <c r="A10" s="1292" t="s">
        <v>1036</v>
      </c>
      <c r="B10" s="1821" t="s">
        <v>1405</v>
      </c>
      <c r="C10" s="361">
        <f ca="1">ROUND(IF(F10="押一",C6/12*F11,IF(F10="押二",C6/12*2*F11,IF(F10="押三",C6/12*3*F11,C11*F11))),0)</f>
        <v>3</v>
      </c>
      <c r="D10" s="1822" t="s">
        <v>3039</v>
      </c>
      <c r="E10" s="358" t="s">
        <v>1406</v>
      </c>
      <c r="F10" s="1367" t="s">
        <v>3073</v>
      </c>
      <c r="G10" s="1849"/>
      <c r="H10" s="1292" t="s">
        <v>1036</v>
      </c>
      <c r="I10" s="1821" t="s">
        <v>1405</v>
      </c>
      <c r="J10" s="346">
        <f ca="1">ROUND(IF(M10="押一",J6/12*M11,IF(M10="押二",J6/12*2*M11,IF(M10="押三",J6/12*3*M11,J11*M11))),0)</f>
        <v>0</v>
      </c>
      <c r="K10" s="1822" t="s">
        <v>3038</v>
      </c>
      <c r="L10" s="358" t="s">
        <v>1406</v>
      </c>
      <c r="M10" s="1367" t="s">
        <v>1407</v>
      </c>
    </row>
    <row r="11" spans="1:37" ht="18" customHeight="1">
      <c r="A11" s="353"/>
      <c r="B11" s="1823" t="s">
        <v>1384</v>
      </c>
      <c r="C11" s="1179"/>
      <c r="D11" s="1824"/>
      <c r="E11" s="358" t="s">
        <v>1408</v>
      </c>
      <c r="F11" s="359">
        <f ca="1">'数据-取费表'!B39</f>
        <v>1.4999999999999999E-2</v>
      </c>
      <c r="G11" s="1849"/>
      <c r="H11" s="1300"/>
      <c r="I11" s="1823" t="s">
        <v>1384</v>
      </c>
      <c r="J11" s="1179"/>
      <c r="K11" s="746"/>
      <c r="L11" s="358" t="s">
        <v>1408</v>
      </c>
      <c r="M11" s="1057">
        <f ca="1">'数据-取费表'!B39</f>
        <v>1.4999999999999999E-2</v>
      </c>
    </row>
    <row r="12" spans="1:37" ht="18" customHeight="1" thickBot="1">
      <c r="A12" s="1334" t="s">
        <v>1072</v>
      </c>
      <c r="B12" s="1825" t="s">
        <v>1409</v>
      </c>
      <c r="C12" s="1335"/>
      <c r="D12" s="1336"/>
      <c r="E12" s="1341"/>
      <c r="F12" s="1337"/>
      <c r="G12" s="1849"/>
      <c r="H12" s="1334" t="s">
        <v>1072</v>
      </c>
      <c r="I12" s="1825" t="s">
        <v>1409</v>
      </c>
      <c r="J12" s="1335"/>
      <c r="K12" s="1349"/>
      <c r="L12" s="1341"/>
      <c r="M12" s="1350"/>
    </row>
    <row r="13" spans="1:37" ht="18" customHeight="1" thickTop="1">
      <c r="A13" s="1330">
        <v>2</v>
      </c>
      <c r="B13" s="1331" t="s">
        <v>1410</v>
      </c>
      <c r="C13" s="355">
        <f ca="1">ROUND(C29*F13,0)</f>
        <v>8039</v>
      </c>
      <c r="D13" s="1332" t="s">
        <v>1411</v>
      </c>
      <c r="E13" s="1332" t="s">
        <v>1412</v>
      </c>
      <c r="F13" s="1333">
        <f ca="1">INDIRECT("'数据-取费表'!y"&amp;$G$1)</f>
        <v>1</v>
      </c>
      <c r="G13" s="1849"/>
      <c r="H13" s="1330">
        <v>2</v>
      </c>
      <c r="I13" s="1331" t="s">
        <v>1410</v>
      </c>
      <c r="J13" s="1291">
        <f ca="1">ROUND(J14*J15,0)</f>
        <v>0</v>
      </c>
      <c r="K13" s="1338" t="s">
        <v>1411</v>
      </c>
      <c r="L13" s="1850"/>
      <c r="M13" s="1851"/>
    </row>
    <row r="14" spans="1:37" ht="18" customHeight="1">
      <c r="A14" s="1202" t="s">
        <v>1031</v>
      </c>
      <c r="B14" s="347" t="s">
        <v>1413</v>
      </c>
      <c r="C14" s="363">
        <f ca="1">INDIRECT("'数据-取费表'!m"&amp;$G$1)+INDIRECT("'数据-取费表'!t"&amp;$G$1)</f>
        <v>5220</v>
      </c>
      <c r="D14" s="2960" t="s">
        <v>1414</v>
      </c>
      <c r="E14" s="2959"/>
      <c r="F14" s="364"/>
      <c r="G14" s="1849"/>
      <c r="H14" s="1202" t="s">
        <v>1032</v>
      </c>
      <c r="I14" s="347" t="s">
        <v>1415</v>
      </c>
      <c r="J14" s="24">
        <f ca="1">C29</f>
        <v>8039</v>
      </c>
      <c r="K14" s="2950"/>
      <c r="L14" s="980"/>
      <c r="M14" s="981"/>
    </row>
    <row r="15" spans="1:37" s="1856" customFormat="1" ht="18" customHeight="1" thickBot="1">
      <c r="A15" s="1202" t="s">
        <v>1033</v>
      </c>
      <c r="B15" s="347" t="s">
        <v>1416</v>
      </c>
      <c r="C15" s="24">
        <f ca="1">ROUND(C14*F15,0)</f>
        <v>157</v>
      </c>
      <c r="D15" s="365" t="s">
        <v>1417</v>
      </c>
      <c r="E15" s="365" t="s">
        <v>1418</v>
      </c>
      <c r="F15" s="366">
        <f>'数据-取费表'!B33</f>
        <v>0.03</v>
      </c>
      <c r="G15" s="1852"/>
      <c r="H15" s="1340" t="s">
        <v>1036</v>
      </c>
      <c r="I15" s="1341" t="s">
        <v>1412</v>
      </c>
      <c r="J15" s="1350">
        <f ca="1">INDIRECT("'数据-取费表'!ad"&amp;$G$1)</f>
        <v>0</v>
      </c>
      <c r="K15" s="1351"/>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1385</v>
      </c>
      <c r="B16" s="347" t="s">
        <v>1419</v>
      </c>
      <c r="C16" s="24">
        <f ca="1">ROUND(INDIRECT("'数据-取费表'!m"&amp;$G$1)*F16,0)</f>
        <v>0</v>
      </c>
      <c r="D16" s="347" t="s">
        <v>1417</v>
      </c>
      <c r="E16" s="347" t="s">
        <v>1418</v>
      </c>
      <c r="F16" s="367">
        <f ca="1">IF(INDIRECT("'数据-取费表'!c"&amp;$G$1)="住宅",'数据-取费表'!B34,0)</f>
        <v>0</v>
      </c>
      <c r="G16" s="1849"/>
      <c r="H16" s="1330" t="s">
        <v>1027</v>
      </c>
      <c r="I16" s="1331" t="s">
        <v>1420</v>
      </c>
      <c r="J16" s="355">
        <f ca="1">ROUND(J17+J22+J23+J24,0)</f>
        <v>190</v>
      </c>
      <c r="K16" s="1338" t="s">
        <v>1421</v>
      </c>
      <c r="L16" s="2963"/>
      <c r="M16" s="1295"/>
    </row>
    <row r="17" spans="1:37" s="1856" customFormat="1" ht="18" customHeight="1">
      <c r="A17" s="1202" t="s">
        <v>1386</v>
      </c>
      <c r="B17" s="347" t="s">
        <v>1422</v>
      </c>
      <c r="C17" s="24">
        <f ca="1">ROUND(F17*(F43+INDIRECT("'数据-取费表'!S"&amp;$G$1))/10000,0)</f>
        <v>373</v>
      </c>
      <c r="D17" s="347" t="s">
        <v>1423</v>
      </c>
      <c r="E17" s="347" t="s">
        <v>1424</v>
      </c>
      <c r="F17" s="26">
        <f>'数据-取费表'!B35</f>
        <v>200</v>
      </c>
      <c r="G17" s="1852"/>
      <c r="H17" s="1202" t="s">
        <v>1032</v>
      </c>
      <c r="I17" s="347" t="s">
        <v>1425</v>
      </c>
      <c r="J17" s="24">
        <f ca="1">ROUND(IF(项目基本情况!B11="自然人",J5*M17,J18+J19+J20),1)</f>
        <v>69.400000000000006</v>
      </c>
      <c r="K17" s="2960" t="s">
        <v>1426</v>
      </c>
      <c r="L17" s="2962"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1387</v>
      </c>
      <c r="B18" s="347" t="s">
        <v>1428</v>
      </c>
      <c r="C18" s="24">
        <f ca="1">ROUND(C14*F18,0)</f>
        <v>78</v>
      </c>
      <c r="D18" s="347" t="s">
        <v>1417</v>
      </c>
      <c r="E18" s="347" t="s">
        <v>1418</v>
      </c>
      <c r="F18" s="367">
        <f>'数据-取费表'!B36</f>
        <v>1.4999999999999999E-2</v>
      </c>
      <c r="G18" s="1852"/>
      <c r="H18" s="1202" t="s">
        <v>1031</v>
      </c>
      <c r="I18" s="347" t="s">
        <v>1429</v>
      </c>
      <c r="J18" s="24">
        <f ca="1">ROUND(J5*M18/(1+'数据-取费表'!C42),2)</f>
        <v>0</v>
      </c>
      <c r="K18" s="2962"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1032</v>
      </c>
      <c r="B19" s="347" t="s">
        <v>1431</v>
      </c>
      <c r="C19" s="24">
        <f ca="1">SUM(C14:C18)</f>
        <v>5828</v>
      </c>
      <c r="D19" s="140" t="s">
        <v>1432</v>
      </c>
      <c r="E19" s="2948"/>
      <c r="F19" s="26"/>
      <c r="G19" s="1849"/>
      <c r="H19" s="1202" t="s">
        <v>1033</v>
      </c>
      <c r="I19" s="347" t="s">
        <v>1433</v>
      </c>
      <c r="J19" s="24">
        <f ca="1">IF(K19="按租金收入计税",ROUND(J5*M19,2),ROUND(C29*M19*0.7,2))</f>
        <v>67.53</v>
      </c>
      <c r="K19" s="1826" t="s">
        <v>1434</v>
      </c>
      <c r="L19" s="347" t="s">
        <v>1418</v>
      </c>
      <c r="M19" s="367">
        <f>IF(K19="按租金收入计税",'数据-取费表'!B51,'数据-取费表'!B50)</f>
        <v>1.2E-2</v>
      </c>
    </row>
    <row r="20" spans="1:37" s="1856" customFormat="1" ht="18" customHeight="1">
      <c r="A20" s="1202" t="s">
        <v>1036</v>
      </c>
      <c r="B20" s="347" t="s">
        <v>1435</v>
      </c>
      <c r="C20" s="24">
        <f ca="1">ROUND(C19*F20,0)</f>
        <v>117</v>
      </c>
      <c r="D20" s="369" t="s">
        <v>1436</v>
      </c>
      <c r="E20" s="347" t="s">
        <v>1418</v>
      </c>
      <c r="F20" s="367">
        <f>'数据-取费表'!B37</f>
        <v>0.02</v>
      </c>
      <c r="G20" s="1852"/>
      <c r="H20" s="1202" t="s">
        <v>1385</v>
      </c>
      <c r="I20" s="164" t="s">
        <v>1437</v>
      </c>
      <c r="J20" s="25">
        <f ca="1">ROUND(M20*M21/10000,2)</f>
        <v>1.82</v>
      </c>
      <c r="K20" s="370" t="s">
        <v>1438</v>
      </c>
      <c r="L20" s="347" t="s">
        <v>1439</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1072</v>
      </c>
      <c r="B21" s="347" t="s">
        <v>1440</v>
      </c>
      <c r="C21" s="24" t="s">
        <v>18</v>
      </c>
      <c r="D21" s="369" t="s">
        <v>1441</v>
      </c>
      <c r="E21" s="347" t="s">
        <v>1442</v>
      </c>
      <c r="F21" s="367">
        <f>'数据-取费表'!B38</f>
        <v>0.02</v>
      </c>
      <c r="G21" s="1852"/>
      <c r="H21" s="372"/>
      <c r="I21" s="356"/>
      <c r="J21" s="29"/>
      <c r="K21" s="373"/>
      <c r="L21" s="347" t="s">
        <v>1443</v>
      </c>
      <c r="M21" s="348">
        <f ca="1">INDIRECT("'数据-取费表'!r"&amp;$G$1)</f>
        <v>6056.4</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1388</v>
      </c>
      <c r="B22" s="347" t="s">
        <v>1444</v>
      </c>
      <c r="C22" s="24"/>
      <c r="D22" s="140" t="str">
        <f>IF(F23&lt;=1,"单利计息。","复利计息。")&amp;"建造成本、管理费用、销售费用产生的利息。"</f>
        <v>复利计息。建造成本、管理费用、销售费用产生的利息。</v>
      </c>
      <c r="E22" s="2948"/>
      <c r="F22" s="26"/>
      <c r="G22" s="1849"/>
      <c r="H22" s="1202" t="s">
        <v>1036</v>
      </c>
      <c r="I22" s="347" t="s">
        <v>1445</v>
      </c>
      <c r="J22" s="24">
        <f ca="1">ROUND(J14*M22,1)</f>
        <v>120.6</v>
      </c>
      <c r="K22" s="2962" t="s">
        <v>1446</v>
      </c>
      <c r="L22" s="347" t="s">
        <v>1418</v>
      </c>
      <c r="M22" s="374">
        <f ca="1">INDIRECT("'数据-取费表'!Ak"&amp;$G$1)</f>
        <v>1.4999999999999999E-2</v>
      </c>
    </row>
    <row r="23" spans="1:37" s="1856" customFormat="1" ht="18" customHeight="1">
      <c r="A23" s="1202" t="s">
        <v>1031</v>
      </c>
      <c r="B23" s="347" t="s">
        <v>1447</v>
      </c>
      <c r="C23" s="24">
        <f ca="1">IF('数据-取费表'!B22&lt;=1,ROUND(C19*F24*F23/2,0)+ROUND(C20*F24*F23/2,0),ROUND(C19*(POWER((1+F24),F23/2)-1),0)+ROUND(C20*(POWER((1+F24),F23/2)-1),0))</f>
        <v>283</v>
      </c>
      <c r="D23" s="375" t="str">
        <f>IF(F23&lt;=1,"(建造成本+管理费用)×利率×(建设周期÷2)","(建造成本+管理费用)×((1+利率)^(建设周期÷2)-1)")</f>
        <v>(建造成本+管理费用)×((1+利率)^(建设周期÷2)-1)</v>
      </c>
      <c r="E23" s="347" t="s">
        <v>1448</v>
      </c>
      <c r="F23" s="371">
        <f>'数据-取费表'!B20</f>
        <v>2</v>
      </c>
      <c r="G23" s="1852"/>
      <c r="H23" s="1202" t="s">
        <v>1072</v>
      </c>
      <c r="I23" s="347" t="s">
        <v>1449</v>
      </c>
      <c r="J23" s="24">
        <f ca="1">ROUND(J13*M23,1)</f>
        <v>0</v>
      </c>
      <c r="K23" s="2962" t="s">
        <v>1450</v>
      </c>
      <c r="L23" s="347" t="s">
        <v>1451</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40" t="s">
        <v>1389</v>
      </c>
      <c r="I24" s="1341" t="s">
        <v>1435</v>
      </c>
      <c r="J24" s="1342">
        <f ca="1">ROUND(J5*M24,1)</f>
        <v>0</v>
      </c>
      <c r="K24" s="1343" t="s">
        <v>1455</v>
      </c>
      <c r="L24" s="1341" t="s">
        <v>1451</v>
      </c>
      <c r="M24" s="1337">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2" t="s">
        <v>1456</v>
      </c>
      <c r="B25" s="347" t="s">
        <v>1457</v>
      </c>
      <c r="C25" s="24"/>
      <c r="D25" s="140" t="s">
        <v>1458</v>
      </c>
      <c r="E25" s="2948"/>
      <c r="F25" s="26"/>
      <c r="G25" s="1849"/>
      <c r="H25" s="1330" t="s">
        <v>1028</v>
      </c>
      <c r="I25" s="1345" t="s">
        <v>1459</v>
      </c>
      <c r="J25" s="355">
        <f ca="1">J5-J16</f>
        <v>-190</v>
      </c>
      <c r="K25" s="1346" t="s">
        <v>1460</v>
      </c>
      <c r="L25" s="1347"/>
      <c r="M25" s="1348"/>
    </row>
    <row r="26" spans="1:37">
      <c r="A26" s="1202" t="s">
        <v>1031</v>
      </c>
      <c r="B26" s="347" t="s">
        <v>1461</v>
      </c>
      <c r="C26" s="24">
        <f ca="1">ROUND((C19+C20)*F26,0)</f>
        <v>1189</v>
      </c>
      <c r="D26" s="369" t="s">
        <v>1462</v>
      </c>
      <c r="E26" s="358" t="s">
        <v>1463</v>
      </c>
      <c r="F26" s="357">
        <f ca="1">INDIRECT("'数据-取费表'!q"&amp;$G$1)</f>
        <v>0.2</v>
      </c>
      <c r="G26" s="1849"/>
      <c r="H26" s="344" t="s">
        <v>1029</v>
      </c>
      <c r="I26" s="345" t="s">
        <v>1464</v>
      </c>
      <c r="J26" s="346">
        <f ca="1">IF(J5&lt;&gt;0,ROUND(J25*(1-((1+M28)/(1+M26))^M27)/(M26-M28),0),0)</f>
        <v>0</v>
      </c>
      <c r="K26" s="370" t="s">
        <v>1465</v>
      </c>
      <c r="L26" s="347" t="s">
        <v>1466</v>
      </c>
      <c r="M26" s="357">
        <f ca="1">INDIRECT("'数据-取费表'!I"&amp;$G$1)</f>
        <v>5.5E-2</v>
      </c>
    </row>
    <row r="27" spans="1:37" ht="18" customHeight="1">
      <c r="A27" s="1202" t="s">
        <v>1033</v>
      </c>
      <c r="B27" s="347" t="s">
        <v>1467</v>
      </c>
      <c r="C27" s="24">
        <f ca="1">ROUND(F21*F26,4)</f>
        <v>4.0000000000000001E-3</v>
      </c>
      <c r="D27" s="369" t="s">
        <v>1468</v>
      </c>
      <c r="E27" s="365"/>
      <c r="F27" s="366"/>
      <c r="G27" s="1849"/>
      <c r="H27" s="349"/>
      <c r="I27" s="350"/>
      <c r="J27" s="351"/>
      <c r="K27" s="378" t="s">
        <v>1469</v>
      </c>
      <c r="L27" s="347" t="s">
        <v>1470</v>
      </c>
      <c r="M27" s="379">
        <f ca="1">INDIRECT("'数据-取费表'!ag"&amp;$G$1)</f>
        <v>0</v>
      </c>
    </row>
    <row r="28" spans="1:37" s="1856" customFormat="1" ht="18" customHeight="1">
      <c r="A28" s="1202" t="s">
        <v>1034</v>
      </c>
      <c r="B28" s="347" t="s">
        <v>1471</v>
      </c>
      <c r="C28" s="24">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40" t="s">
        <v>1035</v>
      </c>
      <c r="B29" s="1341" t="s">
        <v>1474</v>
      </c>
      <c r="C29" s="1342">
        <f ca="1">ROUND((C19+C20+C23+C26)/(1-F21-C24-C27-C28),0)</f>
        <v>8039</v>
      </c>
      <c r="D29" s="1343"/>
      <c r="E29" s="1341"/>
      <c r="F29" s="1344"/>
      <c r="G29" s="1852"/>
      <c r="H29" s="380" t="s">
        <v>1030</v>
      </c>
      <c r="I29" s="381" t="s">
        <v>1475</v>
      </c>
      <c r="J29" s="382">
        <f ca="1">ROUND(J26/(1+F40)^F41,0)</f>
        <v>0</v>
      </c>
      <c r="K29" s="383" t="s">
        <v>1476</v>
      </c>
      <c r="L29" s="384"/>
      <c r="M29" s="385">
        <f ca="1">INDIRECT("'数据-取费表'!k"&amp;$G$1)</f>
        <v>18643.309999999998</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30" t="s">
        <v>1027</v>
      </c>
      <c r="B30" s="1331" t="s">
        <v>1420</v>
      </c>
      <c r="C30" s="355">
        <f ca="1">ROUND(C31+C36+C37+C38,0)</f>
        <v>607</v>
      </c>
      <c r="D30" s="1338" t="s">
        <v>1421</v>
      </c>
      <c r="E30" s="2963"/>
      <c r="F30" s="1295"/>
      <c r="G30" s="1849"/>
      <c r="H30" s="743"/>
      <c r="I30" s="744"/>
      <c r="J30" s="745"/>
      <c r="K30" s="746"/>
      <c r="L30" s="747"/>
      <c r="M30" s="748"/>
    </row>
    <row r="31" spans="1:37" ht="18" customHeight="1">
      <c r="A31" s="1202" t="s">
        <v>1032</v>
      </c>
      <c r="B31" s="347" t="s">
        <v>1425</v>
      </c>
      <c r="C31" s="24">
        <f ca="1">ROUND(IF(项目基本情况!B11="自然人",C5*F31,C32+C33+C34),1)</f>
        <v>424.7</v>
      </c>
      <c r="D31" s="2960" t="s">
        <v>1426</v>
      </c>
      <c r="E31" s="2962" t="s">
        <v>1477</v>
      </c>
      <c r="F31" s="368" t="str">
        <f ca="1">IF(项目基本情况!B11="企业","",IF(INDIRECT("'数据-取费表'!c"&amp;$G$1)="住宅",5%,IF(F6*F7*F8/12/(1+'数据-取费表'!C42)&gt;20000,12%,7%)))</f>
        <v/>
      </c>
      <c r="G31" s="1849"/>
      <c r="H31" s="743"/>
      <c r="I31" s="744"/>
      <c r="J31" s="745"/>
      <c r="K31" s="746"/>
      <c r="L31" s="747"/>
      <c r="M31" s="748"/>
    </row>
    <row r="32" spans="1:37" ht="18" customHeight="1">
      <c r="A32" s="1202" t="s">
        <v>1031</v>
      </c>
      <c r="B32" s="347" t="s">
        <v>1429</v>
      </c>
      <c r="C32" s="24">
        <f ca="1">IF(项目基本情况!B11="自然人","——",ROUND(C5*F32/(1+'数据-取费表'!C42),2))</f>
        <v>128.49</v>
      </c>
      <c r="D32" s="2962" t="s">
        <v>1430</v>
      </c>
      <c r="E32" s="347" t="s">
        <v>1418</v>
      </c>
      <c r="F32" s="377">
        <f>'数据-取费表'!B41</f>
        <v>5.5000000000000007E-2</v>
      </c>
      <c r="G32" s="1849"/>
      <c r="H32" s="743"/>
      <c r="I32" s="744"/>
      <c r="J32" s="745"/>
      <c r="K32" s="746"/>
      <c r="L32" s="747"/>
      <c r="M32" s="748"/>
    </row>
    <row r="33" spans="1:18" ht="18" customHeight="1">
      <c r="A33" s="1202" t="s">
        <v>1033</v>
      </c>
      <c r="B33" s="347" t="s">
        <v>1433</v>
      </c>
      <c r="C33" s="24">
        <f ca="1">IF(项目基本情况!B11="自然人","——",IF(D33="按租金收入计税",ROUND(C5*F33,2),IF(D33="按房产原值计税",ROUND(C29*F33*0.7,2),INDIRECT("'数据-取费表'!Aj"&amp;$G$1))))</f>
        <v>294.36</v>
      </c>
      <c r="D33" s="1826" t="s">
        <v>3072</v>
      </c>
      <c r="E33" s="347" t="s">
        <v>1418</v>
      </c>
      <c r="F33" s="367">
        <f>IF(D33="按票据","——",IF(D33="按租金收入计税",'数据-取费表'!B51,'数据-取费表'!B50))</f>
        <v>0.12</v>
      </c>
      <c r="G33" s="1849"/>
      <c r="H33" s="1857"/>
      <c r="I33" s="1858"/>
      <c r="J33" s="1859"/>
      <c r="K33" s="1860"/>
      <c r="L33" s="1857"/>
      <c r="M33" s="1857"/>
    </row>
    <row r="34" spans="1:18" ht="18" customHeight="1">
      <c r="A34" s="1292" t="s">
        <v>1385</v>
      </c>
      <c r="B34" s="164" t="s">
        <v>1437</v>
      </c>
      <c r="C34" s="25">
        <f ca="1">IF(项目基本情况!B11="自然人","——",ROUND(F34*F35/10000,2))</f>
        <v>1.82</v>
      </c>
      <c r="D34" s="370" t="s">
        <v>1438</v>
      </c>
      <c r="E34" s="347" t="s">
        <v>1439</v>
      </c>
      <c r="F34" s="371">
        <f>'数据-取费表'!B52</f>
        <v>3</v>
      </c>
      <c r="G34" s="1849"/>
      <c r="H34" s="743"/>
      <c r="I34" s="1858"/>
      <c r="J34" s="1859"/>
      <c r="K34" s="1861"/>
      <c r="L34" s="1862"/>
      <c r="M34" s="1862"/>
    </row>
    <row r="35" spans="1:18" ht="18" customHeight="1">
      <c r="A35" s="1354"/>
      <c r="B35" s="1352"/>
      <c r="C35" s="29"/>
      <c r="D35" s="373"/>
      <c r="E35" s="347" t="s">
        <v>1443</v>
      </c>
      <c r="F35" s="348">
        <f ca="1">INDIRECT("'数据-取费表'!r"&amp;$G$1)</f>
        <v>6056.4</v>
      </c>
      <c r="G35" s="1849"/>
      <c r="H35" s="743"/>
      <c r="I35" s="1858"/>
      <c r="J35" s="1859"/>
      <c r="K35" s="1860"/>
      <c r="L35" s="1857"/>
      <c r="M35" s="1857"/>
    </row>
    <row r="36" spans="1:18" ht="18" customHeight="1">
      <c r="A36" s="1353" t="s">
        <v>1036</v>
      </c>
      <c r="B36" s="347" t="s">
        <v>1445</v>
      </c>
      <c r="C36" s="24">
        <f ca="1">ROUND(C29*F36,1)</f>
        <v>120.6</v>
      </c>
      <c r="D36" s="2962" t="s">
        <v>1478</v>
      </c>
      <c r="E36" s="347" t="s">
        <v>1418</v>
      </c>
      <c r="F36" s="374">
        <f ca="1">INDIRECT("'数据-取费表'!Ak"&amp;$G$1)</f>
        <v>1.4999999999999999E-2</v>
      </c>
      <c r="G36" s="1849"/>
      <c r="H36" s="1857"/>
      <c r="I36" s="1858"/>
      <c r="J36" s="1859"/>
      <c r="K36" s="749"/>
      <c r="L36" s="1857"/>
      <c r="M36" s="1857"/>
    </row>
    <row r="37" spans="1:18" ht="18" customHeight="1">
      <c r="A37" s="1202" t="s">
        <v>1072</v>
      </c>
      <c r="B37" s="347" t="s">
        <v>1449</v>
      </c>
      <c r="C37" s="24">
        <f ca="1">ROUND(C13*F37,1)</f>
        <v>12.1</v>
      </c>
      <c r="D37" s="2962" t="s">
        <v>1450</v>
      </c>
      <c r="E37" s="347" t="s">
        <v>1451</v>
      </c>
      <c r="F37" s="376">
        <f ca="1">INDIRECT("'数据-取费表'!Al"&amp;$G$1)</f>
        <v>1.5E-3</v>
      </c>
      <c r="G37" s="1849"/>
      <c r="H37" s="1857"/>
      <c r="I37" s="1858"/>
      <c r="J37" s="1859"/>
      <c r="K37" s="749"/>
      <c r="L37" s="1857"/>
      <c r="M37" s="1857"/>
    </row>
    <row r="38" spans="1:18" ht="18" customHeight="1" thickBot="1">
      <c r="A38" s="1340" t="s">
        <v>1389</v>
      </c>
      <c r="B38" s="1341" t="s">
        <v>1435</v>
      </c>
      <c r="C38" s="1342">
        <f ca="1">ROUND(C5*F38,1)</f>
        <v>49.1</v>
      </c>
      <c r="D38" s="1343" t="s">
        <v>1455</v>
      </c>
      <c r="E38" s="1341" t="s">
        <v>1451</v>
      </c>
      <c r="F38" s="1337">
        <f ca="1">INDIRECT("'数据-取费表'!Am"&amp;$G$1)</f>
        <v>0.02</v>
      </c>
      <c r="G38" s="1849"/>
      <c r="H38" s="1857"/>
      <c r="I38" s="1858"/>
      <c r="J38" s="1859"/>
      <c r="K38" s="1863"/>
      <c r="L38" s="1857"/>
      <c r="M38" s="1857"/>
    </row>
    <row r="39" spans="1:18" ht="24.6" customHeight="1" thickTop="1">
      <c r="A39" s="1330" t="s">
        <v>1028</v>
      </c>
      <c r="B39" s="1345" t="s">
        <v>1479</v>
      </c>
      <c r="C39" s="355">
        <f ca="1">C5-C30</f>
        <v>1846</v>
      </c>
      <c r="D39" s="1346" t="s">
        <v>1480</v>
      </c>
      <c r="E39" s="1347"/>
      <c r="F39" s="1348"/>
      <c r="G39" s="1849"/>
      <c r="H39" s="1857"/>
      <c r="I39" s="1858"/>
      <c r="J39" s="1859"/>
      <c r="K39" s="1863"/>
      <c r="L39" s="1857"/>
      <c r="M39" s="1857"/>
    </row>
    <row r="40" spans="1:18" ht="18" customHeight="1">
      <c r="A40" s="344" t="s">
        <v>1029</v>
      </c>
      <c r="B40" s="345" t="s">
        <v>1481</v>
      </c>
      <c r="C40" s="346">
        <f ca="1">ROUND(C39*(1-((1+F42)/(1+F40))^F41)/(F40-F42),0)</f>
        <v>41689</v>
      </c>
      <c r="D40" s="370" t="s">
        <v>1465</v>
      </c>
      <c r="E40" s="347" t="s">
        <v>1466</v>
      </c>
      <c r="F40" s="357">
        <f ca="1">INDIRECT("'数据-取费表'!I"&amp;$G$1)</f>
        <v>5.5E-2</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34.67</v>
      </c>
      <c r="G41" s="1849"/>
      <c r="H41" s="730"/>
      <c r="I41" s="1858"/>
      <c r="J41" s="1859"/>
      <c r="K41" s="749"/>
      <c r="L41" s="730"/>
      <c r="M41" s="730"/>
    </row>
    <row r="42" spans="1:18" ht="18" customHeight="1">
      <c r="A42" s="353"/>
      <c r="B42" s="354"/>
      <c r="C42" s="355"/>
      <c r="D42" s="373"/>
      <c r="E42" s="347" t="s">
        <v>1473</v>
      </c>
      <c r="F42" s="357">
        <f ca="1">INDIRECT("'数据-取费表'!v"&amp;$G$1)</f>
        <v>0.03</v>
      </c>
      <c r="G42" s="1849"/>
      <c r="H42" s="730"/>
      <c r="I42" s="1858"/>
      <c r="J42" s="1859"/>
      <c r="K42" s="749"/>
      <c r="L42" s="730"/>
      <c r="M42" s="730"/>
    </row>
    <row r="43" spans="1:18" ht="18" customHeight="1" thickBot="1">
      <c r="A43" s="380" t="s">
        <v>1030</v>
      </c>
      <c r="B43" s="381" t="s">
        <v>1483</v>
      </c>
      <c r="C43" s="382">
        <f ca="1">ROUND(C40*10000/F43,0)</f>
        <v>22361</v>
      </c>
      <c r="D43" s="383" t="s">
        <v>1484</v>
      </c>
      <c r="E43" s="384" t="s">
        <v>1485</v>
      </c>
      <c r="F43" s="385">
        <f ca="1">INDIRECT("'数据-取费表'!k"&amp;$G$1)</f>
        <v>18643.309999999998</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1515</v>
      </c>
      <c r="P45" s="1837"/>
      <c r="Q45" s="1837"/>
      <c r="R45" s="1837"/>
    </row>
    <row r="46" spans="1:18" s="1840" customFormat="1" ht="13.5" thickBot="1">
      <c r="A46" s="1868" t="s">
        <v>1516</v>
      </c>
      <c r="C46" s="1869">
        <f ca="1">C68-C40</f>
        <v>-54115</v>
      </c>
      <c r="D46" s="1870" t="str">
        <f>C2</f>
        <v>万元</v>
      </c>
      <c r="E46" s="1864"/>
      <c r="F46" s="1864"/>
      <c r="I46" s="1871" t="s">
        <v>1517</v>
      </c>
      <c r="J46" s="1872"/>
      <c r="K46" s="1873"/>
      <c r="L46" s="1874">
        <f ca="1">IF(M47="住宅",0,IF(L48&gt;J51,L60,J60))</f>
        <v>200</v>
      </c>
      <c r="O46" s="1875" t="s">
        <v>1518</v>
      </c>
      <c r="P46" s="1876" t="s">
        <v>1519</v>
      </c>
      <c r="Q46" s="1877" t="s">
        <v>1520</v>
      </c>
      <c r="R46" s="1877" t="s">
        <v>1521</v>
      </c>
    </row>
    <row r="47" spans="1:18" s="1840" customFormat="1" ht="13.5" thickBot="1">
      <c r="A47" s="1166" t="s">
        <v>1392</v>
      </c>
      <c r="B47" s="1198" t="s">
        <v>1393</v>
      </c>
      <c r="C47" s="1368" t="s">
        <v>1394</v>
      </c>
      <c r="D47" s="1198" t="s">
        <v>1395</v>
      </c>
      <c r="E47" s="1280" t="s">
        <v>1396</v>
      </c>
      <c r="F47" s="1281"/>
      <c r="G47" s="790"/>
      <c r="I47" s="1878" t="s">
        <v>1522</v>
      </c>
      <c r="J47" s="1879" t="s">
        <v>3074</v>
      </c>
      <c r="K47" s="1880" t="s">
        <v>1523</v>
      </c>
      <c r="L47" s="1881">
        <f ca="1">INDIRECT("'数据-取费表'!d"&amp;$G$1)</f>
        <v>40</v>
      </c>
      <c r="M47" s="1836" t="str">
        <f>IF(ISNUMBER(FIND("住宅",C1)),"住宅","非住宅")</f>
        <v>非住宅</v>
      </c>
      <c r="O47" s="1882" t="s">
        <v>1037</v>
      </c>
      <c r="P47" s="1883" t="s">
        <v>1524</v>
      </c>
      <c r="Q47" s="1884">
        <f ca="1">C40+J29</f>
        <v>41689</v>
      </c>
      <c r="R47" s="1884" t="s">
        <v>1525</v>
      </c>
    </row>
    <row r="48" spans="1:18" s="1840" customFormat="1" ht="28.5" thickBot="1">
      <c r="A48" s="1361" t="s">
        <v>1132</v>
      </c>
      <c r="B48" s="345" t="s">
        <v>1397</v>
      </c>
      <c r="C48" s="2947">
        <f ca="1">C49+C53+C55</f>
        <v>0</v>
      </c>
      <c r="D48" s="1363"/>
      <c r="E48" s="1364"/>
      <c r="F48" s="1182"/>
      <c r="G48" s="790"/>
      <c r="H48" s="791"/>
      <c r="I48" s="1885" t="s">
        <v>1526</v>
      </c>
      <c r="J48" s="1886" t="s">
        <v>3075</v>
      </c>
      <c r="K48" s="1887" t="s">
        <v>1527</v>
      </c>
      <c r="L48" s="1888">
        <f ca="1">INDIRECT("'数据-取费表'!f"&amp;$G$1)</f>
        <v>34.67</v>
      </c>
      <c r="O48" s="1882" t="s">
        <v>1038</v>
      </c>
      <c r="P48" s="1883" t="s">
        <v>1528</v>
      </c>
      <c r="Q48" s="1884">
        <f ca="1">J60</f>
        <v>200</v>
      </c>
      <c r="R48" s="1884" t="s">
        <v>1529</v>
      </c>
    </row>
    <row r="49" spans="1:18" s="1840" customFormat="1" ht="13.5" thickBot="1">
      <c r="A49" s="1195" t="s">
        <v>1133</v>
      </c>
      <c r="B49" s="1827" t="s">
        <v>1486</v>
      </c>
      <c r="C49" s="1365">
        <f ca="1">ROUND(F49*F51*F50*(1-F52)/10000,0)</f>
        <v>0</v>
      </c>
      <c r="D49" s="1277" t="s">
        <v>3031</v>
      </c>
      <c r="E49" s="1828" t="s">
        <v>1487</v>
      </c>
      <c r="F49" s="1282"/>
      <c r="G49" s="1889"/>
      <c r="H49" s="791"/>
      <c r="I49" s="1885" t="s">
        <v>1530</v>
      </c>
      <c r="J49" s="1890">
        <v>2019</v>
      </c>
      <c r="K49" s="1887" t="s">
        <v>1531</v>
      </c>
      <c r="L49" s="1891"/>
      <c r="O49" s="1892" t="s">
        <v>1039</v>
      </c>
      <c r="P49" s="1883" t="s">
        <v>1532</v>
      </c>
      <c r="Q49" s="1884">
        <f ca="1">C29</f>
        <v>8039</v>
      </c>
      <c r="R49" s="1884" t="s">
        <v>1525</v>
      </c>
    </row>
    <row r="50" spans="1:18" s="1840" customFormat="1" ht="13.5" thickBot="1">
      <c r="A50" s="1196"/>
      <c r="B50" s="1199"/>
      <c r="C50" s="1369"/>
      <c r="D50" s="1173"/>
      <c r="E50" s="1278" t="s">
        <v>1402</v>
      </c>
      <c r="F50" s="1279">
        <f ca="1">F7</f>
        <v>18643.309999999998</v>
      </c>
      <c r="H50" s="791"/>
      <c r="I50" s="1885" t="s">
        <v>1533</v>
      </c>
      <c r="J50" s="1893">
        <f>SUMPRODUCT((I63:I65=J47)*(J62:L62=J48)*(J63:L65))</f>
        <v>60</v>
      </c>
      <c r="K50" s="1887" t="s">
        <v>1534</v>
      </c>
      <c r="L50" s="1891"/>
      <c r="M50" s="1894"/>
      <c r="O50" s="1892" t="s">
        <v>1040</v>
      </c>
      <c r="P50" s="1883" t="s">
        <v>1535</v>
      </c>
      <c r="Q50" s="1895">
        <f ca="1">J58</f>
        <v>0.42199999999999999</v>
      </c>
      <c r="R50" s="1884"/>
    </row>
    <row r="51" spans="1:18" s="1840" customFormat="1" ht="13.5" thickBot="1">
      <c r="A51" s="1197"/>
      <c r="B51" s="1199"/>
      <c r="C51" s="1200"/>
      <c r="D51" s="1173"/>
      <c r="E51" s="1201" t="s">
        <v>1403</v>
      </c>
      <c r="F51" s="348">
        <f ca="1">F8</f>
        <v>365</v>
      </c>
      <c r="I51" s="1896" t="s">
        <v>1536</v>
      </c>
      <c r="J51" s="1897">
        <f>IF(J49="",J50,J49+J50-YEAR('数据-取费表'!B2))</f>
        <v>60</v>
      </c>
      <c r="K51" s="1898" t="s">
        <v>1537</v>
      </c>
      <c r="L51" s="1899">
        <f ca="1">ROUND(-PV(INDIRECT("'数据-取费表'!h"&amp;$G$1),L48,(C39-C13*C76),0),0)</f>
        <v>19625</v>
      </c>
      <c r="M51" s="1900"/>
      <c r="O51" s="1892" t="s">
        <v>1041</v>
      </c>
      <c r="P51" s="1883" t="s">
        <v>1538</v>
      </c>
      <c r="Q51" s="1895">
        <f>J52</f>
        <v>8.5000000000000006E-2</v>
      </c>
      <c r="R51" s="1884"/>
    </row>
    <row r="52" spans="1:18" s="1840" customFormat="1" ht="13.5" thickBot="1">
      <c r="A52" s="1197"/>
      <c r="B52" s="1199"/>
      <c r="C52" s="1200"/>
      <c r="D52" s="1173"/>
      <c r="E52" s="1201" t="s">
        <v>1404</v>
      </c>
      <c r="F52" s="1276"/>
      <c r="I52" s="1901" t="s">
        <v>1539</v>
      </c>
      <c r="J52" s="1902">
        <v>8.5000000000000006E-2</v>
      </c>
      <c r="K52" s="1901" t="s">
        <v>1540</v>
      </c>
      <c r="L52" s="1902"/>
      <c r="O52" s="1892" t="s">
        <v>1042</v>
      </c>
      <c r="P52" s="1883" t="s">
        <v>1541</v>
      </c>
      <c r="Q52" s="1884">
        <f ca="1">J53</f>
        <v>34.67</v>
      </c>
      <c r="R52" s="1884" t="s">
        <v>1542</v>
      </c>
    </row>
    <row r="53" spans="1:18" s="1840" customFormat="1" ht="24.75" thickBot="1">
      <c r="A53" s="1406" t="s">
        <v>1134</v>
      </c>
      <c r="B53" s="1829" t="s">
        <v>1405</v>
      </c>
      <c r="C53" s="361">
        <f ca="1">ROUND(IF(F53="押一",C49/12*F11,IF(F53="押二",C49/12*2*F11,IF(F53="押三",C49/12*3*F11,C54*F11))),0)</f>
        <v>0</v>
      </c>
      <c r="D53" s="1822" t="s">
        <v>3038</v>
      </c>
      <c r="E53" s="358" t="s">
        <v>1406</v>
      </c>
      <c r="F53" s="1367"/>
      <c r="I53" s="1903" t="s">
        <v>1543</v>
      </c>
      <c r="J53" s="1904">
        <f ca="1">IF(M47="住宅",IF(D1="——",MAX(J51,L48),IF(D1="在建（套用方法）",MAX(J51,L48-'数据-取费表'!B24),MAX(J51,L48-'数据-取费表'!B20))),IF(D1="——",MIN(J51,L48),IF(D1="在建（套用方法）",MIN(J51,L48-'数据-取费表'!B24),IF(D1="土地（套用方法）",MIN(J51,L48-'数据-取费表'!B20)))))</f>
        <v>34.67</v>
      </c>
      <c r="K53" s="3278" t="s">
        <v>1544</v>
      </c>
      <c r="L53" s="3279"/>
      <c r="O53" s="1882" t="s">
        <v>1043</v>
      </c>
      <c r="P53" s="1883" t="s">
        <v>1545</v>
      </c>
      <c r="Q53" s="1884">
        <f ca="1">Q47+Q48</f>
        <v>41889</v>
      </c>
      <c r="R53" s="1884" t="s">
        <v>1044</v>
      </c>
    </row>
    <row r="54" spans="1:18" s="1840" customFormat="1" ht="13.5" thickBot="1">
      <c r="A54" s="1407"/>
      <c r="B54" s="1823" t="s">
        <v>1384</v>
      </c>
      <c r="C54" s="1179"/>
      <c r="D54" s="1822"/>
      <c r="E54" s="2952"/>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4" t="s">
        <v>1072</v>
      </c>
      <c r="B55" s="1825" t="s">
        <v>1409</v>
      </c>
      <c r="C55" s="1335"/>
      <c r="D55" s="1822"/>
      <c r="E55" s="2952"/>
      <c r="F55" s="1905"/>
      <c r="I55" s="1908" t="s">
        <v>1547</v>
      </c>
      <c r="J55" s="1909">
        <f ca="1">ROUND(IF(J47="钢混",J57/J50,1-(1-2%)*(J50-J57)/J50),3)</f>
        <v>0.42199999999999999</v>
      </c>
      <c r="K55" s="1910" t="s">
        <v>1548</v>
      </c>
      <c r="L55" s="1911" t="s">
        <v>1549</v>
      </c>
      <c r="O55" s="1875" t="s">
        <v>1518</v>
      </c>
      <c r="P55" s="1876" t="s">
        <v>1519</v>
      </c>
      <c r="Q55" s="1877" t="s">
        <v>1520</v>
      </c>
      <c r="R55" s="1877" t="s">
        <v>1521</v>
      </c>
    </row>
    <row r="56" spans="1:18" s="1840" customFormat="1" ht="25.5" thickTop="1" thickBot="1">
      <c r="A56" s="1177">
        <v>2</v>
      </c>
      <c r="B56" s="1178" t="s">
        <v>1410</v>
      </c>
      <c r="C56" s="276">
        <f ca="1">C13</f>
        <v>8039</v>
      </c>
      <c r="D56" s="1912"/>
      <c r="E56" s="1913"/>
      <c r="F56" s="1905"/>
      <c r="I56" s="1914" t="s">
        <v>1550</v>
      </c>
      <c r="J56" s="1915" t="s">
        <v>3076</v>
      </c>
      <c r="K56" s="1885" t="s">
        <v>1551</v>
      </c>
      <c r="L56" s="1888" t="str">
        <f ca="1">IF(L48&lt;J51,"——",L48-J53)</f>
        <v>——</v>
      </c>
      <c r="O56" s="1882" t="s">
        <v>1037</v>
      </c>
      <c r="P56" s="1883" t="s">
        <v>1524</v>
      </c>
      <c r="Q56" s="1884">
        <f ca="1">C40+J29</f>
        <v>41689</v>
      </c>
      <c r="R56" s="1884" t="s">
        <v>1525</v>
      </c>
    </row>
    <row r="57" spans="1:18" s="1840" customFormat="1" ht="24.75" thickBot="1">
      <c r="A57" s="1916"/>
      <c r="B57" s="1170" t="s">
        <v>1474</v>
      </c>
      <c r="C57" s="282">
        <f ca="1">C29</f>
        <v>8039</v>
      </c>
      <c r="D57" s="1917"/>
      <c r="E57" s="1918"/>
      <c r="F57" s="1919"/>
      <c r="I57" s="1920" t="s">
        <v>1552</v>
      </c>
      <c r="J57" s="1921">
        <f ca="1">IF(OR(M47="住宅",J51&lt;L48,J56="是"),"——",J51-L48)</f>
        <v>25.33</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78" t="s">
        <v>1420</v>
      </c>
      <c r="C58" s="361">
        <f ca="1">ROUND(C59+C64+C65+C66,0)</f>
        <v>810</v>
      </c>
      <c r="D58" s="1180" t="s">
        <v>1421</v>
      </c>
      <c r="E58" s="1181"/>
      <c r="F58" s="1182"/>
      <c r="I58" s="1920" t="s">
        <v>1556</v>
      </c>
      <c r="J58" s="1922">
        <f ca="1">IF(J55&lt;0.4,0.4,J55)</f>
        <v>0.42199999999999999</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2" t="s">
        <v>1032</v>
      </c>
      <c r="B59" s="1170" t="s">
        <v>1425</v>
      </c>
      <c r="C59" s="24">
        <f ca="1">ROUND(IF(项目基本情况!B11="自然人",C48*F59,C60+C61+C62),1)</f>
        <v>677.1</v>
      </c>
      <c r="D59" s="1183" t="s">
        <v>1426</v>
      </c>
      <c r="E59" s="1184" t="s">
        <v>1427</v>
      </c>
      <c r="F59" s="368" t="str">
        <f ca="1">IF(项目基本情况!B11="企业","",IF(INDIRECT("'数据-取费表'!c"&amp;$G$1)="住宅",5%,IF(F49*F50*F51/12/(1+'数据-取费表'!C42)&gt;20000,12%,7%)))</f>
        <v/>
      </c>
      <c r="I59" s="1920" t="s">
        <v>1559</v>
      </c>
      <c r="J59" s="1921">
        <f ca="1">IF(OR(M47="住宅",J51&lt;L48,J56="是"),"——",ROUND(C29*J58,0))</f>
        <v>3392</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202" t="s">
        <v>1031</v>
      </c>
      <c r="B60" s="1170" t="s">
        <v>1429</v>
      </c>
      <c r="C60" s="24">
        <f ca="1">IF(项目基本情况!B11="自然人","——",ROUND(C48*F60/(1+'数据-取费表'!C42),2))</f>
        <v>0</v>
      </c>
      <c r="D60" s="1184" t="s">
        <v>1430</v>
      </c>
      <c r="E60" s="1170" t="s">
        <v>1418</v>
      </c>
      <c r="F60" s="377">
        <f t="shared" ref="F60:F66" si="0">F32</f>
        <v>5.5000000000000007E-2</v>
      </c>
      <c r="I60" s="1923" t="s">
        <v>1561</v>
      </c>
      <c r="J60" s="1924">
        <f ca="1">IF(OR(M47="住宅",J51&lt;L48,J56="是"),"0",ROUND(J59/(1+J52)^J53,0))</f>
        <v>200</v>
      </c>
      <c r="K60" s="1925" t="s">
        <v>1562</v>
      </c>
      <c r="L60" s="1924">
        <f ca="1">IF(OR(M47="住宅",L48&lt;J51),0,ROUND(L57*(L58/L59-1),0))</f>
        <v>0</v>
      </c>
      <c r="O60" s="1892" t="s">
        <v>1041</v>
      </c>
      <c r="P60" s="1883" t="s">
        <v>1563</v>
      </c>
      <c r="Q60" s="1884" t="e">
        <f ca="1">L58</f>
        <v>#DIV/0!</v>
      </c>
      <c r="R60" s="1884" t="s">
        <v>1564</v>
      </c>
    </row>
    <row r="61" spans="1:18" s="1840" customFormat="1" ht="13.5" thickBot="1">
      <c r="A61" s="1202" t="s">
        <v>1488</v>
      </c>
      <c r="B61" s="1170" t="s">
        <v>1489</v>
      </c>
      <c r="C61" s="24">
        <f ca="1">IF(项目基本情况!B11="自然人","——",IF(D61="按租金收入计税",ROUND(C48*F61,2),IF(D61="按房产原值计税",ROUND(C57*F61*0.7,2),INDIRECT("'数据-取费表'!Aj"&amp;$G$1))))</f>
        <v>675.28</v>
      </c>
      <c r="D61" s="1826" t="s">
        <v>1434</v>
      </c>
      <c r="E61" s="1170" t="s">
        <v>1490</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202" t="s">
        <v>1491</v>
      </c>
      <c r="B62" s="1169" t="s">
        <v>1492</v>
      </c>
      <c r="C62" s="25">
        <f ca="1">IF(项目基本情况!B11="自然人","——",ROUND(F62*F63/10000,2))</f>
        <v>1.82</v>
      </c>
      <c r="D62" s="1185" t="s">
        <v>1493</v>
      </c>
      <c r="E62" s="1170" t="s">
        <v>1494</v>
      </c>
      <c r="F62" s="371">
        <f t="shared" si="0"/>
        <v>3</v>
      </c>
      <c r="I62" s="1927" t="s">
        <v>1566</v>
      </c>
      <c r="J62" s="1928" t="s">
        <v>1567</v>
      </c>
      <c r="K62" s="1928" t="s">
        <v>1568</v>
      </c>
      <c r="L62" s="1928" t="s">
        <v>1569</v>
      </c>
      <c r="M62" s="1929" t="s">
        <v>1570</v>
      </c>
      <c r="O62" s="1882" t="s">
        <v>1043</v>
      </c>
      <c r="P62" s="1883" t="s">
        <v>1571</v>
      </c>
      <c r="Q62" s="1884">
        <f ca="1">Q56+Q57</f>
        <v>41689</v>
      </c>
      <c r="R62" s="1884" t="s">
        <v>1044</v>
      </c>
    </row>
    <row r="63" spans="1:18" s="1840" customFormat="1" ht="13.5" thickBot="1">
      <c r="A63" s="372"/>
      <c r="B63" s="1176"/>
      <c r="C63" s="29"/>
      <c r="D63" s="1186"/>
      <c r="E63" s="1170" t="s">
        <v>1495</v>
      </c>
      <c r="F63" s="348">
        <f t="shared" ca="1" si="0"/>
        <v>6056.4</v>
      </c>
      <c r="I63" s="1927" t="s">
        <v>1572</v>
      </c>
      <c r="J63" s="1928">
        <v>70</v>
      </c>
      <c r="K63" s="1928">
        <v>50</v>
      </c>
      <c r="L63" s="1928">
        <v>80</v>
      </c>
      <c r="M63" s="1930">
        <v>0.02</v>
      </c>
      <c r="O63" s="1867" t="s">
        <v>1573</v>
      </c>
      <c r="P63" s="1837"/>
      <c r="Q63" s="1837"/>
      <c r="R63" s="1837"/>
    </row>
    <row r="64" spans="1:18" s="1840" customFormat="1" ht="13.5" thickBot="1">
      <c r="A64" s="1202" t="s">
        <v>1496</v>
      </c>
      <c r="B64" s="1170" t="s">
        <v>1497</v>
      </c>
      <c r="C64" s="24">
        <f ca="1">ROUND(C57*F64,1)</f>
        <v>120.6</v>
      </c>
      <c r="D64" s="1184" t="s">
        <v>1498</v>
      </c>
      <c r="E64" s="1170" t="s">
        <v>1490</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202" t="s">
        <v>1499</v>
      </c>
      <c r="B65" s="1170" t="s">
        <v>1449</v>
      </c>
      <c r="C65" s="24">
        <f ca="1">ROUND(C56*F65,1)</f>
        <v>12.1</v>
      </c>
      <c r="D65" s="1184" t="s">
        <v>1450</v>
      </c>
      <c r="E65" s="1170" t="s">
        <v>1451</v>
      </c>
      <c r="F65" s="376">
        <f t="shared" ca="1" si="0"/>
        <v>1.5E-3</v>
      </c>
      <c r="I65" s="1927" t="s">
        <v>1575</v>
      </c>
      <c r="J65" s="1928">
        <v>40</v>
      </c>
      <c r="K65" s="1928">
        <v>30</v>
      </c>
      <c r="L65" s="1928">
        <v>50</v>
      </c>
      <c r="M65" s="1930">
        <v>0.02</v>
      </c>
      <c r="O65" s="1882" t="s">
        <v>1037</v>
      </c>
      <c r="P65" s="1883" t="s">
        <v>1576</v>
      </c>
      <c r="Q65" s="1884">
        <f ca="1">C40+J29</f>
        <v>41689</v>
      </c>
      <c r="R65" s="1884" t="s">
        <v>1525</v>
      </c>
    </row>
    <row r="66" spans="1:18" s="1840" customFormat="1" ht="16.5" thickBot="1">
      <c r="A66" s="1202" t="s">
        <v>1500</v>
      </c>
      <c r="B66" s="1170" t="s">
        <v>1435</v>
      </c>
      <c r="C66" s="24">
        <f ca="1">ROUND(C48*F66,1)</f>
        <v>0</v>
      </c>
      <c r="D66" s="1184" t="s">
        <v>1501</v>
      </c>
      <c r="E66" s="1170" t="s">
        <v>1418</v>
      </c>
      <c r="F66" s="357">
        <f t="shared" ca="1" si="0"/>
        <v>0.02</v>
      </c>
      <c r="O66" s="1882" t="s">
        <v>1038</v>
      </c>
      <c r="P66" s="1883" t="s">
        <v>1554</v>
      </c>
      <c r="Q66" s="1884">
        <f ca="1">L60</f>
        <v>0</v>
      </c>
      <c r="R66" s="1884" t="s">
        <v>1577</v>
      </c>
    </row>
    <row r="67" spans="1:18" s="1840" customFormat="1" ht="16.5" thickBot="1">
      <c r="A67" s="1177" t="s">
        <v>1028</v>
      </c>
      <c r="B67" s="1187" t="s">
        <v>1459</v>
      </c>
      <c r="C67" s="361">
        <f ca="1">C48-C58</f>
        <v>-810</v>
      </c>
      <c r="D67" s="1183" t="s">
        <v>1460</v>
      </c>
      <c r="E67" s="1188"/>
      <c r="F67" s="1189"/>
      <c r="O67" s="1892" t="s">
        <v>1039</v>
      </c>
      <c r="P67" s="1883" t="s">
        <v>1558</v>
      </c>
      <c r="Q67" s="1931">
        <f ca="1">L51</f>
        <v>19625</v>
      </c>
      <c r="R67" s="1884" t="s">
        <v>1578</v>
      </c>
    </row>
    <row r="68" spans="1:18" s="1840" customFormat="1" ht="16.5" thickBot="1">
      <c r="A68" s="1167" t="s">
        <v>1029</v>
      </c>
      <c r="B68" s="1168" t="s">
        <v>1481</v>
      </c>
      <c r="C68" s="346">
        <f ca="1">ROUND(C67*(1-((1+F70)/(1+F68))^F69)/(F68-F70),0)</f>
        <v>-12426</v>
      </c>
      <c r="D68" s="1185" t="s">
        <v>1465</v>
      </c>
      <c r="E68" s="1170" t="s">
        <v>1466</v>
      </c>
      <c r="F68" s="357">
        <f ca="1">F40</f>
        <v>5.5E-2</v>
      </c>
      <c r="O68" s="1892" t="s">
        <v>1040</v>
      </c>
      <c r="P68" s="1932" t="s">
        <v>1579</v>
      </c>
      <c r="Q68" s="1884">
        <f ca="1">ROUND(Q69-Q70*Q71,0)</f>
        <v>1203</v>
      </c>
      <c r="R68" s="1884" t="s">
        <v>1048</v>
      </c>
    </row>
    <row r="69" spans="1:18" s="1840" customFormat="1" ht="13.5" thickBot="1">
      <c r="A69" s="1171"/>
      <c r="B69" s="1172"/>
      <c r="C69" s="351"/>
      <c r="D69" s="1190" t="s">
        <v>1469</v>
      </c>
      <c r="E69" s="1170" t="s">
        <v>1470</v>
      </c>
      <c r="F69" s="379">
        <f ca="1">F41</f>
        <v>34.67</v>
      </c>
      <c r="O69" s="1892" t="s">
        <v>1045</v>
      </c>
      <c r="P69" s="1932" t="s">
        <v>1580</v>
      </c>
      <c r="Q69" s="1884">
        <f ca="1">C39</f>
        <v>1846</v>
      </c>
      <c r="R69" s="1884" t="s">
        <v>1525</v>
      </c>
    </row>
    <row r="70" spans="1:18" s="1840" customFormat="1" ht="13.5" thickBot="1">
      <c r="A70" s="1174"/>
      <c r="B70" s="1175"/>
      <c r="C70" s="355"/>
      <c r="D70" s="1186"/>
      <c r="E70" s="1170" t="s">
        <v>1473</v>
      </c>
      <c r="F70" s="1276"/>
      <c r="O70" s="1892" t="s">
        <v>1046</v>
      </c>
      <c r="P70" s="1932" t="s">
        <v>1581</v>
      </c>
      <c r="Q70" s="1884">
        <f ca="1">C13</f>
        <v>8039</v>
      </c>
      <c r="R70" s="1884" t="s">
        <v>1525</v>
      </c>
    </row>
    <row r="71" spans="1:18" s="1840" customFormat="1" ht="13.5" thickBot="1">
      <c r="A71" s="1191" t="s">
        <v>1030</v>
      </c>
      <c r="B71" s="1192" t="s">
        <v>1483</v>
      </c>
      <c r="C71" s="382">
        <f ca="1">ROUND(C68*10000/F71,0)</f>
        <v>-6665</v>
      </c>
      <c r="D71" s="1193" t="s">
        <v>1484</v>
      </c>
      <c r="E71" s="1194" t="s">
        <v>1485</v>
      </c>
      <c r="F71" s="385">
        <f ca="1">F43</f>
        <v>18643.309999999998</v>
      </c>
      <c r="O71" s="1892" t="s">
        <v>1047</v>
      </c>
      <c r="P71" s="1932" t="s">
        <v>1582</v>
      </c>
      <c r="Q71" s="1895">
        <f ca="1">C76</f>
        <v>0.08</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643</v>
      </c>
      <c r="D75" s="1840"/>
      <c r="E75" s="1840"/>
      <c r="F75" s="1840"/>
      <c r="K75" s="1866"/>
      <c r="L75" s="1840"/>
      <c r="O75" s="1882" t="s">
        <v>1043</v>
      </c>
      <c r="P75" s="1883" t="s">
        <v>1545</v>
      </c>
      <c r="Q75" s="1884">
        <f ca="1">Q65+Q66</f>
        <v>41689</v>
      </c>
      <c r="R75" s="1884" t="s">
        <v>1044</v>
      </c>
    </row>
    <row r="76" spans="1:18">
      <c r="B76" s="388" t="s">
        <v>1503</v>
      </c>
      <c r="C76" s="389">
        <f ca="1">INDIRECT("'数据-取费表'!j"&amp;$G$1)</f>
        <v>0.08</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0.65200000000000002</v>
      </c>
    </row>
    <row r="80" spans="1:18">
      <c r="B80" s="386" t="s">
        <v>1507</v>
      </c>
      <c r="C80" s="318">
        <f ca="1">ROUND(C75/C39,3)</f>
        <v>0.34799999999999998</v>
      </c>
    </row>
    <row r="81" spans="2:3">
      <c r="B81" s="314" t="s">
        <v>1508</v>
      </c>
      <c r="C81" s="282"/>
    </row>
    <row r="82" spans="2:3">
      <c r="B82" s="317" t="s">
        <v>1509</v>
      </c>
      <c r="C82" s="319">
        <f ca="1">1-C83</f>
        <v>0.80699999999999994</v>
      </c>
    </row>
    <row r="83" spans="2:3">
      <c r="B83" s="317" t="s">
        <v>1510</v>
      </c>
      <c r="C83" s="318">
        <f ca="1">ROUND(C13/C40,3)</f>
        <v>0.193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0"/>
      <c r="C1" s="1835"/>
      <c r="D1" s="1818"/>
      <c r="E1" s="1819" t="s">
        <v>1383</v>
      </c>
      <c r="F1" s="1284" t="b">
        <f>J53</f>
        <v>0</v>
      </c>
      <c r="G1" s="1834">
        <f>MATCH(C1,'数据-取费表'!A6:A16,0)+5</f>
        <v>9</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1586</v>
      </c>
      <c r="B2" s="1842" t="e">
        <f ca="1">ROUND(D2/10000,0)</f>
        <v>#DIV/0!</v>
      </c>
      <c r="C2" s="1843" t="s">
        <v>1587</v>
      </c>
      <c r="D2" s="1936" t="e">
        <f ca="1">C40+J29+L46</f>
        <v>#DIV/0!</v>
      </c>
      <c r="E2" s="1844" t="s">
        <v>1588</v>
      </c>
      <c r="F2" s="1845"/>
      <c r="G2" s="1846"/>
      <c r="H2" s="1838"/>
      <c r="I2" s="1838"/>
      <c r="J2" s="1838"/>
      <c r="K2" s="1839"/>
      <c r="L2" s="1838"/>
      <c r="M2" s="1838"/>
    </row>
    <row r="3" spans="1:37" ht="18" customHeight="1" thickBot="1">
      <c r="A3" s="1847" t="s">
        <v>1589</v>
      </c>
      <c r="B3" s="1848">
        <f ca="1">IF(ISERROR(D2/F43),0,ROUND(D2/F43,0))</f>
        <v>0</v>
      </c>
      <c r="C3" s="1843" t="s">
        <v>1590</v>
      </c>
      <c r="D3" s="1843"/>
      <c r="E3" s="1844"/>
      <c r="F3" s="1845"/>
      <c r="G3" s="1846"/>
      <c r="H3" s="742" t="s">
        <v>1584</v>
      </c>
      <c r="I3" s="1838"/>
      <c r="J3" s="1838"/>
      <c r="K3" s="1839"/>
      <c r="L3" s="1838"/>
      <c r="M3" s="1838"/>
    </row>
    <row r="4" spans="1:37" ht="18" customHeight="1">
      <c r="A4" s="340" t="s">
        <v>1591</v>
      </c>
      <c r="B4" s="341" t="s">
        <v>1592</v>
      </c>
      <c r="C4" s="341" t="s">
        <v>1593</v>
      </c>
      <c r="D4" s="341" t="s">
        <v>1594</v>
      </c>
      <c r="E4" s="342" t="s">
        <v>1595</v>
      </c>
      <c r="F4" s="343"/>
      <c r="G4" s="1849"/>
      <c r="H4" s="340" t="s">
        <v>1591</v>
      </c>
      <c r="I4" s="341" t="s">
        <v>1592</v>
      </c>
      <c r="J4" s="341" t="s">
        <v>1593</v>
      </c>
      <c r="K4" s="341" t="s">
        <v>1594</v>
      </c>
      <c r="L4" s="342" t="s">
        <v>1595</v>
      </c>
      <c r="M4" s="343"/>
    </row>
    <row r="5" spans="1:37" ht="18" customHeight="1">
      <c r="A5" s="344">
        <v>1</v>
      </c>
      <c r="B5" s="345" t="s">
        <v>1596</v>
      </c>
      <c r="C5" s="1293">
        <f ca="1">C6+C10+C12</f>
        <v>0</v>
      </c>
      <c r="D5" s="1820" t="s">
        <v>1597</v>
      </c>
      <c r="E5" s="1294"/>
      <c r="F5" s="1295"/>
      <c r="G5" s="1849"/>
      <c r="H5" s="344">
        <v>1</v>
      </c>
      <c r="I5" s="345" t="s">
        <v>1596</v>
      </c>
      <c r="J5" s="1293">
        <f ca="1">J6+J10+J12</f>
        <v>0</v>
      </c>
      <c r="K5" s="1820" t="s">
        <v>1597</v>
      </c>
      <c r="L5" s="1294"/>
      <c r="M5" s="1295"/>
    </row>
    <row r="6" spans="1:37" ht="18" customHeight="1">
      <c r="A6" s="1292" t="s">
        <v>1032</v>
      </c>
      <c r="B6" s="3275" t="s">
        <v>1399</v>
      </c>
      <c r="C6" s="1297">
        <f ca="1">ROUND(F6*F8*F7*(1-F9),0)</f>
        <v>0</v>
      </c>
      <c r="D6" s="164" t="s">
        <v>3027</v>
      </c>
      <c r="E6" s="347" t="s">
        <v>1401</v>
      </c>
      <c r="F6" s="348">
        <f ca="1">INDIRECT("'数据-取费表'!u"&amp;$G$1)</f>
        <v>0</v>
      </c>
      <c r="G6" s="1849"/>
      <c r="H6" s="1292" t="s">
        <v>1032</v>
      </c>
      <c r="I6" s="3275" t="s">
        <v>1399</v>
      </c>
      <c r="J6" s="346">
        <f ca="1">ROUND(M6*M8*M7*(1-M9),0)</f>
        <v>0</v>
      </c>
      <c r="K6" s="1832" t="s">
        <v>3028</v>
      </c>
      <c r="L6" s="347" t="s">
        <v>1401</v>
      </c>
      <c r="M6" s="348">
        <f ca="1">INDIRECT("'数据-取费表'!z"&amp;$G$1)</f>
        <v>0</v>
      </c>
    </row>
    <row r="7" spans="1:37" ht="18" customHeight="1">
      <c r="A7" s="1296"/>
      <c r="B7" s="3276"/>
      <c r="C7" s="1298"/>
      <c r="D7" s="352"/>
      <c r="E7" s="1299" t="s">
        <v>1402</v>
      </c>
      <c r="F7" s="348">
        <f ca="1">IF(INDIRECT("'数据-取费表'!ah"&amp;$G$1)="",INDIRECT("'数据-取费表'!k"&amp;$G$1),INDIRECT("'数据-取费表'!ah"&amp;$G$1))</f>
        <v>0</v>
      </c>
      <c r="G7" s="1849"/>
      <c r="H7" s="349"/>
      <c r="I7" s="3276"/>
      <c r="J7" s="351"/>
      <c r="K7" s="352"/>
      <c r="L7" s="347" t="s">
        <v>1402</v>
      </c>
      <c r="M7" s="348">
        <f ca="1">F7</f>
        <v>0</v>
      </c>
    </row>
    <row r="8" spans="1:37" ht="18" customHeight="1">
      <c r="A8" s="349"/>
      <c r="B8" s="3276"/>
      <c r="C8" s="351"/>
      <c r="D8" s="352"/>
      <c r="E8" s="347" t="s">
        <v>1403</v>
      </c>
      <c r="F8" s="348">
        <f ca="1">INDIRECT("'数据-取费表'!ai"&amp;$G$1)</f>
        <v>0</v>
      </c>
      <c r="G8" s="1849"/>
      <c r="H8" s="349"/>
      <c r="I8" s="3276"/>
      <c r="J8" s="351"/>
      <c r="K8" s="352"/>
      <c r="L8" s="347" t="s">
        <v>1403</v>
      </c>
      <c r="M8" s="348">
        <f ca="1">INDIRECT("'数据-取费表'!ai"&amp;$G$1)</f>
        <v>0</v>
      </c>
    </row>
    <row r="9" spans="1:37" ht="18" customHeight="1">
      <c r="A9" s="349"/>
      <c r="B9" s="3277"/>
      <c r="C9" s="351"/>
      <c r="D9" s="352"/>
      <c r="E9" s="347" t="s">
        <v>1404</v>
      </c>
      <c r="F9" s="357">
        <f ca="1">INDIRECT("'数据-取费表'!w"&amp;$G$1)</f>
        <v>0</v>
      </c>
      <c r="G9" s="1849"/>
      <c r="H9" s="349"/>
      <c r="I9" s="3277"/>
      <c r="J9" s="351"/>
      <c r="K9" s="352"/>
      <c r="L9" s="358" t="s">
        <v>1404</v>
      </c>
      <c r="M9" s="359">
        <f ca="1">INDIRECT("'数据-取费表'!ab"&amp;$G$1)</f>
        <v>0</v>
      </c>
    </row>
    <row r="10" spans="1:37" ht="18" customHeight="1">
      <c r="A10" s="1292" t="s">
        <v>1036</v>
      </c>
      <c r="B10" s="1821" t="s">
        <v>1405</v>
      </c>
      <c r="C10" s="361">
        <f ca="1">ROUND(IF(F10="押一",C6/12*F11,IF(F10="押二",C6/12*2*F11,IF(F10="押三",C6/12*3*F11,C11*F11))),0)</f>
        <v>0</v>
      </c>
      <c r="D10" s="1822" t="s">
        <v>3038</v>
      </c>
      <c r="E10" s="358" t="s">
        <v>1406</v>
      </c>
      <c r="F10" s="1367"/>
      <c r="G10" s="1849"/>
      <c r="H10" s="1292" t="s">
        <v>1036</v>
      </c>
      <c r="I10" s="1821" t="s">
        <v>1405</v>
      </c>
      <c r="J10" s="346">
        <f ca="1">ROUND(IF(M10="押一",J6/12*M11,IF(M10="押二",J6/12*2*M11,IF(M10="押三",J6/12*3*M11,J11*M11))),0)</f>
        <v>0</v>
      </c>
      <c r="K10" s="1833" t="s">
        <v>3040</v>
      </c>
      <c r="L10" s="358" t="s">
        <v>1406</v>
      </c>
      <c r="M10" s="1367"/>
    </row>
    <row r="11" spans="1:37" ht="18" customHeight="1">
      <c r="A11" s="353"/>
      <c r="B11" s="1823" t="s">
        <v>1598</v>
      </c>
      <c r="C11" s="1179"/>
      <c r="D11" s="352"/>
      <c r="E11" s="358" t="s">
        <v>1408</v>
      </c>
      <c r="F11" s="359">
        <f ca="1">'数据-取费表'!B39</f>
        <v>1.4999999999999999E-2</v>
      </c>
      <c r="G11" s="1849"/>
      <c r="H11" s="1300"/>
      <c r="I11" s="1823" t="s">
        <v>1599</v>
      </c>
      <c r="J11" s="1179"/>
      <c r="K11" s="746"/>
      <c r="L11" s="358" t="s">
        <v>1408</v>
      </c>
      <c r="M11" s="1057">
        <f ca="1">'数据-取费表'!B39</f>
        <v>1.4999999999999999E-2</v>
      </c>
    </row>
    <row r="12" spans="1:37" ht="18" customHeight="1" thickBot="1">
      <c r="A12" s="1334" t="s">
        <v>1072</v>
      </c>
      <c r="B12" s="1825" t="s">
        <v>1409</v>
      </c>
      <c r="C12" s="1335"/>
      <c r="D12" s="1336"/>
      <c r="E12" s="1341"/>
      <c r="F12" s="1337"/>
      <c r="G12" s="1849"/>
      <c r="H12" s="1334" t="s">
        <v>1072</v>
      </c>
      <c r="I12" s="1825" t="s">
        <v>1409</v>
      </c>
      <c r="J12" s="1335"/>
      <c r="K12" s="1349"/>
      <c r="L12" s="1341"/>
      <c r="M12" s="1350"/>
    </row>
    <row r="13" spans="1:37" ht="18" customHeight="1" thickTop="1">
      <c r="A13" s="1330">
        <v>2</v>
      </c>
      <c r="B13" s="1331" t="s">
        <v>1410</v>
      </c>
      <c r="C13" s="355">
        <f ca="1">ROUND(C29*F13,0)</f>
        <v>0</v>
      </c>
      <c r="D13" s="1332" t="s">
        <v>1411</v>
      </c>
      <c r="E13" s="1332" t="s">
        <v>1412</v>
      </c>
      <c r="F13" s="1333">
        <f ca="1">INDIRECT("'数据-取费表'!y"&amp;$G$1)</f>
        <v>0</v>
      </c>
      <c r="G13" s="1849"/>
      <c r="H13" s="1330">
        <v>2</v>
      </c>
      <c r="I13" s="1331" t="s">
        <v>1410</v>
      </c>
      <c r="J13" s="1291">
        <f ca="1">ROUND(J14*J15,0)</f>
        <v>0</v>
      </c>
      <c r="K13" s="1338" t="s">
        <v>1411</v>
      </c>
      <c r="L13" s="1850"/>
      <c r="M13" s="1851"/>
    </row>
    <row r="14" spans="1:37" ht="18" customHeight="1">
      <c r="A14" s="1202" t="s">
        <v>1031</v>
      </c>
      <c r="B14" s="347" t="s">
        <v>1413</v>
      </c>
      <c r="C14" s="363">
        <f ca="1">ROUND(INDIRECT("'数据-取费表'!l"&amp;$G$1)*F43+'数据-取费表'!L14*INDIRECT("'数据-取费表'!S"&amp;$G$1),0)</f>
        <v>0</v>
      </c>
      <c r="D14" s="1798" t="s">
        <v>1414</v>
      </c>
      <c r="E14" s="1792"/>
      <c r="F14" s="364"/>
      <c r="G14" s="1849"/>
      <c r="H14" s="1202" t="s">
        <v>1032</v>
      </c>
      <c r="I14" s="347" t="s">
        <v>1415</v>
      </c>
      <c r="J14" s="24">
        <f ca="1">C29</f>
        <v>0</v>
      </c>
      <c r="K14" s="15"/>
      <c r="L14" s="980"/>
      <c r="M14" s="981"/>
    </row>
    <row r="15" spans="1:37" s="1856" customFormat="1" ht="18" customHeight="1" thickBot="1">
      <c r="A15" s="1202" t="s">
        <v>1033</v>
      </c>
      <c r="B15" s="347" t="s">
        <v>1416</v>
      </c>
      <c r="C15" s="24">
        <f ca="1">ROUND(C14*F15,0)</f>
        <v>0</v>
      </c>
      <c r="D15" s="365" t="s">
        <v>1417</v>
      </c>
      <c r="E15" s="365" t="s">
        <v>1418</v>
      </c>
      <c r="F15" s="366">
        <f>'数据-取费表'!B33</f>
        <v>0.03</v>
      </c>
      <c r="G15" s="1852"/>
      <c r="H15" s="1340" t="s">
        <v>1036</v>
      </c>
      <c r="I15" s="1341" t="s">
        <v>1412</v>
      </c>
      <c r="J15" s="1350">
        <f ca="1">INDIRECT("'数据-取费表'!ad"&amp;$G$1)</f>
        <v>0</v>
      </c>
      <c r="K15" s="1351"/>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1385</v>
      </c>
      <c r="B16" s="347" t="s">
        <v>1419</v>
      </c>
      <c r="C16" s="24">
        <f ca="1">ROUND(INDIRECT("'数据-取费表'!l"&amp;$G$1)*F43*F16,0)</f>
        <v>0</v>
      </c>
      <c r="D16" s="347" t="s">
        <v>1417</v>
      </c>
      <c r="E16" s="347" t="s">
        <v>1418</v>
      </c>
      <c r="F16" s="367">
        <f ca="1">IF(INDIRECT("'数据-取费表'!c"&amp;$G$1)="住宅",'数据-取费表'!B34,0)</f>
        <v>0</v>
      </c>
      <c r="G16" s="1849"/>
      <c r="H16" s="1330" t="s">
        <v>1027</v>
      </c>
      <c r="I16" s="1331" t="s">
        <v>1420</v>
      </c>
      <c r="J16" s="355">
        <f ca="1">ROUND(J17+J22+J23+J24,0)</f>
        <v>0</v>
      </c>
      <c r="K16" s="1338" t="s">
        <v>1421</v>
      </c>
      <c r="L16" s="1339"/>
      <c r="M16" s="1295"/>
    </row>
    <row r="17" spans="1:37" s="1856" customFormat="1" ht="18" customHeight="1">
      <c r="A17" s="1202" t="s">
        <v>1386</v>
      </c>
      <c r="B17" s="347" t="s">
        <v>1422</v>
      </c>
      <c r="C17" s="24">
        <f ca="1">ROUND(F17*(F43+INDIRECT("'数据-取费表'!S"&amp;$G$1)),0)</f>
        <v>0</v>
      </c>
      <c r="D17" s="347" t="s">
        <v>1423</v>
      </c>
      <c r="E17" s="347" t="s">
        <v>1424</v>
      </c>
      <c r="F17" s="26">
        <f>'数据-取费表'!B35</f>
        <v>200</v>
      </c>
      <c r="G17" s="1852"/>
      <c r="H17" s="1202" t="s">
        <v>1032</v>
      </c>
      <c r="I17" s="347" t="s">
        <v>1425</v>
      </c>
      <c r="J17" s="24">
        <f ca="1">ROUND(IF(项目基本情况!B11="自然人",J5*M17,J18+J19+J20),0)</f>
        <v>0</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1387</v>
      </c>
      <c r="B18" s="347" t="s">
        <v>1428</v>
      </c>
      <c r="C18" s="24">
        <f ca="1">ROUND(C14*F18,0)</f>
        <v>0</v>
      </c>
      <c r="D18" s="347" t="s">
        <v>1417</v>
      </c>
      <c r="E18" s="347" t="s">
        <v>1418</v>
      </c>
      <c r="F18" s="367">
        <f>'数据-取费表'!B36</f>
        <v>1.4999999999999999E-2</v>
      </c>
      <c r="G18" s="1852"/>
      <c r="H18" s="1202" t="s">
        <v>1031</v>
      </c>
      <c r="I18" s="347" t="s">
        <v>1429</v>
      </c>
      <c r="J18" s="24">
        <f ca="1">ROUND(J5*M18/(1+'数据-取费表'!C42),0)</f>
        <v>0</v>
      </c>
      <c r="K18" s="1796"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1032</v>
      </c>
      <c r="B19" s="347" t="s">
        <v>1431</v>
      </c>
      <c r="C19" s="24">
        <f ca="1">SUM(C14:C18)</f>
        <v>0</v>
      </c>
      <c r="D19" s="140" t="s">
        <v>1432</v>
      </c>
      <c r="E19" s="1816"/>
      <c r="F19" s="26"/>
      <c r="G19" s="1849"/>
      <c r="H19" s="1202" t="s">
        <v>1033</v>
      </c>
      <c r="I19" s="347" t="s">
        <v>1433</v>
      </c>
      <c r="J19" s="24">
        <f ca="1">IF(K19="按租金收入计税",ROUND(J5*M19,0),ROUND(C29*M19*0.7,0))</f>
        <v>0</v>
      </c>
      <c r="K19" s="1826" t="s">
        <v>1434</v>
      </c>
      <c r="L19" s="347" t="s">
        <v>1418</v>
      </c>
      <c r="M19" s="367">
        <f>IF(K19="按租金收入计税",'数据-取费表'!B51,'数据-取费表'!B50)</f>
        <v>1.2E-2</v>
      </c>
    </row>
    <row r="20" spans="1:37" s="1856" customFormat="1" ht="18" customHeight="1">
      <c r="A20" s="1202" t="s">
        <v>1036</v>
      </c>
      <c r="B20" s="347" t="s">
        <v>1435</v>
      </c>
      <c r="C20" s="24">
        <f ca="1">ROUND(C19*F20,0)</f>
        <v>0</v>
      </c>
      <c r="D20" s="369" t="s">
        <v>1436</v>
      </c>
      <c r="E20" s="347" t="s">
        <v>1418</v>
      </c>
      <c r="F20" s="367">
        <f>'数据-取费表'!B37</f>
        <v>0.02</v>
      </c>
      <c r="G20" s="1852"/>
      <c r="H20" s="1202" t="s">
        <v>1385</v>
      </c>
      <c r="I20" s="164" t="s">
        <v>1437</v>
      </c>
      <c r="J20" s="25">
        <f ca="1">ROUND(M20*M21,0)</f>
        <v>0</v>
      </c>
      <c r="K20" s="370" t="s">
        <v>1438</v>
      </c>
      <c r="L20" s="347" t="s">
        <v>1439</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1072</v>
      </c>
      <c r="B21" s="347" t="s">
        <v>1440</v>
      </c>
      <c r="C21" s="24" t="s">
        <v>1</v>
      </c>
      <c r="D21" s="369" t="s">
        <v>1441</v>
      </c>
      <c r="E21" s="347" t="s">
        <v>1442</v>
      </c>
      <c r="F21" s="367">
        <f>'数据-取费表'!B38</f>
        <v>0.02</v>
      </c>
      <c r="G21" s="1852"/>
      <c r="H21" s="372"/>
      <c r="I21" s="356"/>
      <c r="J21" s="29"/>
      <c r="K21" s="373"/>
      <c r="L21" s="347" t="s">
        <v>1443</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1388</v>
      </c>
      <c r="B22" s="347" t="s">
        <v>1444</v>
      </c>
      <c r="C22" s="24"/>
      <c r="D22" s="140" t="str">
        <f>IF(F23&lt;=1,"单利计息。","复利计息。")&amp;"建造成本、管理费用、销售费用产生的利息。"</f>
        <v>复利计息。建造成本、管理费用、销售费用产生的利息。</v>
      </c>
      <c r="E22" s="1816"/>
      <c r="F22" s="26"/>
      <c r="G22" s="1849"/>
      <c r="H22" s="1202" t="s">
        <v>1036</v>
      </c>
      <c r="I22" s="347" t="s">
        <v>1445</v>
      </c>
      <c r="J22" s="24">
        <f ca="1">ROUND(J14*M22,0)</f>
        <v>0</v>
      </c>
      <c r="K22" s="1796" t="s">
        <v>1446</v>
      </c>
      <c r="L22" s="347" t="s">
        <v>1418</v>
      </c>
      <c r="M22" s="374">
        <f ca="1">INDIRECT("'数据-取费表'!Ak"&amp;$G$1)</f>
        <v>0</v>
      </c>
    </row>
    <row r="23" spans="1:37" s="1856" customFormat="1" ht="18" customHeight="1">
      <c r="A23" s="1202"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2"/>
      <c r="H23" s="1202" t="s">
        <v>1072</v>
      </c>
      <c r="I23" s="347" t="s">
        <v>1449</v>
      </c>
      <c r="J23" s="24">
        <f ca="1">ROUND(J13*M23,0)</f>
        <v>0</v>
      </c>
      <c r="K23" s="1796" t="s">
        <v>1450</v>
      </c>
      <c r="L23" s="347" t="s">
        <v>1451</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40" t="s">
        <v>1389</v>
      </c>
      <c r="I24" s="1341" t="s">
        <v>1435</v>
      </c>
      <c r="J24" s="1342">
        <f ca="1">ROUND(J5*M24,0)</f>
        <v>0</v>
      </c>
      <c r="K24" s="1343" t="s">
        <v>1455</v>
      </c>
      <c r="L24" s="1341" t="s">
        <v>1451</v>
      </c>
      <c r="M24" s="1337">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2" t="s">
        <v>1456</v>
      </c>
      <c r="B25" s="347" t="s">
        <v>1457</v>
      </c>
      <c r="C25" s="24"/>
      <c r="D25" s="140" t="s">
        <v>1458</v>
      </c>
      <c r="E25" s="1816"/>
      <c r="F25" s="26"/>
      <c r="G25" s="1849"/>
      <c r="H25" s="1330" t="s">
        <v>1028</v>
      </c>
      <c r="I25" s="1345" t="s">
        <v>1459</v>
      </c>
      <c r="J25" s="355">
        <f ca="1">J5-J16</f>
        <v>0</v>
      </c>
      <c r="K25" s="1346" t="s">
        <v>1460</v>
      </c>
      <c r="L25" s="1347"/>
      <c r="M25" s="1348"/>
    </row>
    <row r="26" spans="1:37" ht="18" customHeight="1">
      <c r="A26" s="1202" t="s">
        <v>1031</v>
      </c>
      <c r="B26" s="347" t="s">
        <v>1461</v>
      </c>
      <c r="C26" s="24">
        <f ca="1">ROUND((C19+C20)*F26,0)</f>
        <v>0</v>
      </c>
      <c r="D26" s="369" t="s">
        <v>1462</v>
      </c>
      <c r="E26" s="358" t="s">
        <v>1463</v>
      </c>
      <c r="F26" s="357">
        <f ca="1">INDIRECT("'数据-取费表'!q"&amp;$G$1)</f>
        <v>0</v>
      </c>
      <c r="G26" s="1849"/>
      <c r="H26" s="344" t="s">
        <v>1029</v>
      </c>
      <c r="I26" s="345" t="s">
        <v>1464</v>
      </c>
      <c r="J26" s="346">
        <f ca="1">IF(J5&lt;&gt;0,ROUND(J25*(1-((1+M28)/(1+M26))^M27)/(M26-M28),0),0)</f>
        <v>0</v>
      </c>
      <c r="K26" s="370" t="s">
        <v>1465</v>
      </c>
      <c r="L26" s="347" t="s">
        <v>1466</v>
      </c>
      <c r="M26" s="357">
        <f ca="1">INDIRECT("'数据-取费表'!I"&amp;$G$1)</f>
        <v>0</v>
      </c>
    </row>
    <row r="27" spans="1:37" ht="18" customHeight="1">
      <c r="A27" s="1202" t="s">
        <v>1033</v>
      </c>
      <c r="B27" s="347" t="s">
        <v>1467</v>
      </c>
      <c r="C27" s="24">
        <f ca="1">ROUND(F21*F26,4)</f>
        <v>0</v>
      </c>
      <c r="D27" s="369" t="s">
        <v>1468</v>
      </c>
      <c r="E27" s="365"/>
      <c r="F27" s="366"/>
      <c r="G27" s="1849"/>
      <c r="H27" s="349"/>
      <c r="I27" s="350"/>
      <c r="J27" s="351"/>
      <c r="K27" s="378" t="s">
        <v>1469</v>
      </c>
      <c r="L27" s="347" t="s">
        <v>1470</v>
      </c>
      <c r="M27" s="379">
        <f ca="1">INDIRECT("'数据-取费表'!ag"&amp;$G$1)</f>
        <v>0</v>
      </c>
    </row>
    <row r="28" spans="1:37" s="1856" customFormat="1" ht="18" customHeight="1">
      <c r="A28" s="1202" t="s">
        <v>1034</v>
      </c>
      <c r="B28" s="347" t="s">
        <v>1471</v>
      </c>
      <c r="C28" s="24">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40" t="s">
        <v>1035</v>
      </c>
      <c r="B29" s="1341" t="s">
        <v>1474</v>
      </c>
      <c r="C29" s="1342">
        <f ca="1">ROUND((C19+C20+C23+C26)/(1-F21-C24-C27-C28),0)</f>
        <v>0</v>
      </c>
      <c r="D29" s="1343"/>
      <c r="E29" s="1341"/>
      <c r="F29" s="1344"/>
      <c r="G29" s="1852"/>
      <c r="H29" s="380" t="s">
        <v>1030</v>
      </c>
      <c r="I29" s="381" t="s">
        <v>1475</v>
      </c>
      <c r="J29" s="382">
        <f ca="1">ROUND(J26/(1+F40)^F41,0)</f>
        <v>0</v>
      </c>
      <c r="K29" s="383" t="s">
        <v>1476</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30" t="s">
        <v>1027</v>
      </c>
      <c r="B30" s="1331" t="s">
        <v>1420</v>
      </c>
      <c r="C30" s="355">
        <f ca="1">ROUND(C31+C36+C37+C38,0)</f>
        <v>0</v>
      </c>
      <c r="D30" s="1338" t="s">
        <v>1421</v>
      </c>
      <c r="E30" s="1339"/>
      <c r="F30" s="1295"/>
      <c r="G30" s="1849"/>
      <c r="H30" s="743"/>
      <c r="I30" s="744"/>
      <c r="J30" s="745"/>
      <c r="K30" s="746"/>
      <c r="L30" s="747"/>
      <c r="M30" s="748"/>
    </row>
    <row r="31" spans="1:37" ht="18" customHeight="1">
      <c r="A31" s="1202" t="s">
        <v>1032</v>
      </c>
      <c r="B31" s="347" t="s">
        <v>1425</v>
      </c>
      <c r="C31" s="24">
        <f ca="1">ROUND(IF(项目基本情况!B11="自然人",C5*F31,C32+C33+C34),0)</f>
        <v>0</v>
      </c>
      <c r="D31" s="1798" t="s">
        <v>1426</v>
      </c>
      <c r="E31" s="1796" t="s">
        <v>1477</v>
      </c>
      <c r="F31" s="368" t="str">
        <f ca="1">IF(项目基本情况!B11="企业","",IF(INDIRECT("'数据-取费表'!c"&amp;$G$1)="住宅",5%,IF(F6*F7*F8/12/(1+'数据-取费表'!C42)&gt;20000,12%,7%)))</f>
        <v/>
      </c>
      <c r="G31" s="1849"/>
      <c r="H31" s="743"/>
      <c r="I31" s="744"/>
      <c r="J31" s="745"/>
      <c r="K31" s="746"/>
      <c r="L31" s="747"/>
      <c r="M31" s="748"/>
    </row>
    <row r="32" spans="1:37" ht="18" customHeight="1">
      <c r="A32" s="1202" t="s">
        <v>1031</v>
      </c>
      <c r="B32" s="347" t="s">
        <v>1429</v>
      </c>
      <c r="C32" s="24">
        <f ca="1">IF(项目基本情况!B11="自然人","——",ROUND(C5*F32/(1+'数据-取费表'!C42),0))</f>
        <v>0</v>
      </c>
      <c r="D32" s="1796" t="s">
        <v>1430</v>
      </c>
      <c r="E32" s="347" t="s">
        <v>1418</v>
      </c>
      <c r="F32" s="377">
        <f>'数据-取费表'!B41</f>
        <v>5.5000000000000007E-2</v>
      </c>
      <c r="G32" s="1849"/>
      <c r="H32" s="743"/>
      <c r="I32" s="744"/>
      <c r="J32" s="745"/>
      <c r="K32" s="746"/>
      <c r="L32" s="747"/>
      <c r="M32" s="748"/>
    </row>
    <row r="33" spans="1:18" ht="18" customHeight="1">
      <c r="A33" s="1202" t="s">
        <v>1033</v>
      </c>
      <c r="B33" s="347" t="s">
        <v>1433</v>
      </c>
      <c r="C33" s="24">
        <f ca="1">IF(项目基本情况!B11="自然人","——",IF(D33="按租金收入计税",ROUND(C5*F33,0),IF(D33="按房产原值计税",ROUND(C29*F33*0.7,0),INDIRECT("'数据-取费表'!Aj"&amp;$G$1))))</f>
        <v>0</v>
      </c>
      <c r="D33" s="1826" t="s">
        <v>1434</v>
      </c>
      <c r="E33" s="347" t="s">
        <v>1418</v>
      </c>
      <c r="F33" s="367">
        <f>IF(D33="按票据","——",IF(D33="按租金收入计税",'数据-取费表'!B51,'数据-取费表'!B50))</f>
        <v>1.2E-2</v>
      </c>
      <c r="G33" s="1849"/>
      <c r="H33" s="1857"/>
      <c r="I33" s="1858"/>
      <c r="J33" s="1859"/>
      <c r="K33" s="1860"/>
      <c r="L33" s="1857"/>
      <c r="M33" s="1857"/>
    </row>
    <row r="34" spans="1:18" ht="18" customHeight="1">
      <c r="A34" s="1292" t="s">
        <v>1385</v>
      </c>
      <c r="B34" s="164" t="s">
        <v>1437</v>
      </c>
      <c r="C34" s="25">
        <f ca="1">IF(项目基本情况!B11="自然人","——",ROUND(F34*F35,))</f>
        <v>0</v>
      </c>
      <c r="D34" s="370" t="s">
        <v>1438</v>
      </c>
      <c r="E34" s="347" t="s">
        <v>1439</v>
      </c>
      <c r="F34" s="371">
        <f>'数据-取费表'!B52</f>
        <v>3</v>
      </c>
      <c r="G34" s="1849"/>
      <c r="H34" s="743"/>
      <c r="I34" s="1858"/>
      <c r="J34" s="1859"/>
      <c r="K34" s="1861"/>
      <c r="L34" s="1862"/>
      <c r="M34" s="1862"/>
    </row>
    <row r="35" spans="1:18" ht="18" customHeight="1">
      <c r="A35" s="1354"/>
      <c r="B35" s="1352"/>
      <c r="C35" s="29"/>
      <c r="D35" s="373"/>
      <c r="E35" s="347" t="s">
        <v>1443</v>
      </c>
      <c r="F35" s="348">
        <f ca="1">INDIRECT("'数据-取费表'!r"&amp;$G$1)</f>
        <v>0</v>
      </c>
      <c r="G35" s="1849"/>
      <c r="H35" s="743"/>
      <c r="I35" s="1858"/>
      <c r="J35" s="1859"/>
      <c r="K35" s="1860"/>
      <c r="L35" s="1857"/>
      <c r="M35" s="1857"/>
    </row>
    <row r="36" spans="1:18" ht="18" customHeight="1">
      <c r="A36" s="1353" t="s">
        <v>1036</v>
      </c>
      <c r="B36" s="347" t="s">
        <v>1445</v>
      </c>
      <c r="C36" s="24">
        <f ca="1">ROUND(C29*F36,0)</f>
        <v>0</v>
      </c>
      <c r="D36" s="1796" t="s">
        <v>1478</v>
      </c>
      <c r="E36" s="347" t="s">
        <v>1418</v>
      </c>
      <c r="F36" s="374">
        <f ca="1">INDIRECT("'数据-取费表'!Ak"&amp;$G$1)</f>
        <v>0</v>
      </c>
      <c r="G36" s="1849"/>
      <c r="H36" s="1857"/>
      <c r="I36" s="1858"/>
      <c r="J36" s="1859"/>
      <c r="K36" s="749"/>
      <c r="L36" s="1857"/>
      <c r="M36" s="1857"/>
    </row>
    <row r="37" spans="1:18" ht="18" customHeight="1">
      <c r="A37" s="1202" t="s">
        <v>1072</v>
      </c>
      <c r="B37" s="347" t="s">
        <v>1449</v>
      </c>
      <c r="C37" s="24">
        <f ca="1">ROUND(C13*F37,0)</f>
        <v>0</v>
      </c>
      <c r="D37" s="1796" t="s">
        <v>1450</v>
      </c>
      <c r="E37" s="347" t="s">
        <v>1451</v>
      </c>
      <c r="F37" s="376">
        <f ca="1">INDIRECT("'数据-取费表'!Al"&amp;$G$1)</f>
        <v>0</v>
      </c>
      <c r="G37" s="1849"/>
      <c r="H37" s="1857"/>
      <c r="I37" s="1858"/>
      <c r="J37" s="1859"/>
      <c r="K37" s="749"/>
      <c r="L37" s="1857"/>
      <c r="M37" s="1857"/>
    </row>
    <row r="38" spans="1:18" ht="18" customHeight="1" thickBot="1">
      <c r="A38" s="1340" t="s">
        <v>1389</v>
      </c>
      <c r="B38" s="1341" t="s">
        <v>1435</v>
      </c>
      <c r="C38" s="1342">
        <f ca="1">ROUND(C5*F38,1)</f>
        <v>0</v>
      </c>
      <c r="D38" s="1343" t="s">
        <v>1455</v>
      </c>
      <c r="E38" s="1341" t="s">
        <v>1451</v>
      </c>
      <c r="F38" s="1337">
        <f ca="1">INDIRECT("'数据-取费表'!Am"&amp;$G$1)</f>
        <v>0</v>
      </c>
      <c r="G38" s="1849"/>
      <c r="H38" s="1857"/>
      <c r="I38" s="1858"/>
      <c r="J38" s="1859"/>
      <c r="K38" s="1863"/>
      <c r="L38" s="1857"/>
      <c r="M38" s="1857"/>
    </row>
    <row r="39" spans="1:18" ht="24.6" customHeight="1" thickTop="1">
      <c r="A39" s="1330" t="s">
        <v>1028</v>
      </c>
      <c r="B39" s="1345" t="s">
        <v>1479</v>
      </c>
      <c r="C39" s="355">
        <f ca="1">C5-C30</f>
        <v>0</v>
      </c>
      <c r="D39" s="1346" t="s">
        <v>1480</v>
      </c>
      <c r="E39" s="1347"/>
      <c r="F39" s="1348"/>
      <c r="G39" s="1849"/>
      <c r="H39" s="1857"/>
      <c r="I39" s="1858"/>
      <c r="J39" s="1859"/>
      <c r="K39" s="1863"/>
      <c r="L39" s="1857"/>
      <c r="M39" s="1857"/>
    </row>
    <row r="40" spans="1:18" ht="18" customHeight="1">
      <c r="A40" s="344" t="s">
        <v>1029</v>
      </c>
      <c r="B40" s="345" t="s">
        <v>1481</v>
      </c>
      <c r="C40" s="346" t="e">
        <f ca="1">ROUND(C39*(1-((1+F42)/(1+F40))^F41)/(F40-F42),0)</f>
        <v>#DIV/0!</v>
      </c>
      <c r="D40" s="370" t="s">
        <v>1465</v>
      </c>
      <c r="E40" s="347" t="s">
        <v>1466</v>
      </c>
      <c r="F40" s="357">
        <f ca="1">INDIRECT("'数据-取费表'!I"&amp;$G$1)</f>
        <v>0</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0</v>
      </c>
      <c r="G41" s="1849"/>
      <c r="H41" s="730"/>
      <c r="I41" s="1858"/>
      <c r="J41" s="1859"/>
      <c r="K41" s="749"/>
      <c r="L41" s="730"/>
      <c r="M41" s="730"/>
    </row>
    <row r="42" spans="1:18" ht="18" customHeight="1">
      <c r="A42" s="353"/>
      <c r="B42" s="354"/>
      <c r="C42" s="355"/>
      <c r="D42" s="373"/>
      <c r="E42" s="347" t="s">
        <v>1473</v>
      </c>
      <c r="F42" s="357">
        <f ca="1">INDIRECT("'数据-取费表'!v"&amp;$G$1)</f>
        <v>0</v>
      </c>
      <c r="G42" s="1849"/>
      <c r="H42" s="730"/>
      <c r="I42" s="1858"/>
      <c r="J42" s="1859"/>
      <c r="K42" s="749"/>
      <c r="L42" s="730"/>
      <c r="M42" s="730"/>
    </row>
    <row r="43" spans="1:18" ht="18" customHeight="1" thickBot="1">
      <c r="A43" s="380" t="s">
        <v>1030</v>
      </c>
      <c r="B43" s="381" t="s">
        <v>1483</v>
      </c>
      <c r="C43" s="382" t="e">
        <f ca="1">ROUND(C40/F43,0)</f>
        <v>#DIV/0!</v>
      </c>
      <c r="D43" s="383" t="s">
        <v>1484</v>
      </c>
      <c r="E43" s="384" t="s">
        <v>1485</v>
      </c>
      <c r="F43" s="385">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1600</v>
      </c>
      <c r="E45" s="1864"/>
      <c r="F45" s="1864"/>
      <c r="O45" s="1867" t="s">
        <v>1515</v>
      </c>
      <c r="P45" s="1837"/>
      <c r="Q45" s="1837"/>
      <c r="R45" s="1837"/>
    </row>
    <row r="46" spans="1:18" s="1840" customFormat="1" ht="13.5" thickBot="1">
      <c r="A46" s="1868" t="s">
        <v>1516</v>
      </c>
      <c r="C46" s="1869" t="e">
        <f ca="1">ROUND(C45/10000,0)</f>
        <v>#DIV/0!</v>
      </c>
      <c r="D46" s="1870" t="str">
        <f>C2</f>
        <v>万元</v>
      </c>
      <c r="I46" s="1871" t="s">
        <v>1517</v>
      </c>
      <c r="J46" s="1872"/>
      <c r="K46" s="1873"/>
      <c r="L46" s="1874" t="e">
        <f ca="1">IF(M47="住宅",0,IF(L48&gt;J51,L60,J60))</f>
        <v>#DIV/0!</v>
      </c>
      <c r="O46" s="1875" t="s">
        <v>1518</v>
      </c>
      <c r="P46" s="1876" t="s">
        <v>1519</v>
      </c>
      <c r="Q46" s="1877" t="s">
        <v>1520</v>
      </c>
      <c r="R46" s="1877" t="s">
        <v>1521</v>
      </c>
    </row>
    <row r="47" spans="1:18" s="1840" customFormat="1" ht="13.5" thickBot="1">
      <c r="A47" s="1166" t="s">
        <v>1392</v>
      </c>
      <c r="B47" s="1198" t="s">
        <v>1393</v>
      </c>
      <c r="C47" s="1198" t="s">
        <v>1394</v>
      </c>
      <c r="D47" s="1198" t="s">
        <v>1395</v>
      </c>
      <c r="E47" s="1280" t="s">
        <v>1396</v>
      </c>
      <c r="F47" s="1281"/>
      <c r="G47" s="790"/>
      <c r="I47" s="1878" t="s">
        <v>1522</v>
      </c>
      <c r="J47" s="1879"/>
      <c r="K47" s="1880" t="s">
        <v>1523</v>
      </c>
      <c r="L47" s="1881">
        <f ca="1">INDIRECT("'数据-取费表'!d"&amp;$G$1)</f>
        <v>0</v>
      </c>
      <c r="M47" s="1836" t="str">
        <f>IF(ISNUMBER(FIND("住宅",C1)),"住宅","非住宅")</f>
        <v>非住宅</v>
      </c>
      <c r="O47" s="1882" t="s">
        <v>1037</v>
      </c>
      <c r="P47" s="1883" t="s">
        <v>1524</v>
      </c>
      <c r="Q47" s="1884" t="e">
        <f ca="1">C40+J29</f>
        <v>#DIV/0!</v>
      </c>
      <c r="R47" s="1884" t="s">
        <v>1525</v>
      </c>
    </row>
    <row r="48" spans="1:18" s="1840" customFormat="1" ht="28.5" thickBot="1">
      <c r="A48" s="1361" t="s">
        <v>1132</v>
      </c>
      <c r="B48" s="345" t="s">
        <v>1397</v>
      </c>
      <c r="C48" s="1815">
        <f ca="1">C49+C53+C55</f>
        <v>0</v>
      </c>
      <c r="D48" s="1363"/>
      <c r="E48" s="1364"/>
      <c r="F48" s="1182"/>
      <c r="G48" s="790"/>
      <c r="H48" s="791"/>
      <c r="I48" s="1885" t="s">
        <v>1526</v>
      </c>
      <c r="J48" s="1886"/>
      <c r="K48" s="1887" t="s">
        <v>1527</v>
      </c>
      <c r="L48" s="1888">
        <f ca="1">INDIRECT("'数据-取费表'!f"&amp;$G$1)</f>
        <v>0</v>
      </c>
      <c r="O48" s="1882" t="s">
        <v>1038</v>
      </c>
      <c r="P48" s="1883" t="s">
        <v>1528</v>
      </c>
      <c r="Q48" s="1884" t="e">
        <f ca="1">J60</f>
        <v>#DIV/0!</v>
      </c>
      <c r="R48" s="1884" t="s">
        <v>1529</v>
      </c>
    </row>
    <row r="49" spans="1:18" s="1840" customFormat="1" ht="13.5" thickBot="1">
      <c r="A49" s="1195" t="s">
        <v>1133</v>
      </c>
      <c r="B49" s="1827" t="s">
        <v>1486</v>
      </c>
      <c r="C49" s="1365">
        <f ca="1">ROUND(F49*F51*F50*(1-F52),0)</f>
        <v>0</v>
      </c>
      <c r="D49" s="1277" t="s">
        <v>1400</v>
      </c>
      <c r="E49" s="1828" t="s">
        <v>1487</v>
      </c>
      <c r="F49" s="1282"/>
      <c r="G49" s="1889"/>
      <c r="H49" s="791"/>
      <c r="I49" s="1885" t="s">
        <v>1530</v>
      </c>
      <c r="J49" s="1890"/>
      <c r="K49" s="1887" t="s">
        <v>1531</v>
      </c>
      <c r="L49" s="1891"/>
      <c r="O49" s="1892" t="s">
        <v>1039</v>
      </c>
      <c r="P49" s="1883" t="s">
        <v>1532</v>
      </c>
      <c r="Q49" s="1884">
        <f ca="1">C29</f>
        <v>0</v>
      </c>
      <c r="R49" s="1884" t="s">
        <v>1525</v>
      </c>
    </row>
    <row r="50" spans="1:18" s="1840" customFormat="1" ht="13.5" thickBot="1">
      <c r="A50" s="1196"/>
      <c r="B50" s="1199"/>
      <c r="C50" s="1200"/>
      <c r="D50" s="1173"/>
      <c r="E50" s="1278" t="s">
        <v>1402</v>
      </c>
      <c r="F50" s="1279">
        <f ca="1">F7</f>
        <v>0</v>
      </c>
      <c r="H50" s="791"/>
      <c r="I50" s="1885" t="s">
        <v>1533</v>
      </c>
      <c r="J50" s="1893">
        <f>SUMPRODUCT((I63:I65=J47)*(J62:L62=J48)*(J63:L65))</f>
        <v>0</v>
      </c>
      <c r="K50" s="1887" t="s">
        <v>1534</v>
      </c>
      <c r="L50" s="1891"/>
      <c r="M50" s="1894"/>
      <c r="O50" s="1892" t="s">
        <v>1040</v>
      </c>
      <c r="P50" s="1883" t="s">
        <v>1535</v>
      </c>
      <c r="Q50" s="1895" t="e">
        <f ca="1">J58</f>
        <v>#DIV/0!</v>
      </c>
      <c r="R50" s="1884"/>
    </row>
    <row r="51" spans="1:18" s="1840" customFormat="1" ht="13.5" thickBot="1">
      <c r="A51" s="1197"/>
      <c r="B51" s="1199"/>
      <c r="C51" s="1200"/>
      <c r="D51" s="1173"/>
      <c r="E51" s="1201" t="s">
        <v>1403</v>
      </c>
      <c r="F51" s="348">
        <f ca="1">F8</f>
        <v>0</v>
      </c>
      <c r="I51" s="1896" t="s">
        <v>1536</v>
      </c>
      <c r="J51" s="1897">
        <f>IF(J49="",J50,J49+J50-YEAR('数据-取费表'!B2))</f>
        <v>0</v>
      </c>
      <c r="K51" s="1898" t="s">
        <v>1537</v>
      </c>
      <c r="L51" s="1899">
        <f ca="1">ROUND(-PV(INDIRECT("'数据-取费表'!h"&amp;$G$1),L48,(C39-C13*C76),0),0)</f>
        <v>0</v>
      </c>
      <c r="M51" s="1900"/>
      <c r="O51" s="1892" t="s">
        <v>1041</v>
      </c>
      <c r="P51" s="1883" t="s">
        <v>1538</v>
      </c>
      <c r="Q51" s="1895">
        <f>J52</f>
        <v>0</v>
      </c>
      <c r="R51" s="1884"/>
    </row>
    <row r="52" spans="1:18" s="1840" customFormat="1" ht="13.5" thickBot="1">
      <c r="A52" s="1197"/>
      <c r="B52" s="1199"/>
      <c r="C52" s="1200"/>
      <c r="D52" s="1173"/>
      <c r="E52" s="1201" t="s">
        <v>1404</v>
      </c>
      <c r="F52" s="1276"/>
      <c r="I52" s="1901" t="s">
        <v>1539</v>
      </c>
      <c r="J52" s="1902"/>
      <c r="K52" s="1901" t="s">
        <v>1540</v>
      </c>
      <c r="L52" s="1902"/>
      <c r="O52" s="1892" t="s">
        <v>1042</v>
      </c>
      <c r="P52" s="1883" t="s">
        <v>1541</v>
      </c>
      <c r="Q52" s="1884" t="b">
        <f>J53</f>
        <v>0</v>
      </c>
      <c r="R52" s="1884" t="s">
        <v>1542</v>
      </c>
    </row>
    <row r="53" spans="1:18" s="1840" customFormat="1" ht="30.75" customHeight="1" thickBot="1">
      <c r="A53" s="1362" t="s">
        <v>1134</v>
      </c>
      <c r="B53" s="369" t="s">
        <v>1405</v>
      </c>
      <c r="C53" s="361">
        <f ca="1">ROUND(IF(F53="押一",C49/12*F11,IF(F53="押二",C49/12*2*F11,IF(F53="押三",C49/12*3*F11,C54*F11))),0)</f>
        <v>0</v>
      </c>
      <c r="D53" s="1822" t="s">
        <v>3041</v>
      </c>
      <c r="E53" s="358" t="s">
        <v>1406</v>
      </c>
      <c r="F53" s="1367"/>
      <c r="I53" s="1903" t="s">
        <v>1543</v>
      </c>
      <c r="J53" s="1904" t="b">
        <f>IF(M47="住宅",IF(D1="——",MAX(J51,L48),IF(D1="在建（套用方法）",MAX(J51,L48-'数据-取费表'!B24),MAX(J51,L48-'数据-取费表'!B20))),IF(D1="——",MIN(J51,L48),IF(D1="在建（套用方法）",MIN(J51,L48-'数据-取费表'!B24),IF(D1="土地（套用方法）",MIN(J51,L48-'数据-取费表'!B20)))))</f>
        <v>0</v>
      </c>
      <c r="K53" s="3278" t="s">
        <v>1544</v>
      </c>
      <c r="L53" s="3279"/>
      <c r="O53" s="1882" t="s">
        <v>1043</v>
      </c>
      <c r="P53" s="1883" t="s">
        <v>1545</v>
      </c>
      <c r="Q53" s="1884" t="e">
        <f ca="1">Q47+Q48</f>
        <v>#DIV/0!</v>
      </c>
      <c r="R53" s="1884" t="s">
        <v>1044</v>
      </c>
    </row>
    <row r="54" spans="1:18" s="1840" customFormat="1" ht="13.5" thickBot="1">
      <c r="A54" s="1195"/>
      <c r="B54" s="1939" t="s">
        <v>1599</v>
      </c>
      <c r="C54" s="1179"/>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1546</v>
      </c>
      <c r="P54" s="1837"/>
      <c r="Q54" s="1837"/>
      <c r="R54" s="1837"/>
    </row>
    <row r="55" spans="1:18" s="1840" customFormat="1" ht="13.5" thickBot="1">
      <c r="A55" s="1334" t="s">
        <v>1072</v>
      </c>
      <c r="B55" s="1825" t="s">
        <v>1409</v>
      </c>
      <c r="C55" s="1335"/>
      <c r="D55" s="1822"/>
      <c r="E55" s="1830"/>
      <c r="F55" s="1905"/>
      <c r="I55" s="1908" t="s">
        <v>1547</v>
      </c>
      <c r="J55" s="1909" t="e">
        <f ca="1">ROUND(IF(J47="钢混",J57/J50,1-(1-2%)*(J50-J57)/J50),3)</f>
        <v>#DIV/0!</v>
      </c>
      <c r="K55" s="1910" t="s">
        <v>1548</v>
      </c>
      <c r="L55" s="1911"/>
      <c r="O55" s="1875" t="s">
        <v>1518</v>
      </c>
      <c r="P55" s="1876" t="s">
        <v>1519</v>
      </c>
      <c r="Q55" s="1877" t="s">
        <v>1520</v>
      </c>
      <c r="R55" s="1877" t="s">
        <v>1521</v>
      </c>
    </row>
    <row r="56" spans="1:18" s="1840" customFormat="1" ht="36" customHeight="1" thickTop="1" thickBot="1">
      <c r="A56" s="1177">
        <v>2</v>
      </c>
      <c r="B56" s="1178" t="s">
        <v>1410</v>
      </c>
      <c r="C56" s="276">
        <f ca="1">C13</f>
        <v>0</v>
      </c>
      <c r="D56" s="1912"/>
      <c r="E56" s="1913"/>
      <c r="F56" s="1905"/>
      <c r="I56" s="1914" t="s">
        <v>1550</v>
      </c>
      <c r="J56" s="1915"/>
      <c r="K56" s="1885" t="s">
        <v>1551</v>
      </c>
      <c r="L56" s="1888">
        <f ca="1">IF(L48&lt;J51,"——",L48-J51)</f>
        <v>0</v>
      </c>
      <c r="O56" s="1882" t="s">
        <v>1037</v>
      </c>
      <c r="P56" s="1883" t="s">
        <v>1524</v>
      </c>
      <c r="Q56" s="1884" t="e">
        <f ca="1">C40+J29</f>
        <v>#DIV/0!</v>
      </c>
      <c r="R56" s="1884" t="s">
        <v>1525</v>
      </c>
    </row>
    <row r="57" spans="1:18" s="1840" customFormat="1" ht="24.75" thickBot="1">
      <c r="A57" s="1916"/>
      <c r="B57" s="1170" t="s">
        <v>1474</v>
      </c>
      <c r="C57" s="282">
        <f ca="1">C29</f>
        <v>0</v>
      </c>
      <c r="D57" s="1917"/>
      <c r="E57" s="1918"/>
      <c r="F57" s="1919"/>
      <c r="I57" s="1920" t="s">
        <v>1552</v>
      </c>
      <c r="J57" s="1921">
        <f ca="1">IF(OR(M47="住宅",J51&lt;L48,J56="是"),"——",J51-L48)</f>
        <v>0</v>
      </c>
      <c r="K57" s="1885" t="s">
        <v>1601</v>
      </c>
      <c r="L57" s="1888">
        <f ca="1">IF(L48&lt;J51,"——",IF(L55="比较法",L49,IF(L55="基准地价",L50,L51)))</f>
        <v>0</v>
      </c>
      <c r="O57" s="1882" t="s">
        <v>1038</v>
      </c>
      <c r="P57" s="1883" t="s">
        <v>1602</v>
      </c>
      <c r="Q57" s="1884" t="e">
        <f ca="1">L60</f>
        <v>#DIV/0!</v>
      </c>
      <c r="R57" s="1884" t="s">
        <v>1603</v>
      </c>
    </row>
    <row r="58" spans="1:18" s="1840" customFormat="1" ht="24.75" thickBot="1">
      <c r="A58" s="360" t="s">
        <v>1027</v>
      </c>
      <c r="B58" s="1178" t="s">
        <v>1420</v>
      </c>
      <c r="C58" s="361">
        <f ca="1">ROUND(C59+C64+C65+C66,0)</f>
        <v>0</v>
      </c>
      <c r="D58" s="1180" t="s">
        <v>1421</v>
      </c>
      <c r="E58" s="1181"/>
      <c r="F58" s="1182"/>
      <c r="I58" s="1920" t="s">
        <v>1556</v>
      </c>
      <c r="J58" s="1922" t="e">
        <f ca="1">IF(J55&lt;0.4,0.4,J55)</f>
        <v>#DIV/0!</v>
      </c>
      <c r="K58" s="1898" t="s">
        <v>1604</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2" t="s">
        <v>1032</v>
      </c>
      <c r="B59" s="1170" t="s">
        <v>1425</v>
      </c>
      <c r="C59" s="24">
        <f ca="1">ROUND(IF(项目基本情况!B11="自然人",C48*F59,C60+C61+C62),0)</f>
        <v>0</v>
      </c>
      <c r="D59" s="1183" t="s">
        <v>1426</v>
      </c>
      <c r="E59" s="1184" t="s">
        <v>1427</v>
      </c>
      <c r="F59" s="368" t="str">
        <f ca="1">IF(项目基本情况!B11="企业","",IF(INDIRECT("'数据-取费表'!c"&amp;$G$1)="住宅",5%,IF(F49*F50*F51/12/(1+'数据-取费表'!C42)&gt;20000,12%,7%)))</f>
        <v/>
      </c>
      <c r="I59" s="1920" t="s">
        <v>1559</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1560</v>
      </c>
      <c r="Q59" s="1895">
        <f>L52</f>
        <v>0</v>
      </c>
      <c r="R59" s="1884"/>
    </row>
    <row r="60" spans="1:18" s="1840" customFormat="1" ht="16.5" thickBot="1">
      <c r="A60" s="1202" t="s">
        <v>1031</v>
      </c>
      <c r="B60" s="1170" t="s">
        <v>1429</v>
      </c>
      <c r="C60" s="24">
        <f ca="1">IF(项目基本情况!B11="自然人","——",ROUND(C48*F60/(1+'数据-取费表'!C42),0))</f>
        <v>0</v>
      </c>
      <c r="D60" s="1184" t="s">
        <v>1430</v>
      </c>
      <c r="E60" s="1170" t="s">
        <v>1418</v>
      </c>
      <c r="F60" s="377">
        <f t="shared" ref="F60:F66" si="0">F32</f>
        <v>5.5000000000000007E-2</v>
      </c>
      <c r="I60" s="1923" t="s">
        <v>1561</v>
      </c>
      <c r="J60" s="1924" t="e">
        <f ca="1">IF(OR(M47="住宅",J51&lt;L48,J56="是"),"0",ROUND(J59/(1+J52)^J53,0))</f>
        <v>#DIV/0!</v>
      </c>
      <c r="K60" s="1925" t="s">
        <v>1562</v>
      </c>
      <c r="L60" s="1924" t="e">
        <f ca="1">IF(OR(M47="住宅",L48&lt;J51),0,ROUND(L57*(L58/L59-1),0))</f>
        <v>#DIV/0!</v>
      </c>
      <c r="O60" s="1892" t="s">
        <v>1041</v>
      </c>
      <c r="P60" s="1883" t="s">
        <v>1563</v>
      </c>
      <c r="Q60" s="1884" t="e">
        <f ca="1">L58</f>
        <v>#DIV/0!</v>
      </c>
      <c r="R60" s="1884" t="s">
        <v>1564</v>
      </c>
    </row>
    <row r="61" spans="1:18" s="1840" customFormat="1" ht="13.5" thickBot="1">
      <c r="A61" s="1202" t="s">
        <v>1488</v>
      </c>
      <c r="B61" s="1170" t="s">
        <v>1489</v>
      </c>
      <c r="C61" s="24">
        <f ca="1">IF(项目基本情况!B11="自然人","——",IF(D61="按租金收入计税",ROUND(C48*F61,0),IF(D61="按房产原值计税",ROUND(C57*F61*0.7,0),INDIRECT("'数据-取费表'!Aj"&amp;$G$1))))</f>
        <v>0</v>
      </c>
      <c r="D61" s="1826" t="s">
        <v>1434</v>
      </c>
      <c r="E61" s="1170" t="s">
        <v>1490</v>
      </c>
      <c r="F61" s="367">
        <f t="shared" si="0"/>
        <v>1.2E-2</v>
      </c>
      <c r="I61" s="1926"/>
      <c r="J61" s="1926"/>
      <c r="K61" s="1926"/>
      <c r="L61" s="1926"/>
      <c r="O61" s="1892" t="s">
        <v>1042</v>
      </c>
      <c r="P61" s="1883" t="str">
        <f>K59</f>
        <v>建设期及建筑物耐用年限下的土地年期修正系数Kn</v>
      </c>
      <c r="Q61" s="1884" t="e">
        <f ca="1">L59</f>
        <v>#DIV/0!</v>
      </c>
      <c r="R61" s="1884" t="s">
        <v>1565</v>
      </c>
    </row>
    <row r="62" spans="1:18" s="1840" customFormat="1" ht="13.5" thickBot="1">
      <c r="A62" s="1202" t="s">
        <v>1491</v>
      </c>
      <c r="B62" s="1169" t="s">
        <v>1492</v>
      </c>
      <c r="C62" s="25">
        <f ca="1">IF(项目基本情况!B11="自然人","——",ROUND(F62*F63,0))</f>
        <v>0</v>
      </c>
      <c r="D62" s="1185" t="s">
        <v>1493</v>
      </c>
      <c r="E62" s="1170" t="s">
        <v>1494</v>
      </c>
      <c r="F62" s="371">
        <f t="shared" si="0"/>
        <v>3</v>
      </c>
      <c r="I62" s="1927" t="s">
        <v>1566</v>
      </c>
      <c r="J62" s="1928" t="s">
        <v>1567</v>
      </c>
      <c r="K62" s="1928" t="s">
        <v>1568</v>
      </c>
      <c r="L62" s="1928" t="s">
        <v>1569</v>
      </c>
      <c r="M62" s="1929" t="s">
        <v>1570</v>
      </c>
      <c r="O62" s="1882" t="s">
        <v>1043</v>
      </c>
      <c r="P62" s="1883" t="s">
        <v>1571</v>
      </c>
      <c r="Q62" s="1884" t="e">
        <f ca="1">Q56+Q57</f>
        <v>#DIV/0!</v>
      </c>
      <c r="R62" s="1884" t="s">
        <v>1044</v>
      </c>
    </row>
    <row r="63" spans="1:18" s="1840" customFormat="1" ht="13.5" thickBot="1">
      <c r="A63" s="372"/>
      <c r="B63" s="1176"/>
      <c r="C63" s="29"/>
      <c r="D63" s="1186"/>
      <c r="E63" s="1170" t="s">
        <v>1495</v>
      </c>
      <c r="F63" s="348">
        <f t="shared" ca="1" si="0"/>
        <v>0</v>
      </c>
      <c r="I63" s="1927" t="s">
        <v>1572</v>
      </c>
      <c r="J63" s="1928">
        <v>70</v>
      </c>
      <c r="K63" s="1928">
        <v>50</v>
      </c>
      <c r="L63" s="1928">
        <v>80</v>
      </c>
      <c r="M63" s="1930">
        <v>0.02</v>
      </c>
      <c r="O63" s="1867" t="s">
        <v>1573</v>
      </c>
      <c r="P63" s="1837"/>
      <c r="Q63" s="1837"/>
      <c r="R63" s="1837"/>
    </row>
    <row r="64" spans="1:18" s="1840" customFormat="1" ht="13.5" thickBot="1">
      <c r="A64" s="1202" t="s">
        <v>1496</v>
      </c>
      <c r="B64" s="1170" t="s">
        <v>1497</v>
      </c>
      <c r="C64" s="24">
        <f ca="1">ROUND(C57*F64,0)</f>
        <v>0</v>
      </c>
      <c r="D64" s="1184" t="s">
        <v>1498</v>
      </c>
      <c r="E64" s="1170" t="s">
        <v>1490</v>
      </c>
      <c r="F64" s="374">
        <f t="shared" ca="1" si="0"/>
        <v>0</v>
      </c>
      <c r="I64" s="1927" t="s">
        <v>1574</v>
      </c>
      <c r="J64" s="1928">
        <v>50</v>
      </c>
      <c r="K64" s="1928">
        <v>35</v>
      </c>
      <c r="L64" s="1928">
        <v>60</v>
      </c>
      <c r="M64" s="1929">
        <v>0</v>
      </c>
      <c r="O64" s="1875" t="s">
        <v>1518</v>
      </c>
      <c r="P64" s="1876" t="s">
        <v>1519</v>
      </c>
      <c r="Q64" s="1877" t="s">
        <v>1520</v>
      </c>
      <c r="R64" s="1877" t="s">
        <v>1521</v>
      </c>
    </row>
    <row r="65" spans="1:18" s="1840" customFormat="1" ht="13.5" thickBot="1">
      <c r="A65" s="1202" t="s">
        <v>1499</v>
      </c>
      <c r="B65" s="1170" t="s">
        <v>1449</v>
      </c>
      <c r="C65" s="24">
        <f ca="1">ROUND(C56*F65,0)</f>
        <v>0</v>
      </c>
      <c r="D65" s="1184" t="s">
        <v>1450</v>
      </c>
      <c r="E65" s="1170" t="s">
        <v>1451</v>
      </c>
      <c r="F65" s="376">
        <f t="shared" ca="1" si="0"/>
        <v>0</v>
      </c>
      <c r="I65" s="1927" t="s">
        <v>1575</v>
      </c>
      <c r="J65" s="1928">
        <v>40</v>
      </c>
      <c r="K65" s="1928">
        <v>30</v>
      </c>
      <c r="L65" s="1928">
        <v>50</v>
      </c>
      <c r="M65" s="1930">
        <v>0.02</v>
      </c>
      <c r="O65" s="1882" t="s">
        <v>1037</v>
      </c>
      <c r="P65" s="1883" t="s">
        <v>1576</v>
      </c>
      <c r="Q65" s="1884" t="e">
        <f ca="1">C40+J29</f>
        <v>#DIV/0!</v>
      </c>
      <c r="R65" s="1884" t="s">
        <v>1525</v>
      </c>
    </row>
    <row r="66" spans="1:18" s="1840" customFormat="1" ht="16.5" thickBot="1">
      <c r="A66" s="1202" t="s">
        <v>1500</v>
      </c>
      <c r="B66" s="1170" t="s">
        <v>1435</v>
      </c>
      <c r="C66" s="24">
        <f ca="1">ROUND(C48*F66,0)</f>
        <v>0</v>
      </c>
      <c r="D66" s="1184" t="s">
        <v>1501</v>
      </c>
      <c r="E66" s="1170" t="s">
        <v>1418</v>
      </c>
      <c r="F66" s="357">
        <f t="shared" ca="1" si="0"/>
        <v>0</v>
      </c>
      <c r="O66" s="1882" t="s">
        <v>1038</v>
      </c>
      <c r="P66" s="1883" t="s">
        <v>1554</v>
      </c>
      <c r="Q66" s="1884" t="e">
        <f ca="1">L60</f>
        <v>#DIV/0!</v>
      </c>
      <c r="R66" s="1884" t="s">
        <v>1577</v>
      </c>
    </row>
    <row r="67" spans="1:18" s="1840" customFormat="1" ht="16.5" thickBot="1">
      <c r="A67" s="1177" t="s">
        <v>1028</v>
      </c>
      <c r="B67" s="1187" t="s">
        <v>1459</v>
      </c>
      <c r="C67" s="361">
        <f ca="1">C48-C58</f>
        <v>0</v>
      </c>
      <c r="D67" s="1183" t="s">
        <v>1460</v>
      </c>
      <c r="E67" s="1188"/>
      <c r="F67" s="1189"/>
      <c r="O67" s="1892" t="s">
        <v>1039</v>
      </c>
      <c r="P67" s="1883" t="s">
        <v>1558</v>
      </c>
      <c r="Q67" s="1931">
        <f ca="1">L51</f>
        <v>0</v>
      </c>
      <c r="R67" s="1884" t="s">
        <v>1578</v>
      </c>
    </row>
    <row r="68" spans="1:18" s="1840" customFormat="1" ht="16.5" thickBot="1">
      <c r="A68" s="1167" t="s">
        <v>1029</v>
      </c>
      <c r="B68" s="1168" t="s">
        <v>1481</v>
      </c>
      <c r="C68" s="346" t="e">
        <f ca="1">ROUND(C67*(1-((1+F70)/(1+F68))^F69)/(F68-F70),0)</f>
        <v>#DIV/0!</v>
      </c>
      <c r="D68" s="1185" t="s">
        <v>1465</v>
      </c>
      <c r="E68" s="1170" t="s">
        <v>1466</v>
      </c>
      <c r="F68" s="357">
        <f ca="1">F40</f>
        <v>0</v>
      </c>
      <c r="O68" s="1892" t="s">
        <v>1040</v>
      </c>
      <c r="P68" s="1932" t="s">
        <v>1579</v>
      </c>
      <c r="Q68" s="1884">
        <f ca="1">ROUND(Q69-Q70*Q71,0)</f>
        <v>0</v>
      </c>
      <c r="R68" s="1884" t="s">
        <v>1048</v>
      </c>
    </row>
    <row r="69" spans="1:18" s="1840" customFormat="1" ht="13.5" thickBot="1">
      <c r="A69" s="1171"/>
      <c r="B69" s="1172"/>
      <c r="C69" s="351"/>
      <c r="D69" s="1190" t="s">
        <v>1469</v>
      </c>
      <c r="E69" s="1170" t="s">
        <v>1470</v>
      </c>
      <c r="F69" s="379">
        <f ca="1">F41</f>
        <v>0</v>
      </c>
      <c r="O69" s="1892" t="s">
        <v>1045</v>
      </c>
      <c r="P69" s="1932" t="s">
        <v>1580</v>
      </c>
      <c r="Q69" s="1884">
        <f ca="1">C39</f>
        <v>0</v>
      </c>
      <c r="R69" s="1884" t="s">
        <v>1525</v>
      </c>
    </row>
    <row r="70" spans="1:18" s="1840" customFormat="1" ht="13.5" thickBot="1">
      <c r="A70" s="1174"/>
      <c r="B70" s="1175"/>
      <c r="C70" s="355"/>
      <c r="D70" s="1186"/>
      <c r="E70" s="1170" t="s">
        <v>1473</v>
      </c>
      <c r="F70" s="1276">
        <f ca="1">F42</f>
        <v>0</v>
      </c>
      <c r="O70" s="1892" t="s">
        <v>1046</v>
      </c>
      <c r="P70" s="1932" t="s">
        <v>1581</v>
      </c>
      <c r="Q70" s="1884">
        <f ca="1">C13</f>
        <v>0</v>
      </c>
      <c r="R70" s="1884" t="s">
        <v>1525</v>
      </c>
    </row>
    <row r="71" spans="1:18" s="1840" customFormat="1" ht="13.5" thickBot="1">
      <c r="A71" s="1191" t="s">
        <v>1030</v>
      </c>
      <c r="B71" s="1192" t="s">
        <v>1483</v>
      </c>
      <c r="C71" s="382" t="e">
        <f ca="1">ROUND(C68/F71,0)</f>
        <v>#DIV/0!</v>
      </c>
      <c r="D71" s="1193" t="s">
        <v>1484</v>
      </c>
      <c r="E71" s="1194" t="s">
        <v>1485</v>
      </c>
      <c r="F71" s="385">
        <f ca="1">F43</f>
        <v>0</v>
      </c>
      <c r="O71" s="1892" t="s">
        <v>1047</v>
      </c>
      <c r="P71" s="1932" t="s">
        <v>1582</v>
      </c>
      <c r="Q71" s="1895">
        <f ca="1">C76</f>
        <v>0</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建设期及建筑物耐用年限下的土地年期修正系数Kn</v>
      </c>
      <c r="Q74" s="1884" t="e">
        <f ca="1">L59</f>
        <v>#DIV/0!</v>
      </c>
      <c r="R74" s="1884" t="s">
        <v>1565</v>
      </c>
    </row>
    <row r="75" spans="1:18" ht="13.5" thickBot="1">
      <c r="A75" s="1840"/>
      <c r="B75" s="386" t="s">
        <v>1502</v>
      </c>
      <c r="C75" s="387">
        <f ca="1">ROUND(C13*C76,0)</f>
        <v>0</v>
      </c>
      <c r="D75" s="1840"/>
      <c r="E75" s="1840"/>
      <c r="F75" s="1840"/>
      <c r="K75" s="1866"/>
      <c r="L75" s="1840"/>
      <c r="O75" s="1882" t="s">
        <v>1043</v>
      </c>
      <c r="P75" s="1883" t="s">
        <v>1545</v>
      </c>
      <c r="Q75" s="1884" t="e">
        <f ca="1">Q65+Q66</f>
        <v>#DIV/0!</v>
      </c>
      <c r="R75" s="1884" t="s">
        <v>1044</v>
      </c>
    </row>
    <row r="76" spans="1:18">
      <c r="B76" s="388" t="s">
        <v>1503</v>
      </c>
      <c r="C76" s="389">
        <f ca="1">INDIRECT("'数据-取费表'!j"&amp;$G$1)</f>
        <v>0</v>
      </c>
      <c r="I76" s="1840"/>
      <c r="J76" s="1840"/>
      <c r="K76" s="1866"/>
      <c r="L76" s="1840"/>
    </row>
    <row r="77" spans="1:18">
      <c r="B77" s="390" t="s">
        <v>1504</v>
      </c>
      <c r="C77" s="391"/>
      <c r="I77" s="1840"/>
      <c r="J77" s="1840"/>
      <c r="K77" s="1866"/>
      <c r="L77" s="1840"/>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2" t="s">
        <v>2527</v>
      </c>
      <c r="B1" s="2563"/>
      <c r="C1" s="2563"/>
      <c r="D1" s="2563"/>
      <c r="E1" s="2564"/>
    </row>
    <row r="2" spans="1:6" ht="15.75">
      <c r="A2" s="2565" t="s">
        <v>2328</v>
      </c>
      <c r="B2" s="2566">
        <f ca="1">SUMIF(B6:B13,"&lt;&gt;#ref!",B6:B13)</f>
        <v>142523</v>
      </c>
      <c r="C2" s="2567" t="s">
        <v>2520</v>
      </c>
      <c r="D2" s="2568" t="s">
        <v>2521</v>
      </c>
      <c r="E2" s="2569">
        <f>SUM(E6:E13)</f>
        <v>66657.509999999995</v>
      </c>
    </row>
    <row r="3" spans="1:6" ht="15.75">
      <c r="A3" s="2565" t="s">
        <v>1391</v>
      </c>
      <c r="B3" s="2566">
        <f ca="1">ROUND(B2*10000/E2,0)</f>
        <v>21381</v>
      </c>
      <c r="C3" s="2567" t="s">
        <v>2528</v>
      </c>
      <c r="D3" s="2570"/>
      <c r="E3" s="2571"/>
    </row>
    <row r="4" spans="1:6" ht="15.75">
      <c r="A4" s="2572"/>
      <c r="B4" s="2570"/>
      <c r="C4" s="2570"/>
      <c r="D4" s="2570"/>
      <c r="E4" s="2571"/>
    </row>
    <row r="5" spans="1:6" ht="15">
      <c r="A5" s="2573" t="s">
        <v>2522</v>
      </c>
      <c r="B5" s="3280" t="s">
        <v>2523</v>
      </c>
      <c r="C5" s="3280"/>
      <c r="D5" s="2574"/>
      <c r="E5" s="2575" t="s">
        <v>2524</v>
      </c>
      <c r="F5" s="2576" t="s">
        <v>2525</v>
      </c>
    </row>
    <row r="6" spans="1:6">
      <c r="A6" s="2577" t="str">
        <f>'数据-取费表'!AN6</f>
        <v>收益法-商业</v>
      </c>
      <c r="B6" s="2576">
        <f ca="1">IF(F6="是",'数据-取费表'!AO6,0)</f>
        <v>41889</v>
      </c>
      <c r="C6" s="2567" t="s">
        <v>2520</v>
      </c>
      <c r="D6" s="2570"/>
      <c r="E6" s="2578">
        <f>IF(OR(A6=0,F6="否"),0,'数据-取费表'!K6+'数据-取费表'!S6)</f>
        <v>18643.309999999998</v>
      </c>
      <c r="F6" s="2579" t="s">
        <v>2526</v>
      </c>
    </row>
    <row r="7" spans="1:6">
      <c r="A7" s="2577" t="str">
        <f>'数据-取费表'!AN7</f>
        <v>收益法</v>
      </c>
      <c r="B7" s="2576">
        <f ca="1">IF(F7="是",'数据-取费表'!AO7,0)</f>
        <v>66616</v>
      </c>
      <c r="C7" s="2567" t="s">
        <v>2520</v>
      </c>
      <c r="D7" s="2570"/>
      <c r="E7" s="2578">
        <f>IF(OR(A7=0,F7="否"),0,'数据-取费表'!K7+'数据-取费表'!S7)</f>
        <v>31807.97</v>
      </c>
      <c r="F7" s="2579" t="s">
        <v>2526</v>
      </c>
    </row>
    <row r="8" spans="1:6">
      <c r="A8" s="2577" t="str">
        <f>'数据-取费表'!AN8</f>
        <v>收益法-公寓</v>
      </c>
      <c r="B8" s="2576">
        <f ca="1">IF(F8="是",'数据-取费表'!AO8,0)</f>
        <v>34018</v>
      </c>
      <c r="C8" s="2567" t="s">
        <v>2520</v>
      </c>
      <c r="D8" s="2570"/>
      <c r="E8" s="2578">
        <f>IF(OR(A8=0,F8="否"),0,'数据-取费表'!K8+'数据-取费表'!S8)</f>
        <v>16206.23</v>
      </c>
      <c r="F8" s="2579" t="s">
        <v>2526</v>
      </c>
    </row>
    <row r="9" spans="1:6">
      <c r="A9" s="2577">
        <f>'数据-取费表'!AN9</f>
        <v>0</v>
      </c>
      <c r="B9" s="2576" t="e">
        <f ca="1">IF(F9="是",'数据-取费表'!AO9,0)</f>
        <v>#REF!</v>
      </c>
      <c r="C9" s="2567" t="s">
        <v>2520</v>
      </c>
      <c r="D9" s="2570"/>
      <c r="E9" s="2578">
        <f>IF(OR(A9=0,F9="否"),0,'数据-取费表'!K9+'数据-取费表'!S9)</f>
        <v>0</v>
      </c>
      <c r="F9" s="2579" t="s">
        <v>2526</v>
      </c>
    </row>
    <row r="10" spans="1:6">
      <c r="A10" s="2577">
        <f>'数据-取费表'!AN10</f>
        <v>0</v>
      </c>
      <c r="B10" s="2576" t="e">
        <f ca="1">IF(F10="是",'数据-取费表'!AO10,0)</f>
        <v>#REF!</v>
      </c>
      <c r="C10" s="2567" t="s">
        <v>2520</v>
      </c>
      <c r="D10" s="2570"/>
      <c r="E10" s="2578">
        <f>IF(OR(A10=0,F10="否"),0,'数据-取费表'!K10+'数据-取费表'!S10)</f>
        <v>0</v>
      </c>
      <c r="F10" s="2579" t="s">
        <v>2526</v>
      </c>
    </row>
    <row r="11" spans="1:6">
      <c r="A11" s="2577">
        <f>'数据-取费表'!AN11</f>
        <v>0</v>
      </c>
      <c r="B11" s="2576" t="e">
        <f ca="1">IF(F11="是",'数据-取费表'!AO11,0)</f>
        <v>#REF!</v>
      </c>
      <c r="C11" s="2567" t="s">
        <v>2520</v>
      </c>
      <c r="D11" s="2570"/>
      <c r="E11" s="2578">
        <f>IF(OR(A11=0,F11="否"),0,'数据-取费表'!K11+'数据-取费表'!S11)</f>
        <v>0</v>
      </c>
      <c r="F11" s="2579" t="s">
        <v>2526</v>
      </c>
    </row>
    <row r="12" spans="1:6">
      <c r="A12" s="2577">
        <f>'数据-取费表'!AN12</f>
        <v>0</v>
      </c>
      <c r="B12" s="2576" t="e">
        <f ca="1">IF(F12="是",'数据-取费表'!AO12,0)</f>
        <v>#REF!</v>
      </c>
      <c r="C12" s="2567" t="s">
        <v>2520</v>
      </c>
      <c r="D12" s="2570"/>
      <c r="E12" s="2578">
        <f>IF(OR(A12=0,F12="否"),0,'数据-取费表'!K12+'数据-取费表'!S12)</f>
        <v>0</v>
      </c>
      <c r="F12" s="2579" t="s">
        <v>2526</v>
      </c>
    </row>
    <row r="13" spans="1:6" ht="15" thickBot="1">
      <c r="A13" s="2580">
        <f>'数据-取费表'!AN13</f>
        <v>0</v>
      </c>
      <c r="B13" s="2576" t="e">
        <f ca="1">IF(F13="是",'数据-取费表'!AO13,0)</f>
        <v>#REF!</v>
      </c>
      <c r="C13" s="2581" t="s">
        <v>2520</v>
      </c>
      <c r="D13" s="2582"/>
      <c r="E13" s="2578">
        <f>IF(OR(A13=0,F13="否"),0,'数据-取费表'!K13+'数据-取费表'!S13)</f>
        <v>0</v>
      </c>
      <c r="F13" s="2579"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81" t="s">
        <v>1073</v>
      </c>
      <c r="B1" s="3282"/>
      <c r="C1" s="3283"/>
      <c r="D1" s="3284">
        <f>SUM(I10,I15,I20,I21,I23)</f>
        <v>0</v>
      </c>
      <c r="E1" s="3284"/>
      <c r="F1" s="3284"/>
      <c r="G1" s="3284"/>
      <c r="H1" s="3284"/>
      <c r="I1" s="3285"/>
    </row>
    <row r="2" spans="1:9">
      <c r="A2" s="3286" t="s">
        <v>1074</v>
      </c>
      <c r="B2" s="3287" t="s">
        <v>1075</v>
      </c>
      <c r="C2" s="3287"/>
      <c r="D2" s="1302" t="s">
        <v>1076</v>
      </c>
      <c r="E2" s="1302" t="s">
        <v>1077</v>
      </c>
      <c r="F2" s="1302" t="s">
        <v>1078</v>
      </c>
      <c r="G2" s="1302" t="s">
        <v>1079</v>
      </c>
      <c r="H2" s="1302" t="s">
        <v>1080</v>
      </c>
      <c r="I2" s="1303" t="s">
        <v>1081</v>
      </c>
    </row>
    <row r="3" spans="1:9">
      <c r="A3" s="3286"/>
      <c r="B3" s="3287" t="s">
        <v>1082</v>
      </c>
      <c r="C3" s="3287"/>
      <c r="D3" s="1304"/>
      <c r="E3" s="1302"/>
      <c r="F3" s="1305"/>
      <c r="G3" s="1305"/>
      <c r="H3" s="1306"/>
      <c r="I3" s="1307">
        <f>ROUND(D3*E3*F3*G3*H3/10000,0)</f>
        <v>0</v>
      </c>
    </row>
    <row r="4" spans="1:9">
      <c r="A4" s="3286"/>
      <c r="B4" s="3287" t="s">
        <v>1083</v>
      </c>
      <c r="C4" s="3287"/>
      <c r="D4" s="1304"/>
      <c r="E4" s="1302"/>
      <c r="F4" s="1305"/>
      <c r="G4" s="1305"/>
      <c r="H4" s="1306"/>
      <c r="I4" s="1307">
        <f t="shared" ref="I4:I9" si="0">ROUND(D4*E4*F4*G4*H4/10000,0)</f>
        <v>0</v>
      </c>
    </row>
    <row r="5" spans="1:9">
      <c r="A5" s="3286"/>
      <c r="B5" s="3287" t="s">
        <v>1084</v>
      </c>
      <c r="C5" s="3287"/>
      <c r="D5" s="1304"/>
      <c r="E5" s="1302"/>
      <c r="F5" s="1305"/>
      <c r="G5" s="1305"/>
      <c r="H5" s="1306"/>
      <c r="I5" s="1307">
        <f t="shared" si="0"/>
        <v>0</v>
      </c>
    </row>
    <row r="6" spans="1:9">
      <c r="A6" s="3286"/>
      <c r="B6" s="3287" t="s">
        <v>1085</v>
      </c>
      <c r="C6" s="3287"/>
      <c r="D6" s="1304"/>
      <c r="E6" s="1302"/>
      <c r="F6" s="1305"/>
      <c r="G6" s="1305"/>
      <c r="H6" s="1306"/>
      <c r="I6" s="1307">
        <f t="shared" si="0"/>
        <v>0</v>
      </c>
    </row>
    <row r="7" spans="1:9">
      <c r="A7" s="3286"/>
      <c r="B7" s="3287" t="s">
        <v>1086</v>
      </c>
      <c r="C7" s="3287"/>
      <c r="D7" s="1304"/>
      <c r="E7" s="1302"/>
      <c r="F7" s="1305"/>
      <c r="G7" s="1305"/>
      <c r="H7" s="1306"/>
      <c r="I7" s="1307">
        <f t="shared" si="0"/>
        <v>0</v>
      </c>
    </row>
    <row r="8" spans="1:9">
      <c r="A8" s="3286"/>
      <c r="B8" s="3287" t="s">
        <v>1087</v>
      </c>
      <c r="C8" s="3287"/>
      <c r="D8" s="1304"/>
      <c r="E8" s="1302"/>
      <c r="F8" s="1305"/>
      <c r="G8" s="1305"/>
      <c r="H8" s="1306"/>
      <c r="I8" s="1307">
        <f t="shared" si="0"/>
        <v>0</v>
      </c>
    </row>
    <row r="9" spans="1:9">
      <c r="A9" s="3286"/>
      <c r="B9" s="3287" t="s">
        <v>1088</v>
      </c>
      <c r="C9" s="3287"/>
      <c r="D9" s="1304"/>
      <c r="E9" s="1302"/>
      <c r="F9" s="1305"/>
      <c r="G9" s="1305"/>
      <c r="H9" s="1306"/>
      <c r="I9" s="1307">
        <f t="shared" si="0"/>
        <v>0</v>
      </c>
    </row>
    <row r="10" spans="1:9">
      <c r="A10" s="3286"/>
      <c r="B10" s="3288" t="s">
        <v>1089</v>
      </c>
      <c r="C10" s="3288"/>
      <c r="D10" s="1308"/>
      <c r="E10" s="1308" t="e">
        <f>ROUND(D1*10000/D10/H9,0)</f>
        <v>#DIV/0!</v>
      </c>
      <c r="F10" s="1309"/>
      <c r="G10" s="1309"/>
      <c r="H10" s="1310"/>
      <c r="I10" s="1311">
        <f>SUM(I3:I9)</f>
        <v>0</v>
      </c>
    </row>
    <row r="11" spans="1:9" ht="14.25">
      <c r="A11" s="3286" t="s">
        <v>1090</v>
      </c>
      <c r="B11" s="3287" t="s">
        <v>1091</v>
      </c>
      <c r="C11" s="3287"/>
      <c r="D11" s="1304" t="s">
        <v>1092</v>
      </c>
      <c r="E11" s="1304" t="s">
        <v>1093</v>
      </c>
      <c r="F11" s="1305" t="s">
        <v>1094</v>
      </c>
      <c r="G11" s="1305" t="s">
        <v>1080</v>
      </c>
      <c r="H11" s="1312" t="s">
        <v>1095</v>
      </c>
      <c r="I11" s="1303" t="s">
        <v>1081</v>
      </c>
    </row>
    <row r="12" spans="1:9">
      <c r="A12" s="3286"/>
      <c r="B12" s="3287" t="s">
        <v>1096</v>
      </c>
      <c r="C12" s="3287"/>
      <c r="D12" s="1304"/>
      <c r="E12" s="1304"/>
      <c r="F12" s="1305"/>
      <c r="G12" s="1306"/>
      <c r="H12" s="1313"/>
      <c r="I12" s="1303">
        <f>ROUND(D12*E12*F12*G12/10000,0)</f>
        <v>0</v>
      </c>
    </row>
    <row r="13" spans="1:9">
      <c r="A13" s="3286"/>
      <c r="B13" s="3287" t="s">
        <v>1097</v>
      </c>
      <c r="C13" s="3287"/>
      <c r="D13" s="1304"/>
      <c r="E13" s="1304"/>
      <c r="F13" s="1305"/>
      <c r="G13" s="1306"/>
      <c r="H13" s="1313"/>
      <c r="I13" s="1303">
        <f>ROUND(D13*E13*F13*G13/10000,0)</f>
        <v>0</v>
      </c>
    </row>
    <row r="14" spans="1:9">
      <c r="A14" s="3286"/>
      <c r="B14" s="3287" t="s">
        <v>1098</v>
      </c>
      <c r="C14" s="3287"/>
      <c r="D14" s="1304"/>
      <c r="E14" s="1304"/>
      <c r="F14" s="1305"/>
      <c r="G14" s="1306"/>
      <c r="H14" s="1313"/>
      <c r="I14" s="1303">
        <f>ROUND(D14*E14*F14*G14/10000,0)</f>
        <v>0</v>
      </c>
    </row>
    <row r="15" spans="1:9">
      <c r="A15" s="3286"/>
      <c r="B15" s="3288" t="s">
        <v>1089</v>
      </c>
      <c r="C15" s="3288"/>
      <c r="D15" s="1308"/>
      <c r="E15" s="1308">
        <f>SUM(E12:E14)</f>
        <v>0</v>
      </c>
      <c r="F15" s="1309"/>
      <c r="G15" s="1306"/>
      <c r="H15" s="1313"/>
      <c r="I15" s="1314">
        <f>SUM(I12:I14)</f>
        <v>0</v>
      </c>
    </row>
    <row r="16" spans="1:9" ht="24">
      <c r="A16" s="3286" t="s">
        <v>1099</v>
      </c>
      <c r="B16" s="3287" t="s">
        <v>1100</v>
      </c>
      <c r="C16" s="3287"/>
      <c r="D16" s="1304" t="s">
        <v>1076</v>
      </c>
      <c r="E16" s="1315" t="s">
        <v>1101</v>
      </c>
      <c r="F16" s="1305" t="s">
        <v>1102</v>
      </c>
      <c r="G16" s="1306" t="s">
        <v>1080</v>
      </c>
      <c r="H16" s="1312" t="s">
        <v>1095</v>
      </c>
      <c r="I16" s="1303" t="s">
        <v>1081</v>
      </c>
    </row>
    <row r="17" spans="1:9" ht="14.25">
      <c r="A17" s="3286"/>
      <c r="B17" s="3287" t="s">
        <v>1103</v>
      </c>
      <c r="C17" s="3287"/>
      <c r="D17" s="1304"/>
      <c r="E17" s="1304"/>
      <c r="F17" s="1305"/>
      <c r="G17" s="1306"/>
      <c r="H17" s="1316"/>
      <c r="I17" s="1317">
        <f>ROUND(D17*E17*F17*G17/10000,0)</f>
        <v>0</v>
      </c>
    </row>
    <row r="18" spans="1:9" ht="14.25">
      <c r="A18" s="3286"/>
      <c r="B18" s="3287" t="s">
        <v>1104</v>
      </c>
      <c r="C18" s="3287"/>
      <c r="D18" s="1304"/>
      <c r="E18" s="1304"/>
      <c r="F18" s="1305"/>
      <c r="G18" s="1306"/>
      <c r="H18" s="1316"/>
      <c r="I18" s="1317">
        <f>ROUND(D18*E18*F18*G18/10000,0)</f>
        <v>0</v>
      </c>
    </row>
    <row r="19" spans="1:9" ht="14.25">
      <c r="A19" s="3286"/>
      <c r="B19" s="3287" t="s">
        <v>1105</v>
      </c>
      <c r="C19" s="3287"/>
      <c r="D19" s="1304"/>
      <c r="E19" s="1304"/>
      <c r="F19" s="1305"/>
      <c r="G19" s="1306"/>
      <c r="H19" s="1316"/>
      <c r="I19" s="1317">
        <f>ROUND(D19*E19*F19*G19/10000,0)</f>
        <v>0</v>
      </c>
    </row>
    <row r="20" spans="1:9">
      <c r="A20" s="3286"/>
      <c r="B20" s="3288" t="s">
        <v>1089</v>
      </c>
      <c r="C20" s="3288"/>
      <c r="D20" s="1308">
        <f>SUM(D17:D19)</f>
        <v>0</v>
      </c>
      <c r="E20" s="1308"/>
      <c r="F20" s="1309"/>
      <c r="G20" s="1306"/>
      <c r="H20" s="1313"/>
      <c r="I20" s="1314">
        <f>SUM(I17:I19)</f>
        <v>0</v>
      </c>
    </row>
    <row r="21" spans="1:9">
      <c r="A21" s="3286" t="s">
        <v>1106</v>
      </c>
      <c r="B21" s="3290"/>
      <c r="C21" s="3290"/>
      <c r="D21" s="3290"/>
      <c r="E21" s="3290"/>
      <c r="F21" s="3290"/>
      <c r="G21" s="3290"/>
      <c r="H21" s="1763">
        <v>0.1</v>
      </c>
      <c r="I21" s="1311">
        <f>ROUND(I10*H21,0)</f>
        <v>0</v>
      </c>
    </row>
    <row r="22" spans="1:9" ht="14.25">
      <c r="A22" s="3291" t="s">
        <v>1107</v>
      </c>
      <c r="B22" s="3292"/>
      <c r="C22" s="3293"/>
      <c r="D22" s="1318" t="s">
        <v>1108</v>
      </c>
      <c r="E22" s="1318" t="s">
        <v>1109</v>
      </c>
      <c r="F22" s="1319" t="s">
        <v>1110</v>
      </c>
      <c r="G22" s="1319" t="s">
        <v>1111</v>
      </c>
      <c r="H22" s="1312" t="s">
        <v>1112</v>
      </c>
      <c r="I22" s="1303" t="s">
        <v>1113</v>
      </c>
    </row>
    <row r="23" spans="1:9" ht="14.25" thickBot="1">
      <c r="A23" s="3294"/>
      <c r="B23" s="3295"/>
      <c r="C23" s="3296"/>
      <c r="D23" s="1320"/>
      <c r="E23" s="1320"/>
      <c r="F23" s="1320"/>
      <c r="G23" s="1321"/>
      <c r="H23" s="1322"/>
      <c r="I23" s="1323">
        <f>ROUND(E23*D23*F23*(1-G23)/10000,0)</f>
        <v>0</v>
      </c>
    </row>
    <row r="26" spans="1:9">
      <c r="A26" s="1324" t="s">
        <v>1114</v>
      </c>
      <c r="B26" s="1324"/>
      <c r="C26" s="1324"/>
      <c r="D26" s="1324"/>
      <c r="E26" s="3297">
        <f>C27-C30-C31-C32</f>
        <v>0</v>
      </c>
      <c r="F26" s="3297"/>
      <c r="G26" s="3297"/>
      <c r="H26" s="1735" t="s">
        <v>1336</v>
      </c>
    </row>
    <row r="27" spans="1:9">
      <c r="A27" s="1325">
        <v>1</v>
      </c>
      <c r="B27" s="1326" t="s">
        <v>1115</v>
      </c>
      <c r="C27" s="1326">
        <f>C28+C29</f>
        <v>0</v>
      </c>
      <c r="D27" s="1326"/>
      <c r="E27" s="3298"/>
      <c r="F27" s="3298"/>
      <c r="G27" s="3298"/>
    </row>
    <row r="28" spans="1:9">
      <c r="A28" s="1327" t="s">
        <v>1116</v>
      </c>
      <c r="B28" s="1326" t="s">
        <v>1117</v>
      </c>
      <c r="C28" s="1326"/>
      <c r="D28" s="1326"/>
      <c r="E28" s="3298"/>
      <c r="F28" s="3298"/>
      <c r="G28" s="3298"/>
    </row>
    <row r="29" spans="1:9">
      <c r="A29" s="1327" t="s">
        <v>1118</v>
      </c>
      <c r="B29" s="1326" t="s">
        <v>1119</v>
      </c>
      <c r="C29" s="1326"/>
      <c r="D29" s="1326"/>
      <c r="E29" s="1326" t="s">
        <v>1120</v>
      </c>
      <c r="F29" s="1326"/>
      <c r="G29" s="1326"/>
    </row>
    <row r="30" spans="1:9">
      <c r="A30" s="1325">
        <v>2</v>
      </c>
      <c r="B30" s="1326" t="s">
        <v>1121</v>
      </c>
      <c r="C30" s="1326">
        <f>C27*D30</f>
        <v>0</v>
      </c>
      <c r="D30" s="1328">
        <v>0.2</v>
      </c>
      <c r="E30" s="1326" t="s">
        <v>1122</v>
      </c>
      <c r="F30" s="1326"/>
      <c r="G30" s="1326"/>
    </row>
    <row r="31" spans="1:9">
      <c r="A31" s="1325">
        <v>3</v>
      </c>
      <c r="B31" s="1326" t="s">
        <v>1123</v>
      </c>
      <c r="C31" s="1326">
        <f>C25*D31</f>
        <v>0</v>
      </c>
      <c r="D31" s="1328">
        <v>0.15</v>
      </c>
      <c r="E31" s="1326" t="s">
        <v>1124</v>
      </c>
      <c r="F31" s="1326"/>
      <c r="G31" s="1326"/>
    </row>
    <row r="32" spans="1:9">
      <c r="A32" s="1325">
        <v>4</v>
      </c>
      <c r="B32" s="1326" t="s">
        <v>1125</v>
      </c>
      <c r="C32" s="1326">
        <f>C27*D32</f>
        <v>0</v>
      </c>
      <c r="D32" s="1328">
        <v>0.05</v>
      </c>
      <c r="E32" s="3289"/>
      <c r="F32" s="3289"/>
      <c r="G32" s="3289"/>
    </row>
    <row r="33" spans="1:7" hidden="1">
      <c r="A33" s="3299" t="s">
        <v>1126</v>
      </c>
      <c r="B33" s="3300"/>
      <c r="C33" s="3300"/>
      <c r="D33" s="3301"/>
      <c r="E33" s="3297"/>
      <c r="F33" s="3297"/>
      <c r="G33" s="3297"/>
    </row>
    <row r="34" spans="1:7" hidden="1">
      <c r="A34" s="1329">
        <v>1</v>
      </c>
      <c r="B34" s="1326" t="s">
        <v>1127</v>
      </c>
      <c r="C34" s="1326"/>
      <c r="D34" s="1326"/>
      <c r="E34" s="3298"/>
      <c r="F34" s="3298"/>
      <c r="G34" s="3298"/>
    </row>
    <row r="35" spans="1:7" hidden="1">
      <c r="A35" s="1329">
        <v>2</v>
      </c>
      <c r="B35" s="1326" t="s">
        <v>1128</v>
      </c>
      <c r="C35" s="1326"/>
      <c r="D35" s="1326"/>
      <c r="E35" s="3298"/>
      <c r="F35" s="3298"/>
      <c r="G35" s="3298"/>
    </row>
    <row r="36" spans="1:7" hidden="1">
      <c r="A36" s="1329">
        <v>3</v>
      </c>
      <c r="B36" s="1326" t="s">
        <v>1129</v>
      </c>
      <c r="C36" s="1326"/>
      <c r="D36" s="1326"/>
      <c r="E36" s="3298"/>
      <c r="F36" s="3298"/>
      <c r="G36" s="3298"/>
    </row>
    <row r="37" spans="1:7" hidden="1">
      <c r="A37" s="1329">
        <v>4</v>
      </c>
      <c r="B37" s="1326" t="s">
        <v>1130</v>
      </c>
      <c r="C37" s="1326"/>
      <c r="D37" s="1326"/>
      <c r="E37" s="3298"/>
      <c r="F37" s="3298"/>
      <c r="G37" s="3298"/>
    </row>
    <row r="38" spans="1:7" hidden="1">
      <c r="A38" s="3299" t="s">
        <v>1131</v>
      </c>
      <c r="B38" s="3300"/>
      <c r="C38" s="3300"/>
      <c r="D38" s="3301"/>
      <c r="E38" s="3297"/>
      <c r="F38" s="3297"/>
      <c r="G38" s="329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2529</v>
      </c>
      <c r="B1" s="2583" t="s">
        <v>2530</v>
      </c>
      <c r="C1" s="1635" t="s">
        <v>2531</v>
      </c>
      <c r="D1" s="1622"/>
      <c r="E1" s="2584"/>
      <c r="F1" s="2585" t="s">
        <v>2532</v>
      </c>
      <c r="G1" s="1632" t="s">
        <v>2533</v>
      </c>
      <c r="H1" s="1631"/>
      <c r="I1" s="1631"/>
      <c r="J1" s="1631"/>
      <c r="K1" s="1633"/>
      <c r="L1" s="1634"/>
      <c r="M1" s="1635"/>
      <c r="N1" s="1635"/>
      <c r="O1" s="1635"/>
      <c r="P1" s="2586"/>
      <c r="Q1" s="1621"/>
      <c r="R1" s="1621"/>
      <c r="S1" s="1621"/>
      <c r="T1" s="1621"/>
      <c r="U1" s="1621"/>
      <c r="V1" s="1621"/>
      <c r="W1" s="1621"/>
      <c r="X1" s="1621"/>
      <c r="Y1" s="1621"/>
      <c r="Z1" s="1621"/>
      <c r="AA1" s="1621"/>
      <c r="AB1" s="1621"/>
      <c r="AC1" s="1629"/>
    </row>
    <row r="2" spans="1:29" s="393" customFormat="1" ht="28.5" customHeight="1" thickTop="1">
      <c r="A2" s="1618" t="s">
        <v>1390</v>
      </c>
      <c r="B2" s="1419" t="e">
        <f ca="1">IF(C2="——",ROUND(C49*D3/10000,0),ROUND(C49*D3/10000,0)-D2)</f>
        <v>#DIV/0!</v>
      </c>
      <c r="C2" s="2587"/>
      <c r="D2" s="1366" t="e">
        <f ca="1">SUMIF(INDIRECT("'"&amp;F2&amp;"'"&amp;"!A:A"),"承租人权益价值",INDIRECT("'"&amp;F2&amp;"'"&amp;"!c:c"))</f>
        <v>#REF!</v>
      </c>
      <c r="E2" s="2588" t="s">
        <v>2534</v>
      </c>
      <c r="F2" s="2589"/>
      <c r="G2" s="1125"/>
      <c r="H2" s="1125"/>
      <c r="I2" s="1125"/>
      <c r="J2" s="1125"/>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1391</v>
      </c>
      <c r="B3" s="399" t="e">
        <f ca="1">IF(C2="——",C49,ROUND(B2*10000/D3,0))</f>
        <v>#DIV/0!</v>
      </c>
      <c r="C3" s="400" t="s">
        <v>2535</v>
      </c>
      <c r="D3" s="399">
        <f>IF(D1="",'数据-汇总表'!E3,SUMIF('数据-汇总表'!$C19:$C33,D1,'数据-汇总表'!$E19:$E33))</f>
        <v>66657.509999999995</v>
      </c>
      <c r="E3" s="1125"/>
      <c r="F3" s="2596"/>
      <c r="G3" s="1125"/>
      <c r="H3" s="1125"/>
      <c r="I3" s="1125"/>
      <c r="J3" s="1125"/>
      <c r="K3" s="2590"/>
      <c r="L3" s="2591"/>
      <c r="M3" s="2592"/>
      <c r="N3" s="2592"/>
      <c r="O3" s="2592"/>
      <c r="P3" s="2593"/>
      <c r="Q3" s="2594"/>
      <c r="R3" s="2594"/>
      <c r="S3" s="2594"/>
      <c r="T3" s="2594"/>
      <c r="U3" s="2594"/>
      <c r="V3" s="2594"/>
      <c r="W3" s="2594"/>
      <c r="X3" s="2594"/>
      <c r="Y3" s="2594"/>
      <c r="Z3" s="2594"/>
      <c r="AA3" s="2594"/>
      <c r="AB3" s="2594"/>
      <c r="AC3" s="1283"/>
    </row>
    <row r="4" spans="1:29" ht="15">
      <c r="A4" s="401" t="s">
        <v>2536</v>
      </c>
      <c r="B4" s="402"/>
      <c r="C4" s="3244" t="s">
        <v>2537</v>
      </c>
      <c r="D4" s="3245"/>
      <c r="E4" s="3246" t="s">
        <v>2538</v>
      </c>
      <c r="F4" s="3247"/>
      <c r="G4" s="3244" t="s">
        <v>2539</v>
      </c>
      <c r="H4" s="3245"/>
      <c r="I4" s="3244" t="s">
        <v>2540</v>
      </c>
      <c r="J4" s="3245"/>
      <c r="K4" s="2597" t="s">
        <v>2541</v>
      </c>
      <c r="L4" s="1131"/>
      <c r="M4" s="1132"/>
      <c r="N4" s="1132"/>
      <c r="O4" s="1132"/>
      <c r="P4" s="3248" t="s">
        <v>2542</v>
      </c>
      <c r="Q4" s="3249"/>
      <c r="R4" s="3231" t="s">
        <v>2538</v>
      </c>
      <c r="S4" s="3232"/>
      <c r="T4" s="3231" t="s">
        <v>2539</v>
      </c>
      <c r="U4" s="3232"/>
      <c r="V4" s="3228" t="s">
        <v>2540</v>
      </c>
      <c r="W4" s="3228"/>
      <c r="X4" s="1811"/>
      <c r="Y4" s="3231" t="s">
        <v>2542</v>
      </c>
      <c r="Z4" s="3232"/>
      <c r="AA4" s="3225" t="s">
        <v>2538</v>
      </c>
      <c r="AB4" s="3225" t="s">
        <v>2539</v>
      </c>
      <c r="AC4" s="3225" t="s">
        <v>2540</v>
      </c>
    </row>
    <row r="5" spans="1:29" ht="15">
      <c r="A5" s="404"/>
      <c r="B5" s="405"/>
      <c r="C5" s="3237" t="s">
        <v>2543</v>
      </c>
      <c r="D5" s="3238"/>
      <c r="E5" s="3235" t="s">
        <v>2544</v>
      </c>
      <c r="F5" s="3236"/>
      <c r="G5" s="3237" t="s">
        <v>2545</v>
      </c>
      <c r="H5" s="3238"/>
      <c r="I5" s="3237" t="s">
        <v>2546</v>
      </c>
      <c r="J5" s="3238"/>
      <c r="K5" s="2598"/>
      <c r="L5" s="1131"/>
      <c r="M5" s="1132"/>
      <c r="N5" s="1132"/>
      <c r="O5" s="1132"/>
      <c r="P5" s="3250"/>
      <c r="Q5" s="3251"/>
      <c r="R5" s="3233"/>
      <c r="S5" s="3234"/>
      <c r="T5" s="3233"/>
      <c r="U5" s="3234"/>
      <c r="V5" s="3228"/>
      <c r="W5" s="3228"/>
      <c r="X5" s="1811"/>
      <c r="Y5" s="3233"/>
      <c r="Z5" s="3234"/>
      <c r="AA5" s="3226"/>
      <c r="AB5" s="3226"/>
      <c r="AC5" s="3226"/>
    </row>
    <row r="6" spans="1:29" ht="15.75" thickBot="1">
      <c r="A6" s="406"/>
      <c r="B6" s="407"/>
      <c r="C6" s="3239" t="s">
        <v>2547</v>
      </c>
      <c r="D6" s="3240"/>
      <c r="E6" s="3241" t="s">
        <v>2547</v>
      </c>
      <c r="F6" s="3242"/>
      <c r="G6" s="3239" t="s">
        <v>2547</v>
      </c>
      <c r="H6" s="3240"/>
      <c r="I6" s="3239" t="s">
        <v>2547</v>
      </c>
      <c r="J6" s="3240"/>
      <c r="K6" s="2598" t="s">
        <v>2548</v>
      </c>
      <c r="L6" s="1131"/>
      <c r="M6" s="1132"/>
      <c r="N6" s="1132"/>
      <c r="O6" s="1132"/>
      <c r="P6" s="3252"/>
      <c r="Q6" s="3253"/>
      <c r="R6" s="3233"/>
      <c r="S6" s="3234"/>
      <c r="T6" s="3254"/>
      <c r="U6" s="3255"/>
      <c r="V6" s="3228"/>
      <c r="W6" s="3228"/>
      <c r="X6" s="1811"/>
      <c r="Y6" s="3254"/>
      <c r="Z6" s="3255"/>
      <c r="AA6" s="3227"/>
      <c r="AB6" s="3227"/>
      <c r="AC6" s="3227"/>
    </row>
    <row r="7" spans="1:29" s="117" customFormat="1" ht="15.75" thickBot="1">
      <c r="A7" s="408" t="s">
        <v>2549</v>
      </c>
      <c r="B7" s="409"/>
      <c r="C7" s="410">
        <f>'数据-取费表'!B2</f>
        <v>43570</v>
      </c>
      <c r="D7" s="411">
        <v>100</v>
      </c>
      <c r="E7" s="412"/>
      <c r="F7" s="413">
        <f>SUMIF(58:58,YEAR(E7)&amp;"-"&amp;MONTH(E7),59:59)</f>
        <v>0</v>
      </c>
      <c r="G7" s="412"/>
      <c r="H7" s="411">
        <f>SUMIF(58:58,YEAR(G7)&amp;"-"&amp;MONTH(G7),59:59)</f>
        <v>0</v>
      </c>
      <c r="I7" s="412"/>
      <c r="J7" s="411">
        <f>SUMIF(58:58,YEAR(I7)&amp;"-"&amp;MONTH(I7),59:59)</f>
        <v>0</v>
      </c>
      <c r="K7" s="2599"/>
      <c r="L7" s="1133"/>
      <c r="M7" s="1134"/>
      <c r="N7" s="1134"/>
      <c r="O7" s="1134"/>
      <c r="P7" s="3229" t="s">
        <v>2550</v>
      </c>
      <c r="Q7" s="3256"/>
      <c r="R7" s="768" t="s">
        <v>23</v>
      </c>
      <c r="S7" s="769">
        <f t="shared" ref="S7:S15" si="0">F7</f>
        <v>0</v>
      </c>
      <c r="T7" s="768" t="s">
        <v>23</v>
      </c>
      <c r="U7" s="769">
        <f t="shared" ref="U7:U15" si="1">H7</f>
        <v>0</v>
      </c>
      <c r="V7" s="768" t="s">
        <v>23</v>
      </c>
      <c r="W7" s="769">
        <f t="shared" ref="W7:W15" si="2">J7</f>
        <v>0</v>
      </c>
      <c r="X7" s="770"/>
      <c r="Y7" s="3229" t="s">
        <v>2550</v>
      </c>
      <c r="Z7" s="3230"/>
      <c r="AA7" s="771" t="e">
        <f>D7/F7</f>
        <v>#DIV/0!</v>
      </c>
      <c r="AB7" s="771" t="e">
        <f>D7/H7</f>
        <v>#DIV/0!</v>
      </c>
      <c r="AC7" s="771" t="e">
        <f>D7/J7</f>
        <v>#DIV/0!</v>
      </c>
    </row>
    <row r="8" spans="1:29" s="117" customFormat="1" ht="15.75" thickBot="1">
      <c r="A8" s="408" t="s">
        <v>2551</v>
      </c>
      <c r="B8" s="409"/>
      <c r="C8" s="414" t="s">
        <v>2552</v>
      </c>
      <c r="D8" s="411">
        <v>100</v>
      </c>
      <c r="E8" s="2600"/>
      <c r="F8" s="413">
        <f>SUMIF(61:61,E8,62:62)-SUMIF(61:61,C8,62:62)+100</f>
        <v>0</v>
      </c>
      <c r="G8" s="414"/>
      <c r="H8" s="411">
        <f>SUMIF(61:61,G8,62:62)-SUMIF(61:61,C8,62:62)+100</f>
        <v>0</v>
      </c>
      <c r="I8" s="2600"/>
      <c r="J8" s="411">
        <f>SUMIF(61:61,I8,62:62)-SUMIF(61:61,C8,62:62)+100</f>
        <v>0</v>
      </c>
      <c r="K8" s="2599"/>
      <c r="L8" s="1133"/>
      <c r="M8" s="1134"/>
      <c r="N8" s="1134"/>
      <c r="O8" s="1134"/>
      <c r="P8" s="3229" t="s">
        <v>2553</v>
      </c>
      <c r="Q8" s="3230"/>
      <c r="R8" s="768" t="s">
        <v>23</v>
      </c>
      <c r="S8" s="769">
        <f t="shared" si="0"/>
        <v>0</v>
      </c>
      <c r="T8" s="768" t="s">
        <v>23</v>
      </c>
      <c r="U8" s="769">
        <f t="shared" si="1"/>
        <v>0</v>
      </c>
      <c r="V8" s="768" t="s">
        <v>23</v>
      </c>
      <c r="W8" s="769">
        <f t="shared" si="2"/>
        <v>0</v>
      </c>
      <c r="X8" s="770"/>
      <c r="Y8" s="3229" t="s">
        <v>2553</v>
      </c>
      <c r="Z8" s="3230"/>
      <c r="AA8" s="771" t="e">
        <f t="shared" ref="AA8:AA19" si="3">D8/F8</f>
        <v>#DIV/0!</v>
      </c>
      <c r="AB8" s="771" t="e">
        <f t="shared" ref="AB8:AB19" si="4">D8/H8</f>
        <v>#DIV/0!</v>
      </c>
      <c r="AC8" s="771"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9"/>
      <c r="L9" s="1133"/>
      <c r="M9" s="1134"/>
      <c r="N9" s="1134"/>
      <c r="O9" s="1134"/>
      <c r="P9" s="3243" t="s">
        <v>2556</v>
      </c>
      <c r="Q9" s="1793" t="str">
        <f t="shared" ref="Q9:Q15" si="6">B9</f>
        <v>用途</v>
      </c>
      <c r="R9" s="768" t="s">
        <v>17</v>
      </c>
      <c r="S9" s="769">
        <f t="shared" si="0"/>
        <v>100</v>
      </c>
      <c r="T9" s="768" t="s">
        <v>17</v>
      </c>
      <c r="U9" s="769">
        <f t="shared" si="1"/>
        <v>100</v>
      </c>
      <c r="V9" s="768" t="s">
        <v>17</v>
      </c>
      <c r="W9" s="769">
        <f t="shared" si="2"/>
        <v>100</v>
      </c>
      <c r="X9" s="770"/>
      <c r="Y9" s="3102" t="s">
        <v>2557</v>
      </c>
      <c r="Z9" s="55" t="str">
        <f t="shared" ref="Z9:Z15" si="7">Q9</f>
        <v>用途</v>
      </c>
      <c r="AA9" s="771">
        <f t="shared" si="3"/>
        <v>1</v>
      </c>
      <c r="AB9" s="771">
        <f t="shared" si="4"/>
        <v>1</v>
      </c>
      <c r="AC9" s="771">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243"/>
      <c r="Q10" s="1793" t="str">
        <f t="shared" si="6"/>
        <v>土地使用年限（年）</v>
      </c>
      <c r="R10" s="768" t="s">
        <v>17</v>
      </c>
      <c r="S10" s="769">
        <f t="shared" si="0"/>
        <v>100</v>
      </c>
      <c r="T10" s="768" t="s">
        <v>17</v>
      </c>
      <c r="U10" s="769">
        <f t="shared" si="1"/>
        <v>100</v>
      </c>
      <c r="V10" s="768" t="s">
        <v>17</v>
      </c>
      <c r="W10" s="769">
        <f t="shared" si="2"/>
        <v>100</v>
      </c>
      <c r="X10" s="770"/>
      <c r="Y10" s="3102"/>
      <c r="Z10" s="55" t="str">
        <f t="shared" si="7"/>
        <v>土地使用年限（年）</v>
      </c>
      <c r="AA10" s="771">
        <f t="shared" si="3"/>
        <v>1</v>
      </c>
      <c r="AB10" s="771">
        <f t="shared" si="4"/>
        <v>1</v>
      </c>
      <c r="AC10" s="771">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243"/>
      <c r="Q11" s="1793" t="str">
        <f t="shared" si="6"/>
        <v>容积率</v>
      </c>
      <c r="R11" s="768" t="s">
        <v>21</v>
      </c>
      <c r="S11" s="769" t="e">
        <f t="shared" si="0"/>
        <v>#N/A</v>
      </c>
      <c r="T11" s="768" t="s">
        <v>21</v>
      </c>
      <c r="U11" s="769" t="e">
        <f t="shared" si="1"/>
        <v>#N/A</v>
      </c>
      <c r="V11" s="768" t="s">
        <v>21</v>
      </c>
      <c r="W11" s="769" t="e">
        <f t="shared" si="2"/>
        <v>#N/A</v>
      </c>
      <c r="X11" s="770"/>
      <c r="Y11" s="3102"/>
      <c r="Z11" s="55" t="str">
        <f t="shared" si="7"/>
        <v>容积率</v>
      </c>
      <c r="AA11" s="771" t="e">
        <f t="shared" si="3"/>
        <v>#N/A</v>
      </c>
      <c r="AB11" s="771" t="e">
        <f t="shared" si="4"/>
        <v>#N/A</v>
      </c>
      <c r="AC11" s="771"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3"/>
      <c r="M12" s="1134"/>
      <c r="N12" s="1134"/>
      <c r="O12" s="1134"/>
      <c r="P12" s="3243"/>
      <c r="Q12" s="1793">
        <f t="shared" si="6"/>
        <v>111</v>
      </c>
      <c r="R12" s="768" t="s">
        <v>21</v>
      </c>
      <c r="S12" s="769">
        <f t="shared" si="0"/>
        <v>100</v>
      </c>
      <c r="T12" s="768" t="s">
        <v>21</v>
      </c>
      <c r="U12" s="769">
        <f t="shared" si="1"/>
        <v>100</v>
      </c>
      <c r="V12" s="768" t="s">
        <v>21</v>
      </c>
      <c r="W12" s="769">
        <f t="shared" si="2"/>
        <v>100</v>
      </c>
      <c r="X12" s="770"/>
      <c r="Y12" s="3102"/>
      <c r="Z12" s="55">
        <f t="shared" si="7"/>
        <v>111</v>
      </c>
      <c r="AA12" s="771">
        <f>D12/F12</f>
        <v>1</v>
      </c>
      <c r="AB12" s="771">
        <f>D12/H12</f>
        <v>1</v>
      </c>
      <c r="AC12" s="771">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1"/>
      <c r="M13" s="1132"/>
      <c r="N13" s="1132"/>
      <c r="O13" s="1132"/>
      <c r="P13" s="3243"/>
      <c r="Q13" s="1793">
        <f t="shared" si="6"/>
        <v>111</v>
      </c>
      <c r="R13" s="768" t="s">
        <v>21</v>
      </c>
      <c r="S13" s="769">
        <f t="shared" si="0"/>
        <v>100</v>
      </c>
      <c r="T13" s="768" t="s">
        <v>21</v>
      </c>
      <c r="U13" s="769">
        <f t="shared" si="1"/>
        <v>100</v>
      </c>
      <c r="V13" s="768" t="s">
        <v>21</v>
      </c>
      <c r="W13" s="769">
        <f t="shared" si="2"/>
        <v>100</v>
      </c>
      <c r="X13" s="770"/>
      <c r="Y13" s="3102"/>
      <c r="Z13" s="55">
        <f t="shared" si="7"/>
        <v>111</v>
      </c>
      <c r="AA13" s="771">
        <f t="shared" si="3"/>
        <v>1</v>
      </c>
      <c r="AB13" s="771">
        <f t="shared" si="4"/>
        <v>1</v>
      </c>
      <c r="AC13" s="771">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1"/>
      <c r="M14" s="1132"/>
      <c r="N14" s="1132"/>
      <c r="O14" s="1132"/>
      <c r="P14" s="3243"/>
      <c r="Q14" s="1793">
        <f t="shared" si="6"/>
        <v>111</v>
      </c>
      <c r="R14" s="768" t="s">
        <v>21</v>
      </c>
      <c r="S14" s="769">
        <f t="shared" si="0"/>
        <v>100</v>
      </c>
      <c r="T14" s="768" t="s">
        <v>21</v>
      </c>
      <c r="U14" s="769">
        <f t="shared" si="1"/>
        <v>100</v>
      </c>
      <c r="V14" s="768" t="s">
        <v>21</v>
      </c>
      <c r="W14" s="769">
        <f t="shared" si="2"/>
        <v>100</v>
      </c>
      <c r="X14" s="770"/>
      <c r="Y14" s="3102"/>
      <c r="Z14" s="55">
        <f t="shared" si="7"/>
        <v>111</v>
      </c>
      <c r="AA14" s="771">
        <f t="shared" si="3"/>
        <v>1</v>
      </c>
      <c r="AB14" s="771">
        <f t="shared" si="4"/>
        <v>1</v>
      </c>
      <c r="AC14" s="771">
        <f t="shared" si="5"/>
        <v>1</v>
      </c>
    </row>
    <row r="15" spans="1:29" ht="99.75">
      <c r="A15" s="440" t="s">
        <v>2560</v>
      </c>
      <c r="B15" s="69" t="s">
        <v>2085</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257" t="s">
        <v>2561</v>
      </c>
      <c r="Q15" s="1808" t="str">
        <f t="shared" si="6"/>
        <v>居住社区成熟度</v>
      </c>
      <c r="R15" s="772" t="s">
        <v>21</v>
      </c>
      <c r="S15" s="773">
        <f t="shared" si="0"/>
        <v>100</v>
      </c>
      <c r="T15" s="772" t="s">
        <v>21</v>
      </c>
      <c r="U15" s="773">
        <f t="shared" si="1"/>
        <v>100</v>
      </c>
      <c r="V15" s="772" t="s">
        <v>21</v>
      </c>
      <c r="W15" s="773">
        <f t="shared" si="2"/>
        <v>100</v>
      </c>
      <c r="X15" s="1811"/>
      <c r="Y15" s="3259" t="s">
        <v>2561</v>
      </c>
      <c r="Z15" s="1812" t="str">
        <f t="shared" si="7"/>
        <v>居住社区成熟度</v>
      </c>
      <c r="AA15" s="1809">
        <f t="shared" si="3"/>
        <v>1</v>
      </c>
      <c r="AB15" s="1809">
        <f t="shared" si="4"/>
        <v>1</v>
      </c>
      <c r="AC15" s="1809">
        <f t="shared" si="5"/>
        <v>1</v>
      </c>
    </row>
    <row r="16" spans="1:29" ht="15">
      <c r="A16" s="428"/>
      <c r="B16" s="446"/>
      <c r="C16" s="447"/>
      <c r="D16" s="448"/>
      <c r="E16" s="2605"/>
      <c r="F16" s="448"/>
      <c r="G16" s="2606"/>
      <c r="H16" s="450"/>
      <c r="I16" s="2606"/>
      <c r="J16" s="448"/>
      <c r="K16" s="2607"/>
      <c r="L16" s="1141"/>
      <c r="M16" s="1132"/>
      <c r="N16" s="1132"/>
      <c r="O16" s="1132"/>
      <c r="P16" s="3258"/>
      <c r="Q16" s="1808"/>
      <c r="R16" s="772"/>
      <c r="S16" s="773"/>
      <c r="T16" s="772"/>
      <c r="U16" s="773"/>
      <c r="V16" s="772"/>
      <c r="W16" s="773"/>
      <c r="X16" s="1811"/>
      <c r="Y16" s="3260"/>
      <c r="Z16" s="1812"/>
      <c r="AA16" s="1809">
        <v>1</v>
      </c>
      <c r="AB16" s="1809">
        <v>1</v>
      </c>
      <c r="AC16" s="1809">
        <v>1</v>
      </c>
    </row>
    <row r="17" spans="1:29" ht="85.5">
      <c r="A17" s="428"/>
      <c r="B17" s="451" t="s">
        <v>2097</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258"/>
      <c r="Q17" s="1808" t="str">
        <f>B17</f>
        <v>交通便捷度</v>
      </c>
      <c r="R17" s="772" t="s">
        <v>21</v>
      </c>
      <c r="S17" s="773">
        <f>F17</f>
        <v>100</v>
      </c>
      <c r="T17" s="772" t="s">
        <v>21</v>
      </c>
      <c r="U17" s="773">
        <f>H17</f>
        <v>100</v>
      </c>
      <c r="V17" s="772" t="s">
        <v>21</v>
      </c>
      <c r="W17" s="773">
        <f>J17</f>
        <v>100</v>
      </c>
      <c r="X17" s="1811"/>
      <c r="Y17" s="3260"/>
      <c r="Z17" s="1812" t="str">
        <f>Q17</f>
        <v>交通便捷度</v>
      </c>
      <c r="AA17" s="1809">
        <f t="shared" si="3"/>
        <v>1</v>
      </c>
      <c r="AB17" s="1809">
        <f t="shared" si="4"/>
        <v>1</v>
      </c>
      <c r="AC17" s="1809">
        <f t="shared" si="5"/>
        <v>1</v>
      </c>
    </row>
    <row r="18" spans="1:29" ht="15">
      <c r="A18" s="428"/>
      <c r="B18" s="456"/>
      <c r="C18" s="2609"/>
      <c r="D18" s="450"/>
      <c r="E18" s="2610"/>
      <c r="F18" s="450"/>
      <c r="G18" s="2611"/>
      <c r="H18" s="448"/>
      <c r="I18" s="2611"/>
      <c r="J18" s="448"/>
      <c r="K18" s="2607"/>
      <c r="L18" s="1141"/>
      <c r="M18" s="1132"/>
      <c r="N18" s="1132"/>
      <c r="O18" s="1132"/>
      <c r="P18" s="3258"/>
      <c r="Q18" s="1808"/>
      <c r="R18" s="772"/>
      <c r="S18" s="773"/>
      <c r="T18" s="772"/>
      <c r="U18" s="773"/>
      <c r="V18" s="772"/>
      <c r="W18" s="773"/>
      <c r="X18" s="1811"/>
      <c r="Y18" s="3260"/>
      <c r="Z18" s="1812"/>
      <c r="AA18" s="1809">
        <v>1</v>
      </c>
      <c r="AB18" s="1809">
        <v>1</v>
      </c>
      <c r="AC18" s="1809">
        <v>1</v>
      </c>
    </row>
    <row r="19" spans="1:29" ht="42.75">
      <c r="A19" s="428"/>
      <c r="B19" s="451" t="s">
        <v>2095</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258"/>
      <c r="Q19" s="1808" t="str">
        <f>B19</f>
        <v>公共配套设施</v>
      </c>
      <c r="R19" s="772" t="s">
        <v>21</v>
      </c>
      <c r="S19" s="773">
        <f>F19</f>
        <v>100</v>
      </c>
      <c r="T19" s="772" t="s">
        <v>21</v>
      </c>
      <c r="U19" s="773">
        <f>H19</f>
        <v>100</v>
      </c>
      <c r="V19" s="772" t="s">
        <v>21</v>
      </c>
      <c r="W19" s="773">
        <f>J19</f>
        <v>100</v>
      </c>
      <c r="X19" s="1811"/>
      <c r="Y19" s="3260"/>
      <c r="Z19" s="1812" t="str">
        <f>Q19</f>
        <v>公共配套设施</v>
      </c>
      <c r="AA19" s="1809">
        <f t="shared" si="3"/>
        <v>1</v>
      </c>
      <c r="AB19" s="1809">
        <f t="shared" si="4"/>
        <v>1</v>
      </c>
      <c r="AC19" s="1809">
        <f t="shared" si="5"/>
        <v>1</v>
      </c>
    </row>
    <row r="20" spans="1:29" ht="15">
      <c r="A20" s="428"/>
      <c r="B20" s="456"/>
      <c r="C20" s="447"/>
      <c r="D20" s="448"/>
      <c r="E20" s="2605"/>
      <c r="F20" s="448"/>
      <c r="G20" s="2606"/>
      <c r="H20" s="448"/>
      <c r="I20" s="2606"/>
      <c r="J20" s="448"/>
      <c r="K20" s="2607"/>
      <c r="L20" s="1141"/>
      <c r="M20" s="1132"/>
      <c r="N20" s="1132"/>
      <c r="O20" s="1132"/>
      <c r="P20" s="3258"/>
      <c r="Q20" s="1808"/>
      <c r="R20" s="772"/>
      <c r="S20" s="773"/>
      <c r="T20" s="772"/>
      <c r="U20" s="773"/>
      <c r="V20" s="772"/>
      <c r="W20" s="773"/>
      <c r="X20" s="1811"/>
      <c r="Y20" s="3260"/>
      <c r="Z20" s="1812"/>
      <c r="AA20" s="1809">
        <v>1</v>
      </c>
      <c r="AB20" s="1809">
        <v>1</v>
      </c>
      <c r="AC20" s="1809">
        <v>1</v>
      </c>
    </row>
    <row r="21" spans="1:29" ht="28.5">
      <c r="A21" s="428"/>
      <c r="B21" s="1385" t="s">
        <v>2098</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258"/>
      <c r="Q21" s="1808" t="str">
        <f>B21</f>
        <v>基础设施水平</v>
      </c>
      <c r="R21" s="772" t="s">
        <v>17</v>
      </c>
      <c r="S21" s="773">
        <f>F21</f>
        <v>100</v>
      </c>
      <c r="T21" s="772" t="s">
        <v>17</v>
      </c>
      <c r="U21" s="773">
        <f>H21</f>
        <v>100</v>
      </c>
      <c r="V21" s="772" t="s">
        <v>17</v>
      </c>
      <c r="W21" s="773">
        <f>J21</f>
        <v>100</v>
      </c>
      <c r="X21" s="1811"/>
      <c r="Y21" s="3260"/>
      <c r="Z21" s="1812" t="str">
        <f>Q21</f>
        <v>基础设施水平</v>
      </c>
      <c r="AA21" s="1809">
        <f t="shared" ref="AA21" si="8">D21/F21</f>
        <v>1</v>
      </c>
      <c r="AB21" s="1809">
        <f t="shared" ref="AB21" si="9">D21/H21</f>
        <v>1</v>
      </c>
      <c r="AC21" s="1809">
        <f t="shared" ref="AC21" si="10">D21/J21</f>
        <v>1</v>
      </c>
    </row>
    <row r="22" spans="1:29" ht="15">
      <c r="A22" s="428"/>
      <c r="B22" s="1385"/>
      <c r="C22" s="2609"/>
      <c r="D22" s="448"/>
      <c r="E22" s="447"/>
      <c r="F22" s="448"/>
      <c r="G22" s="2612"/>
      <c r="H22" s="448"/>
      <c r="I22" s="447"/>
      <c r="J22" s="448"/>
      <c r="K22" s="2613"/>
      <c r="L22" s="1141"/>
      <c r="M22" s="1132"/>
      <c r="N22" s="1132"/>
      <c r="O22" s="1132"/>
      <c r="P22" s="3258"/>
      <c r="Q22" s="1808"/>
      <c r="R22" s="772"/>
      <c r="S22" s="773"/>
      <c r="T22" s="772"/>
      <c r="U22" s="773"/>
      <c r="V22" s="772"/>
      <c r="W22" s="773"/>
      <c r="X22" s="1811"/>
      <c r="Y22" s="3260"/>
      <c r="Z22" s="1812"/>
      <c r="AA22" s="1809">
        <v>1</v>
      </c>
      <c r="AB22" s="1809">
        <v>1</v>
      </c>
      <c r="AC22" s="1809">
        <v>1</v>
      </c>
    </row>
    <row r="23" spans="1:29" ht="57">
      <c r="A23" s="428"/>
      <c r="B23" s="451" t="s">
        <v>2102</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258"/>
      <c r="Q23" s="1808" t="str">
        <f>B23</f>
        <v>自然及人文环境</v>
      </c>
      <c r="R23" s="772" t="s">
        <v>21</v>
      </c>
      <c r="S23" s="773">
        <f>F23</f>
        <v>100</v>
      </c>
      <c r="T23" s="772" t="s">
        <v>21</v>
      </c>
      <c r="U23" s="773">
        <f>H23</f>
        <v>100</v>
      </c>
      <c r="V23" s="772" t="s">
        <v>21</v>
      </c>
      <c r="W23" s="773">
        <f>J23</f>
        <v>100</v>
      </c>
      <c r="X23" s="1811"/>
      <c r="Y23" s="3260"/>
      <c r="Z23" s="1812" t="str">
        <f>Q23</f>
        <v>自然及人文环境</v>
      </c>
      <c r="AA23" s="1809">
        <f>D23/F23</f>
        <v>1</v>
      </c>
      <c r="AB23" s="1809">
        <f>D23/H23</f>
        <v>1</v>
      </c>
      <c r="AC23" s="1809">
        <f>D23/J23</f>
        <v>1</v>
      </c>
    </row>
    <row r="24" spans="1:29" ht="15">
      <c r="A24" s="428"/>
      <c r="B24" s="456"/>
      <c r="C24" s="447"/>
      <c r="D24" s="448"/>
      <c r="E24" s="2605"/>
      <c r="F24" s="448"/>
      <c r="G24" s="2606"/>
      <c r="H24" s="448"/>
      <c r="I24" s="2606"/>
      <c r="J24" s="448"/>
      <c r="K24" s="2607"/>
      <c r="L24" s="1141"/>
      <c r="M24" s="1132"/>
      <c r="N24" s="1132"/>
      <c r="O24" s="1132"/>
      <c r="P24" s="3258"/>
      <c r="Q24" s="1808"/>
      <c r="R24" s="772"/>
      <c r="S24" s="773"/>
      <c r="T24" s="772"/>
      <c r="U24" s="773"/>
      <c r="V24" s="772"/>
      <c r="W24" s="773"/>
      <c r="X24" s="1811"/>
      <c r="Y24" s="3260"/>
      <c r="Z24" s="1812"/>
      <c r="AA24" s="1809">
        <v>1</v>
      </c>
      <c r="AB24" s="1809">
        <v>1</v>
      </c>
      <c r="AC24" s="1809">
        <v>1</v>
      </c>
    </row>
    <row r="25" spans="1:29" ht="15">
      <c r="A25" s="428"/>
      <c r="B25" s="422" t="s">
        <v>2562</v>
      </c>
      <c r="C25" s="460"/>
      <c r="D25" s="435">
        <v>100</v>
      </c>
      <c r="E25" s="2614"/>
      <c r="F25" s="435">
        <f>SUMIF(86:86,E25,87:87)-SUMIF(86:86,C25,87:87)+100</f>
        <v>100</v>
      </c>
      <c r="G25" s="2615"/>
      <c r="H25" s="435">
        <f>SUMIF(86:86,G25,87:87)-SUMIF(86:86,C25,87:87)+100</f>
        <v>100</v>
      </c>
      <c r="I25" s="2615"/>
      <c r="J25" s="435">
        <f>SUMIF(86:86,I25,87:87)-SUMIF(86:86,C25,87:87)+100</f>
        <v>100</v>
      </c>
      <c r="K25" s="426"/>
      <c r="L25" s="1141"/>
      <c r="M25" s="1132"/>
      <c r="N25" s="1132"/>
      <c r="O25" s="1132"/>
      <c r="P25" s="3258"/>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260"/>
      <c r="Z25" s="1812" t="str">
        <f>Q25</f>
        <v>楼层-1</v>
      </c>
      <c r="AA25" s="1809">
        <f t="shared" ref="AA25:AA46" si="15">D25/F25</f>
        <v>1</v>
      </c>
      <c r="AB25" s="1809">
        <f t="shared" ref="AB25:AB46" si="16">D25/H25</f>
        <v>1</v>
      </c>
      <c r="AC25" s="1809">
        <f t="shared" ref="AC25:AC46" si="17">D25/J25</f>
        <v>1</v>
      </c>
    </row>
    <row r="26" spans="1:29" ht="15">
      <c r="A26" s="428"/>
      <c r="B26" s="422" t="s">
        <v>2563</v>
      </c>
      <c r="C26" s="460"/>
      <c r="D26" s="435">
        <v>100</v>
      </c>
      <c r="E26" s="2614"/>
      <c r="F26" s="435">
        <f>SUMIF(88:88,E26,89:89)-SUMIF(88:88,C26,89:89)+100</f>
        <v>100</v>
      </c>
      <c r="G26" s="2615"/>
      <c r="H26" s="435">
        <f>SUMIF(88:88,G26,89:89)-SUMIF(88:88,C26,89:89)+100</f>
        <v>100</v>
      </c>
      <c r="I26" s="2615"/>
      <c r="J26" s="435">
        <f>SUMIF(88:88,I26,89:89)-SUMIF(88:88,C26,89:89)+100</f>
        <v>100</v>
      </c>
      <c r="K26" s="426"/>
      <c r="L26" s="1141"/>
      <c r="M26" s="1132"/>
      <c r="N26" s="1132"/>
      <c r="O26" s="1132"/>
      <c r="P26" s="3258"/>
      <c r="Q26" s="1808" t="str">
        <f t="shared" si="11"/>
        <v>朝向</v>
      </c>
      <c r="R26" s="772" t="s">
        <v>21</v>
      </c>
      <c r="S26" s="773">
        <f t="shared" si="12"/>
        <v>100</v>
      </c>
      <c r="T26" s="772" t="s">
        <v>21</v>
      </c>
      <c r="U26" s="773">
        <f t="shared" si="13"/>
        <v>100</v>
      </c>
      <c r="V26" s="772" t="s">
        <v>21</v>
      </c>
      <c r="W26" s="773">
        <f t="shared" si="14"/>
        <v>100</v>
      </c>
      <c r="X26" s="1811"/>
      <c r="Y26" s="3260"/>
      <c r="Z26" s="1812" t="str">
        <f>Q26</f>
        <v>朝向</v>
      </c>
      <c r="AA26" s="1809">
        <f t="shared" si="15"/>
        <v>1</v>
      </c>
      <c r="AB26" s="1809">
        <f t="shared" si="16"/>
        <v>1</v>
      </c>
      <c r="AC26" s="1809">
        <f t="shared" si="17"/>
        <v>1</v>
      </c>
    </row>
    <row r="27" spans="1:29" s="117" customFormat="1" ht="15">
      <c r="A27" s="431"/>
      <c r="B27" s="1387">
        <v>111</v>
      </c>
      <c r="C27" s="432"/>
      <c r="D27" s="462">
        <v>100</v>
      </c>
      <c r="E27" s="465"/>
      <c r="F27" s="462">
        <f>SUMIF(90:90,E27,91:91)-SUMIF(90:90,C27,91:91)+100</f>
        <v>100</v>
      </c>
      <c r="G27" s="463"/>
      <c r="H27" s="462">
        <f>SUMIF(90:90,G27,91:91)-SUMIF(90:90,C27,91:91)+100</f>
        <v>100</v>
      </c>
      <c r="I27" s="463"/>
      <c r="J27" s="462">
        <f>SUMIF(90:90,I27,91:91)-SUMIF(90:90,C27,91:91)+100</f>
        <v>100</v>
      </c>
      <c r="K27" s="2602"/>
      <c r="L27" s="1133"/>
      <c r="M27" s="1134"/>
      <c r="N27" s="1134"/>
      <c r="O27" s="1134"/>
      <c r="P27" s="3258"/>
      <c r="Q27" s="1793">
        <f t="shared" si="11"/>
        <v>111</v>
      </c>
      <c r="R27" s="768" t="s">
        <v>21</v>
      </c>
      <c r="S27" s="769">
        <f t="shared" si="12"/>
        <v>100</v>
      </c>
      <c r="T27" s="768" t="s">
        <v>21</v>
      </c>
      <c r="U27" s="769">
        <f t="shared" si="13"/>
        <v>100</v>
      </c>
      <c r="V27" s="768" t="s">
        <v>21</v>
      </c>
      <c r="W27" s="769">
        <f t="shared" si="14"/>
        <v>100</v>
      </c>
      <c r="X27" s="770"/>
      <c r="Y27" s="3260"/>
      <c r="Z27" s="55">
        <f>Q27</f>
        <v>111</v>
      </c>
      <c r="AA27" s="1809">
        <f t="shared" si="15"/>
        <v>1</v>
      </c>
      <c r="AB27" s="1809">
        <f t="shared" si="16"/>
        <v>1</v>
      </c>
      <c r="AC27" s="1809">
        <f t="shared" si="17"/>
        <v>1</v>
      </c>
    </row>
    <row r="28" spans="1:29" ht="15">
      <c r="A28" s="428"/>
      <c r="B28" s="1387">
        <v>111</v>
      </c>
      <c r="C28" s="434"/>
      <c r="D28" s="435">
        <v>100</v>
      </c>
      <c r="E28" s="434"/>
      <c r="F28" s="435">
        <f>SUMIF(92:92,E28,93:93)-SUMIF(92:92,C28,93:93)+100</f>
        <v>100</v>
      </c>
      <c r="G28" s="2616"/>
      <c r="H28" s="435">
        <f>SUMIF(92:92,G28,93:93)-SUMIF(92:92,C28,93:93)+100</f>
        <v>100</v>
      </c>
      <c r="I28" s="434"/>
      <c r="J28" s="435">
        <f>SUMIF(92:92,I28,93:93)-SUMIF(92:92,C28,93:93)+100</f>
        <v>100</v>
      </c>
      <c r="K28" s="2602"/>
      <c r="L28" s="1141"/>
      <c r="M28" s="1132"/>
      <c r="N28" s="1132"/>
      <c r="O28" s="1132"/>
      <c r="P28" s="3258"/>
      <c r="Q28" s="1808">
        <f t="shared" si="11"/>
        <v>111</v>
      </c>
      <c r="R28" s="772" t="s">
        <v>21</v>
      </c>
      <c r="S28" s="773">
        <f t="shared" si="12"/>
        <v>100</v>
      </c>
      <c r="T28" s="772" t="s">
        <v>21</v>
      </c>
      <c r="U28" s="773">
        <f t="shared" si="13"/>
        <v>100</v>
      </c>
      <c r="V28" s="772" t="s">
        <v>21</v>
      </c>
      <c r="W28" s="773">
        <f t="shared" si="14"/>
        <v>100</v>
      </c>
      <c r="X28" s="1811"/>
      <c r="Y28" s="3260"/>
      <c r="Z28" s="1812">
        <f t="shared" ref="Z28:Z46" si="18">Q28</f>
        <v>111</v>
      </c>
      <c r="AA28" s="1809">
        <f t="shared" si="15"/>
        <v>1</v>
      </c>
      <c r="AB28" s="1809">
        <f t="shared" si="16"/>
        <v>1</v>
      </c>
      <c r="AC28" s="1809">
        <f t="shared" si="17"/>
        <v>1</v>
      </c>
    </row>
    <row r="29" spans="1:29" ht="15">
      <c r="A29" s="428"/>
      <c r="B29" s="1387">
        <v>111</v>
      </c>
      <c r="C29" s="434"/>
      <c r="D29" s="435">
        <v>100</v>
      </c>
      <c r="E29" s="434"/>
      <c r="F29" s="435">
        <f>SUMIF(94:94,E29,95:95)-SUMIF(94:94,C29,95:95)+100</f>
        <v>100</v>
      </c>
      <c r="G29" s="2616"/>
      <c r="H29" s="435">
        <f>SUMIF(94:94,G29,95:95)-SUMIF(94:94,C29,95:95)+100</f>
        <v>100</v>
      </c>
      <c r="I29" s="434"/>
      <c r="J29" s="435">
        <f>SUMIF(94:94,I29,95:95)-SUMIF(94:94,C29,95:95)+100</f>
        <v>100</v>
      </c>
      <c r="K29" s="2602"/>
      <c r="L29" s="1141"/>
      <c r="M29" s="1132"/>
      <c r="N29" s="1132"/>
      <c r="O29" s="1132"/>
      <c r="P29" s="3258"/>
      <c r="Q29" s="1808">
        <f t="shared" si="11"/>
        <v>111</v>
      </c>
      <c r="R29" s="772" t="s">
        <v>21</v>
      </c>
      <c r="S29" s="773">
        <f t="shared" si="12"/>
        <v>100</v>
      </c>
      <c r="T29" s="772" t="s">
        <v>21</v>
      </c>
      <c r="U29" s="773">
        <f t="shared" si="13"/>
        <v>100</v>
      </c>
      <c r="V29" s="772" t="s">
        <v>21</v>
      </c>
      <c r="W29" s="773">
        <f t="shared" si="14"/>
        <v>100</v>
      </c>
      <c r="X29" s="1811"/>
      <c r="Y29" s="3260"/>
      <c r="Z29" s="1812">
        <f t="shared" si="18"/>
        <v>111</v>
      </c>
      <c r="AA29" s="1809">
        <f t="shared" si="15"/>
        <v>1</v>
      </c>
      <c r="AB29" s="1809">
        <f t="shared" si="16"/>
        <v>1</v>
      </c>
      <c r="AC29" s="1809">
        <f t="shared" si="17"/>
        <v>1</v>
      </c>
    </row>
    <row r="30" spans="1:29" ht="15">
      <c r="A30" s="428"/>
      <c r="B30" s="1387">
        <v>111</v>
      </c>
      <c r="C30" s="434"/>
      <c r="D30" s="435">
        <v>100</v>
      </c>
      <c r="E30" s="434"/>
      <c r="F30" s="435">
        <f>SUMIF(96:96,E30,97:97)-SUMIF(96:96,C30,97:97)+100</f>
        <v>100</v>
      </c>
      <c r="G30" s="2616"/>
      <c r="H30" s="435">
        <f>SUMIF(96:96,G30,97:97)-SUMIF(96:96,C30,97:97)+100</f>
        <v>100</v>
      </c>
      <c r="I30" s="434"/>
      <c r="J30" s="435">
        <f>SUMIF(96:96,I30,97:97)-SUMIF(96:96,C30,97:97)+100</f>
        <v>100</v>
      </c>
      <c r="K30" s="2602"/>
      <c r="L30" s="1141"/>
      <c r="M30" s="1132"/>
      <c r="N30" s="1132"/>
      <c r="O30" s="1132"/>
      <c r="P30" s="3258"/>
      <c r="Q30" s="1808">
        <f t="shared" si="11"/>
        <v>111</v>
      </c>
      <c r="R30" s="772" t="s">
        <v>21</v>
      </c>
      <c r="S30" s="773">
        <f t="shared" si="12"/>
        <v>100</v>
      </c>
      <c r="T30" s="772" t="s">
        <v>21</v>
      </c>
      <c r="U30" s="773">
        <f t="shared" si="13"/>
        <v>100</v>
      </c>
      <c r="V30" s="772" t="s">
        <v>21</v>
      </c>
      <c r="W30" s="773">
        <f t="shared" si="14"/>
        <v>100</v>
      </c>
      <c r="X30" s="1811"/>
      <c r="Y30" s="3260"/>
      <c r="Z30" s="1812">
        <f t="shared" si="18"/>
        <v>111</v>
      </c>
      <c r="AA30" s="1809">
        <f t="shared" si="15"/>
        <v>1</v>
      </c>
      <c r="AB30" s="1809">
        <f t="shared" si="16"/>
        <v>1</v>
      </c>
      <c r="AC30" s="1809">
        <f t="shared" si="17"/>
        <v>1</v>
      </c>
    </row>
    <row r="31" spans="1:29" ht="15.75" thickBot="1">
      <c r="A31" s="436"/>
      <c r="B31" s="1387">
        <v>111</v>
      </c>
      <c r="C31" s="437"/>
      <c r="D31" s="438">
        <v>100</v>
      </c>
      <c r="E31" s="437"/>
      <c r="F31" s="438">
        <f>SUMIF(98:98,E31,99:99)-SUMIF(98:98,C31,99:99)+100</f>
        <v>100</v>
      </c>
      <c r="G31" s="2617"/>
      <c r="H31" s="438">
        <f>SUMIF(98:98,G31,99:99)-SUMIF(98:98,C31,99:99)+100</f>
        <v>100</v>
      </c>
      <c r="I31" s="437"/>
      <c r="J31" s="438">
        <f>SUMIF(98:98,I31,99:99)-SUMIF(98:98,C31,99:99)+100</f>
        <v>100</v>
      </c>
      <c r="K31" s="2602"/>
      <c r="L31" s="1141"/>
      <c r="M31" s="1132"/>
      <c r="N31" s="1132"/>
      <c r="O31" s="1132"/>
      <c r="P31" s="3258"/>
      <c r="Q31" s="1808">
        <f t="shared" si="11"/>
        <v>111</v>
      </c>
      <c r="R31" s="772" t="s">
        <v>21</v>
      </c>
      <c r="S31" s="773">
        <f t="shared" si="12"/>
        <v>100</v>
      </c>
      <c r="T31" s="772" t="s">
        <v>21</v>
      </c>
      <c r="U31" s="773">
        <f t="shared" si="13"/>
        <v>100</v>
      </c>
      <c r="V31" s="772" t="s">
        <v>21</v>
      </c>
      <c r="W31" s="773">
        <f t="shared" si="14"/>
        <v>100</v>
      </c>
      <c r="X31" s="1811"/>
      <c r="Y31" s="3260"/>
      <c r="Z31" s="1812">
        <f t="shared" si="18"/>
        <v>111</v>
      </c>
      <c r="AA31" s="1809">
        <f t="shared" si="15"/>
        <v>1</v>
      </c>
      <c r="AB31" s="1809">
        <f t="shared" si="16"/>
        <v>1</v>
      </c>
      <c r="AC31" s="1809">
        <f t="shared" si="17"/>
        <v>1</v>
      </c>
    </row>
    <row r="32" spans="1:29" ht="15">
      <c r="A32" s="440" t="s">
        <v>2564</v>
      </c>
      <c r="B32" s="71" t="s">
        <v>2565</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1"/>
      <c r="M32" s="1132"/>
      <c r="N32" s="1132"/>
      <c r="O32" s="1132"/>
      <c r="P32" s="3261" t="s">
        <v>2566</v>
      </c>
      <c r="Q32" s="1808" t="str">
        <f t="shared" si="11"/>
        <v>建筑类型</v>
      </c>
      <c r="R32" s="772" t="s">
        <v>21</v>
      </c>
      <c r="S32" s="773">
        <f t="shared" si="12"/>
        <v>100</v>
      </c>
      <c r="T32" s="772" t="s">
        <v>21</v>
      </c>
      <c r="U32" s="773">
        <f t="shared" si="13"/>
        <v>100</v>
      </c>
      <c r="V32" s="772" t="s">
        <v>21</v>
      </c>
      <c r="W32" s="773">
        <f t="shared" si="14"/>
        <v>100</v>
      </c>
      <c r="X32" s="1811"/>
      <c r="Y32" s="3264" t="s">
        <v>2566</v>
      </c>
      <c r="Z32" s="1812" t="str">
        <f t="shared" si="18"/>
        <v>建筑类型</v>
      </c>
      <c r="AA32" s="1809">
        <f t="shared" si="15"/>
        <v>1</v>
      </c>
      <c r="AB32" s="1809">
        <f t="shared" si="16"/>
        <v>1</v>
      </c>
      <c r="AC32" s="1809">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39"/>
      <c r="M33" s="1142"/>
      <c r="N33" s="1142"/>
      <c r="O33" s="1142"/>
      <c r="P33" s="3262"/>
      <c r="Q33" s="774" t="str">
        <f t="shared" si="11"/>
        <v>项目建筑规模</v>
      </c>
      <c r="R33" s="775" t="s">
        <v>21</v>
      </c>
      <c r="S33" s="776" t="e">
        <f t="shared" si="12"/>
        <v>#N/A</v>
      </c>
      <c r="T33" s="775" t="s">
        <v>21</v>
      </c>
      <c r="U33" s="776" t="e">
        <f t="shared" si="13"/>
        <v>#N/A</v>
      </c>
      <c r="V33" s="775" t="s">
        <v>21</v>
      </c>
      <c r="W33" s="776" t="e">
        <f t="shared" si="14"/>
        <v>#N/A</v>
      </c>
      <c r="X33" s="777"/>
      <c r="Y33" s="3264"/>
      <c r="Z33" s="778" t="str">
        <f t="shared" si="18"/>
        <v>项目建筑规模</v>
      </c>
      <c r="AA33" s="1809" t="e">
        <f t="shared" si="15"/>
        <v>#N/A</v>
      </c>
      <c r="AB33" s="1809" t="e">
        <f t="shared" si="16"/>
        <v>#N/A</v>
      </c>
      <c r="AC33" s="1809" t="e">
        <f t="shared" si="17"/>
        <v>#N/A</v>
      </c>
    </row>
    <row r="34" spans="1:29" ht="15">
      <c r="A34" s="472"/>
      <c r="B34" s="422" t="s">
        <v>2568</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1"/>
      <c r="M34" s="1132"/>
      <c r="N34" s="1132"/>
      <c r="O34" s="1132"/>
      <c r="P34" s="3262"/>
      <c r="Q34" s="1808" t="str">
        <f t="shared" si="11"/>
        <v>建筑结构</v>
      </c>
      <c r="R34" s="772" t="s">
        <v>21</v>
      </c>
      <c r="S34" s="773">
        <f t="shared" si="12"/>
        <v>100</v>
      </c>
      <c r="T34" s="772" t="s">
        <v>21</v>
      </c>
      <c r="U34" s="773">
        <f t="shared" si="13"/>
        <v>100</v>
      </c>
      <c r="V34" s="772" t="s">
        <v>21</v>
      </c>
      <c r="W34" s="773">
        <f t="shared" si="14"/>
        <v>100</v>
      </c>
      <c r="X34" s="1811"/>
      <c r="Y34" s="3264"/>
      <c r="Z34" s="1812" t="str">
        <f t="shared" si="18"/>
        <v>建筑结构</v>
      </c>
      <c r="AA34" s="1809">
        <f t="shared" si="15"/>
        <v>1</v>
      </c>
      <c r="AB34" s="1809">
        <f t="shared" si="16"/>
        <v>1</v>
      </c>
      <c r="AC34" s="1809">
        <f t="shared" si="17"/>
        <v>1</v>
      </c>
    </row>
    <row r="35" spans="1:29" ht="15">
      <c r="A35" s="472"/>
      <c r="B35" s="422" t="s">
        <v>2569</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1"/>
      <c r="M35" s="1132"/>
      <c r="N35" s="1132"/>
      <c r="O35" s="1132"/>
      <c r="P35" s="3262"/>
      <c r="Q35" s="1808" t="str">
        <f t="shared" si="11"/>
        <v>建筑品质</v>
      </c>
      <c r="R35" s="772" t="s">
        <v>21</v>
      </c>
      <c r="S35" s="773">
        <f t="shared" si="12"/>
        <v>100</v>
      </c>
      <c r="T35" s="772" t="s">
        <v>21</v>
      </c>
      <c r="U35" s="773">
        <f t="shared" si="13"/>
        <v>100</v>
      </c>
      <c r="V35" s="772" t="s">
        <v>21</v>
      </c>
      <c r="W35" s="773">
        <f t="shared" si="14"/>
        <v>100</v>
      </c>
      <c r="X35" s="1811"/>
      <c r="Y35" s="3264"/>
      <c r="Z35" s="1812" t="str">
        <f t="shared" si="18"/>
        <v>建筑品质</v>
      </c>
      <c r="AA35" s="1809">
        <f t="shared" si="15"/>
        <v>1</v>
      </c>
      <c r="AB35" s="1809">
        <f t="shared" si="16"/>
        <v>1</v>
      </c>
      <c r="AC35" s="1809">
        <f t="shared" si="17"/>
        <v>1</v>
      </c>
    </row>
    <row r="36" spans="1:29" ht="15">
      <c r="A36" s="472"/>
      <c r="B36" s="422" t="s">
        <v>2570</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1"/>
      <c r="M36" s="1132"/>
      <c r="N36" s="1132"/>
      <c r="O36" s="1132"/>
      <c r="P36" s="3262"/>
      <c r="Q36" s="1808" t="str">
        <f t="shared" si="11"/>
        <v>公共部分装修</v>
      </c>
      <c r="R36" s="772" t="s">
        <v>21</v>
      </c>
      <c r="S36" s="773">
        <f t="shared" si="12"/>
        <v>100</v>
      </c>
      <c r="T36" s="772" t="s">
        <v>21</v>
      </c>
      <c r="U36" s="773">
        <f t="shared" si="13"/>
        <v>100</v>
      </c>
      <c r="V36" s="772" t="s">
        <v>21</v>
      </c>
      <c r="W36" s="773">
        <f t="shared" si="14"/>
        <v>100</v>
      </c>
      <c r="X36" s="1811"/>
      <c r="Y36" s="3264"/>
      <c r="Z36" s="1812" t="str">
        <f t="shared" si="18"/>
        <v>公共部分装修</v>
      </c>
      <c r="AA36" s="1809">
        <f t="shared" si="15"/>
        <v>1</v>
      </c>
      <c r="AB36" s="1809">
        <f t="shared" si="16"/>
        <v>1</v>
      </c>
      <c r="AC36" s="1809">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262"/>
      <c r="Q37" s="1793" t="str">
        <f t="shared" si="11"/>
        <v>成新度</v>
      </c>
      <c r="R37" s="768" t="s">
        <v>21</v>
      </c>
      <c r="S37" s="769" t="e">
        <f t="shared" si="12"/>
        <v>#N/A</v>
      </c>
      <c r="T37" s="768" t="s">
        <v>21</v>
      </c>
      <c r="U37" s="769" t="e">
        <f t="shared" si="13"/>
        <v>#N/A</v>
      </c>
      <c r="V37" s="768" t="s">
        <v>21</v>
      </c>
      <c r="W37" s="769" t="e">
        <f t="shared" si="14"/>
        <v>#N/A</v>
      </c>
      <c r="X37" s="770"/>
      <c r="Y37" s="3264"/>
      <c r="Z37" s="55" t="str">
        <f t="shared" si="18"/>
        <v>成新度</v>
      </c>
      <c r="AA37" s="771" t="e">
        <f t="shared" si="15"/>
        <v>#N/A</v>
      </c>
      <c r="AB37" s="771" t="e">
        <f t="shared" si="16"/>
        <v>#N/A</v>
      </c>
      <c r="AC37" s="771" t="e">
        <f t="shared" si="17"/>
        <v>#N/A</v>
      </c>
    </row>
    <row r="38" spans="1:29" ht="15">
      <c r="A38" s="472"/>
      <c r="B38" s="422" t="s">
        <v>2572</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1"/>
      <c r="M38" s="1132"/>
      <c r="N38" s="1132"/>
      <c r="O38" s="1132"/>
      <c r="P38" s="3262" t="s">
        <v>2566</v>
      </c>
      <c r="Q38" s="1808" t="str">
        <f t="shared" si="11"/>
        <v>物业管理</v>
      </c>
      <c r="R38" s="772" t="s">
        <v>21</v>
      </c>
      <c r="S38" s="773">
        <f t="shared" si="12"/>
        <v>100</v>
      </c>
      <c r="T38" s="772" t="s">
        <v>21</v>
      </c>
      <c r="U38" s="773">
        <f t="shared" si="13"/>
        <v>100</v>
      </c>
      <c r="V38" s="772" t="s">
        <v>21</v>
      </c>
      <c r="W38" s="773">
        <f t="shared" si="14"/>
        <v>100</v>
      </c>
      <c r="X38" s="1811"/>
      <c r="Y38" s="3264" t="s">
        <v>2566</v>
      </c>
      <c r="Z38" s="1812" t="str">
        <f t="shared" si="18"/>
        <v>物业管理</v>
      </c>
      <c r="AA38" s="1809">
        <f t="shared" si="15"/>
        <v>1</v>
      </c>
      <c r="AB38" s="1809">
        <f t="shared" si="16"/>
        <v>1</v>
      </c>
      <c r="AC38" s="1809">
        <f t="shared" si="17"/>
        <v>1</v>
      </c>
    </row>
    <row r="39" spans="1:29" ht="15">
      <c r="A39" s="472"/>
      <c r="B39" s="422" t="s">
        <v>2573</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1"/>
      <c r="M39" s="1132"/>
      <c r="N39" s="1132"/>
      <c r="O39" s="1132"/>
      <c r="P39" s="3262"/>
      <c r="Q39" s="1808" t="str">
        <f t="shared" si="11"/>
        <v>市政基础设施</v>
      </c>
      <c r="R39" s="772" t="s">
        <v>21</v>
      </c>
      <c r="S39" s="773">
        <f t="shared" si="12"/>
        <v>100</v>
      </c>
      <c r="T39" s="772" t="s">
        <v>21</v>
      </c>
      <c r="U39" s="773">
        <f t="shared" si="13"/>
        <v>100</v>
      </c>
      <c r="V39" s="772" t="s">
        <v>21</v>
      </c>
      <c r="W39" s="773">
        <f t="shared" si="14"/>
        <v>100</v>
      </c>
      <c r="X39" s="1811"/>
      <c r="Y39" s="3264"/>
      <c r="Z39" s="1812" t="str">
        <f t="shared" si="18"/>
        <v>市政基础设施</v>
      </c>
      <c r="AA39" s="1809">
        <f t="shared" si="15"/>
        <v>1</v>
      </c>
      <c r="AB39" s="1809">
        <f t="shared" si="16"/>
        <v>1</v>
      </c>
      <c r="AC39" s="1809">
        <f t="shared" si="17"/>
        <v>1</v>
      </c>
    </row>
    <row r="40" spans="1:29" ht="15">
      <c r="A40" s="472"/>
      <c r="B40" s="422" t="s">
        <v>2574</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1"/>
      <c r="M40" s="1132"/>
      <c r="N40" s="1132"/>
      <c r="O40" s="1132"/>
      <c r="P40" s="3262"/>
      <c r="Q40" s="1808" t="str">
        <f t="shared" si="11"/>
        <v>房型</v>
      </c>
      <c r="R40" s="772" t="s">
        <v>21</v>
      </c>
      <c r="S40" s="773">
        <f t="shared" si="12"/>
        <v>100</v>
      </c>
      <c r="T40" s="772" t="s">
        <v>21</v>
      </c>
      <c r="U40" s="773">
        <f t="shared" si="13"/>
        <v>100</v>
      </c>
      <c r="V40" s="772" t="s">
        <v>21</v>
      </c>
      <c r="W40" s="773">
        <f t="shared" si="14"/>
        <v>100</v>
      </c>
      <c r="X40" s="1811"/>
      <c r="Y40" s="3264"/>
      <c r="Z40" s="1812" t="str">
        <f t="shared" si="18"/>
        <v>房型</v>
      </c>
      <c r="AA40" s="1809">
        <f t="shared" si="15"/>
        <v>1</v>
      </c>
      <c r="AB40" s="1809">
        <f t="shared" si="16"/>
        <v>1</v>
      </c>
      <c r="AC40" s="1809">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39"/>
      <c r="M41" s="1142"/>
      <c r="N41" s="1142"/>
      <c r="O41" s="1142"/>
      <c r="P41" s="3262"/>
      <c r="Q41" s="774" t="str">
        <f t="shared" si="11"/>
        <v>单套/主力户型建筑面积</v>
      </c>
      <c r="R41" s="775" t="s">
        <v>21</v>
      </c>
      <c r="S41" s="776">
        <f t="shared" si="12"/>
        <v>100</v>
      </c>
      <c r="T41" s="775" t="s">
        <v>21</v>
      </c>
      <c r="U41" s="776">
        <f t="shared" si="13"/>
        <v>100</v>
      </c>
      <c r="V41" s="775" t="s">
        <v>21</v>
      </c>
      <c r="W41" s="776">
        <f t="shared" si="14"/>
        <v>100</v>
      </c>
      <c r="X41" s="777"/>
      <c r="Y41" s="3264"/>
      <c r="Z41" s="778" t="str">
        <f t="shared" si="18"/>
        <v>单套/主力户型建筑面积</v>
      </c>
      <c r="AA41" s="1809">
        <f t="shared" si="15"/>
        <v>1</v>
      </c>
      <c r="AB41" s="1809">
        <f t="shared" si="16"/>
        <v>1</v>
      </c>
      <c r="AC41" s="1809">
        <f t="shared" si="17"/>
        <v>1</v>
      </c>
    </row>
    <row r="42" spans="1:29" ht="15">
      <c r="A42" s="472"/>
      <c r="B42" s="422" t="s">
        <v>2576</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1"/>
      <c r="M42" s="1132"/>
      <c r="N42" s="1132"/>
      <c r="O42" s="1132"/>
      <c r="P42" s="3262"/>
      <c r="Q42" s="1808" t="str">
        <f t="shared" si="11"/>
        <v>内部装修</v>
      </c>
      <c r="R42" s="772" t="s">
        <v>21</v>
      </c>
      <c r="S42" s="773">
        <f t="shared" si="12"/>
        <v>100</v>
      </c>
      <c r="T42" s="772" t="s">
        <v>21</v>
      </c>
      <c r="U42" s="773">
        <f t="shared" si="13"/>
        <v>100</v>
      </c>
      <c r="V42" s="772" t="s">
        <v>21</v>
      </c>
      <c r="W42" s="773">
        <f t="shared" si="14"/>
        <v>100</v>
      </c>
      <c r="X42" s="1811"/>
      <c r="Y42" s="3264"/>
      <c r="Z42" s="1812" t="str">
        <f t="shared" si="18"/>
        <v>内部装修</v>
      </c>
      <c r="AA42" s="1809">
        <f t="shared" si="15"/>
        <v>1</v>
      </c>
      <c r="AB42" s="1809">
        <f t="shared" si="16"/>
        <v>1</v>
      </c>
      <c r="AC42" s="1809">
        <f t="shared" si="17"/>
        <v>1</v>
      </c>
    </row>
    <row r="43" spans="1:29" ht="15">
      <c r="A43" s="472"/>
      <c r="B43" s="422" t="s">
        <v>2577</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1"/>
      <c r="M43" s="1132"/>
      <c r="N43" s="1132"/>
      <c r="O43" s="1132"/>
      <c r="P43" s="3262"/>
      <c r="Q43" s="1808" t="str">
        <f t="shared" si="11"/>
        <v>内部装修维护情况</v>
      </c>
      <c r="R43" s="772" t="s">
        <v>21</v>
      </c>
      <c r="S43" s="773">
        <f t="shared" si="12"/>
        <v>100</v>
      </c>
      <c r="T43" s="772" t="s">
        <v>21</v>
      </c>
      <c r="U43" s="773">
        <f t="shared" si="13"/>
        <v>100</v>
      </c>
      <c r="V43" s="772" t="s">
        <v>21</v>
      </c>
      <c r="W43" s="773">
        <f t="shared" si="14"/>
        <v>100</v>
      </c>
      <c r="X43" s="1811"/>
      <c r="Y43" s="3264"/>
      <c r="Z43" s="1812" t="str">
        <f t="shared" si="18"/>
        <v>内部装修维护情况</v>
      </c>
      <c r="AA43" s="1809">
        <f t="shared" si="15"/>
        <v>1</v>
      </c>
      <c r="AB43" s="1809">
        <f t="shared" si="16"/>
        <v>1</v>
      </c>
      <c r="AC43" s="1809">
        <f t="shared" si="17"/>
        <v>1</v>
      </c>
    </row>
    <row r="44" spans="1:29" s="117" customFormat="1" ht="15">
      <c r="A44" s="473"/>
      <c r="B44" s="1387">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3"/>
      <c r="M44" s="1134"/>
      <c r="N44" s="1134"/>
      <c r="O44" s="1134"/>
      <c r="P44" s="3262"/>
      <c r="Q44" s="1793">
        <f t="shared" si="11"/>
        <v>111</v>
      </c>
      <c r="R44" s="768" t="s">
        <v>21</v>
      </c>
      <c r="S44" s="769">
        <f t="shared" si="12"/>
        <v>100</v>
      </c>
      <c r="T44" s="768" t="s">
        <v>21</v>
      </c>
      <c r="U44" s="769">
        <f t="shared" si="13"/>
        <v>100</v>
      </c>
      <c r="V44" s="768" t="s">
        <v>21</v>
      </c>
      <c r="W44" s="769">
        <f t="shared" si="14"/>
        <v>100</v>
      </c>
      <c r="X44" s="770"/>
      <c r="Y44" s="3264"/>
      <c r="Z44" s="55">
        <f t="shared" si="18"/>
        <v>111</v>
      </c>
      <c r="AA44" s="771">
        <f t="shared" si="15"/>
        <v>1</v>
      </c>
      <c r="AB44" s="771">
        <f t="shared" si="16"/>
        <v>1</v>
      </c>
      <c r="AC44" s="771">
        <f t="shared" si="17"/>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1"/>
      <c r="M45" s="1132"/>
      <c r="N45" s="1132"/>
      <c r="O45" s="1132"/>
      <c r="P45" s="3262"/>
      <c r="Q45" s="1808">
        <f t="shared" si="11"/>
        <v>111</v>
      </c>
      <c r="R45" s="772" t="s">
        <v>21</v>
      </c>
      <c r="S45" s="773">
        <f t="shared" si="12"/>
        <v>100</v>
      </c>
      <c r="T45" s="772" t="s">
        <v>21</v>
      </c>
      <c r="U45" s="773">
        <f t="shared" si="13"/>
        <v>100</v>
      </c>
      <c r="V45" s="772" t="s">
        <v>21</v>
      </c>
      <c r="W45" s="773">
        <f t="shared" si="14"/>
        <v>100</v>
      </c>
      <c r="X45" s="1811"/>
      <c r="Y45" s="3264"/>
      <c r="Z45" s="1812">
        <f t="shared" si="18"/>
        <v>111</v>
      </c>
      <c r="AA45" s="1809">
        <f t="shared" si="15"/>
        <v>1</v>
      </c>
      <c r="AB45" s="1809">
        <f t="shared" si="16"/>
        <v>1</v>
      </c>
      <c r="AC45" s="1809">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1"/>
      <c r="M46" s="1132"/>
      <c r="N46" s="1132"/>
      <c r="O46" s="1132"/>
      <c r="P46" s="3263"/>
      <c r="Q46" s="1808">
        <f t="shared" si="11"/>
        <v>111</v>
      </c>
      <c r="R46" s="772" t="s">
        <v>20</v>
      </c>
      <c r="S46" s="773">
        <f t="shared" si="12"/>
        <v>100</v>
      </c>
      <c r="T46" s="772" t="s">
        <v>20</v>
      </c>
      <c r="U46" s="773">
        <f t="shared" si="13"/>
        <v>100</v>
      </c>
      <c r="V46" s="772" t="s">
        <v>20</v>
      </c>
      <c r="W46" s="773">
        <f t="shared" si="14"/>
        <v>100</v>
      </c>
      <c r="X46" s="1811"/>
      <c r="Y46" s="3265"/>
      <c r="Z46" s="1812">
        <f t="shared" si="18"/>
        <v>111</v>
      </c>
      <c r="AA46" s="1809">
        <f t="shared" si="15"/>
        <v>1</v>
      </c>
      <c r="AB46" s="1809">
        <f t="shared" si="16"/>
        <v>1</v>
      </c>
      <c r="AC46" s="1809">
        <f t="shared" si="17"/>
        <v>1</v>
      </c>
    </row>
    <row r="47" spans="1:29" ht="15">
      <c r="A47" s="479" t="s">
        <v>2578</v>
      </c>
      <c r="B47" s="480"/>
      <c r="C47" s="1408" t="s">
        <v>19</v>
      </c>
      <c r="D47" s="1409"/>
      <c r="E47" s="1410"/>
      <c r="F47" s="1411"/>
      <c r="G47" s="1412"/>
      <c r="H47" s="1413"/>
      <c r="I47" s="1410"/>
      <c r="J47" s="1413"/>
      <c r="K47" s="2622"/>
      <c r="L47" s="1144"/>
      <c r="M47" s="1145"/>
      <c r="N47" s="1132"/>
      <c r="O47" s="1145"/>
      <c r="P47" s="3266" t="str">
        <f>A47</f>
        <v>成交单价（元/平方米）</v>
      </c>
      <c r="Q47" s="3266"/>
      <c r="R47" s="3267">
        <f>E47</f>
        <v>0</v>
      </c>
      <c r="S47" s="3267"/>
      <c r="T47" s="3267">
        <f>G47</f>
        <v>0</v>
      </c>
      <c r="U47" s="3267"/>
      <c r="V47" s="3267">
        <f>I47</f>
        <v>0</v>
      </c>
      <c r="W47" s="3267"/>
      <c r="X47" s="757"/>
      <c r="Y47" s="779"/>
      <c r="Z47" s="757"/>
      <c r="AA47" s="757"/>
      <c r="AB47" s="757"/>
      <c r="AC47" s="757"/>
    </row>
    <row r="48" spans="1:29" ht="15.75" thickBot="1">
      <c r="A48" s="486" t="s">
        <v>2579</v>
      </c>
      <c r="B48" s="487"/>
      <c r="C48" s="1414" t="e">
        <f>R49</f>
        <v>#DIV/0!</v>
      </c>
      <c r="D48" s="1415"/>
      <c r="E48" s="1416" t="e">
        <f>R48</f>
        <v>#DIV/0!</v>
      </c>
      <c r="F48" s="1416"/>
      <c r="G48" s="1414" t="e">
        <f>T48</f>
        <v>#DIV/0!</v>
      </c>
      <c r="H48" s="1415"/>
      <c r="I48" s="1416" t="e">
        <f>V48</f>
        <v>#DIV/0!</v>
      </c>
      <c r="J48" s="1415"/>
      <c r="K48" s="2623"/>
      <c r="L48" s="1144"/>
      <c r="M48" s="1145"/>
      <c r="N48" s="1145"/>
      <c r="O48" s="1145"/>
      <c r="P48" s="3266" t="str">
        <f>A48</f>
        <v>比较价值（元/平方米）</v>
      </c>
      <c r="Q48" s="3266"/>
      <c r="R48" s="3267" t="e">
        <f>IF(F1="售价",ROUND(PRODUCT(R47,AA7:AA46),0),ROUND(PRODUCT(R47,AA7:AA46),1))</f>
        <v>#DIV/0!</v>
      </c>
      <c r="S48" s="3267"/>
      <c r="T48" s="3267" t="e">
        <f>IF(F1="售价",ROUND(PRODUCT(T47,AB7:AB46),0),ROUND(PRODUCT(T47,AB7:AB46),1))</f>
        <v>#DIV/0!</v>
      </c>
      <c r="U48" s="3267"/>
      <c r="V48" s="3267" t="e">
        <f>IF(F1="售价",ROUND(PRODUCT(V47,AC7:AC46),0),ROUND(PRODUCT(V47,AC7:AC46),1))</f>
        <v>#DIV/0!</v>
      </c>
      <c r="W48" s="3267"/>
      <c r="X48" s="757"/>
      <c r="Y48" s="757"/>
      <c r="Z48" s="757"/>
      <c r="AA48" s="757"/>
      <c r="AB48" s="757"/>
      <c r="AC48" s="757"/>
    </row>
    <row r="49" spans="1:29" ht="15.75" thickBot="1">
      <c r="A49" s="492" t="s">
        <v>2580</v>
      </c>
      <c r="B49" s="493"/>
      <c r="C49" s="1417" t="e">
        <f>R49</f>
        <v>#DIV/0!</v>
      </c>
      <c r="D49" s="1418"/>
      <c r="E49" s="1418"/>
      <c r="F49" s="1418"/>
      <c r="G49" s="1418"/>
      <c r="H49" s="1418"/>
      <c r="I49" s="1418"/>
      <c r="J49" s="1418"/>
      <c r="K49" s="2624"/>
      <c r="L49" s="1144"/>
      <c r="M49" s="1145"/>
      <c r="N49" s="1145"/>
      <c r="O49" s="1145"/>
      <c r="P49" s="3268" t="str">
        <f>A49</f>
        <v>估价对象XX用房的比较价值（楼面单价，元/平方米）</v>
      </c>
      <c r="Q49" s="3269"/>
      <c r="R49" s="3270" t="e">
        <f>IF(F1="售价",ROUND(AVERAGE(R48:V48),0),ROUND(AVERAGE(R48:V48),1))</f>
        <v>#DIV/0!</v>
      </c>
      <c r="S49" s="3270"/>
      <c r="T49" s="3270"/>
      <c r="U49" s="3270"/>
      <c r="V49" s="3270"/>
      <c r="W49" s="3270"/>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6"/>
    </row>
    <row r="55" spans="1:29" s="502" customFormat="1">
      <c r="A55" s="1146"/>
      <c r="B55" s="1147"/>
      <c r="C55" s="1151"/>
      <c r="D55" s="1146"/>
      <c r="E55" s="1146"/>
      <c r="F55" s="1146"/>
      <c r="G55" s="1146"/>
      <c r="H55" s="1146"/>
      <c r="I55" s="1146"/>
      <c r="J55" s="1146"/>
      <c r="K55" s="1149"/>
      <c r="L55" s="1150"/>
      <c r="M55" s="1146"/>
      <c r="N55" s="1146"/>
      <c r="O55" s="1146"/>
      <c r="P55" s="2626"/>
    </row>
    <row r="56" spans="1:29">
      <c r="A56" s="1145"/>
      <c r="B56" s="1147"/>
      <c r="C56" s="1151"/>
      <c r="D56" s="1145"/>
      <c r="E56" s="1145"/>
      <c r="F56" s="1145"/>
      <c r="G56" s="1145"/>
      <c r="H56" s="1145"/>
      <c r="I56" s="1145"/>
      <c r="J56" s="1145"/>
      <c r="K56" s="1106"/>
      <c r="L56" s="1107"/>
      <c r="M56" s="1145"/>
      <c r="N56" s="1145"/>
      <c r="O56" s="1145"/>
    </row>
    <row r="57" spans="1:29" ht="21.75" thickBot="1">
      <c r="A57" s="761" t="s">
        <v>2584</v>
      </c>
      <c r="B57" s="757"/>
      <c r="C57" s="762"/>
      <c r="D57" s="762"/>
      <c r="E57" s="762"/>
      <c r="F57" s="763"/>
      <c r="G57" s="763"/>
      <c r="H57" s="762"/>
      <c r="I57" s="762"/>
      <c r="J57" s="762"/>
      <c r="K57" s="1161"/>
      <c r="L57" s="1162"/>
      <c r="M57" s="1160"/>
      <c r="N57" s="1160"/>
      <c r="O57" s="1160"/>
      <c r="P57" s="2627"/>
      <c r="Q57" s="504"/>
    </row>
    <row r="58" spans="1:29" s="508" customFormat="1" ht="15">
      <c r="A58" s="505" t="s">
        <v>2585</v>
      </c>
      <c r="B58" s="506"/>
      <c r="C58" s="1577" t="str">
        <f>YEAR(C7)&amp;"-"&amp;MONTH(C7)</f>
        <v>2019-4</v>
      </c>
      <c r="D58" s="1576">
        <f>EDATE(C58,-1)</f>
        <v>43525</v>
      </c>
      <c r="E58" s="1576">
        <f>EDATE(D58,-1)</f>
        <v>43497</v>
      </c>
      <c r="F58" s="1576">
        <f t="shared" ref="F58:O58" si="19">EDATE(E58,-1)</f>
        <v>43466</v>
      </c>
      <c r="G58" s="1576">
        <f t="shared" si="19"/>
        <v>43435</v>
      </c>
      <c r="H58" s="1576">
        <f t="shared" si="19"/>
        <v>43405</v>
      </c>
      <c r="I58" s="1576">
        <f t="shared" si="19"/>
        <v>43374</v>
      </c>
      <c r="J58" s="1576">
        <f t="shared" si="19"/>
        <v>43344</v>
      </c>
      <c r="K58" s="1576">
        <f t="shared" si="19"/>
        <v>43313</v>
      </c>
      <c r="L58" s="1576">
        <f t="shared" si="19"/>
        <v>43282</v>
      </c>
      <c r="M58" s="1576">
        <f t="shared" si="19"/>
        <v>43252</v>
      </c>
      <c r="N58" s="1576">
        <f t="shared" si="19"/>
        <v>43221</v>
      </c>
      <c r="O58" s="1576">
        <f t="shared" si="19"/>
        <v>43191</v>
      </c>
      <c r="P58" s="1571"/>
    </row>
    <row r="59" spans="1:29" s="117" customFormat="1" ht="15">
      <c r="A59" s="509"/>
      <c r="B59" s="2628"/>
      <c r="C59" s="1574">
        <v>100</v>
      </c>
      <c r="D59" s="511"/>
      <c r="E59" s="512"/>
      <c r="F59" s="512"/>
      <c r="G59" s="512"/>
      <c r="H59" s="512"/>
      <c r="I59" s="512"/>
      <c r="J59" s="512"/>
      <c r="K59" s="512"/>
      <c r="L59" s="512"/>
      <c r="M59" s="513"/>
      <c r="N59" s="512"/>
      <c r="O59" s="513"/>
      <c r="P59" s="2629"/>
    </row>
    <row r="60" spans="1:29" s="117" customFormat="1" ht="15.75" thickBot="1">
      <c r="A60" s="515" t="s">
        <v>2586</v>
      </c>
      <c r="B60" s="516"/>
      <c r="C60" s="517"/>
      <c r="D60" s="518"/>
      <c r="E60" s="518"/>
      <c r="F60" s="518"/>
      <c r="G60" s="518"/>
      <c r="H60" s="518"/>
      <c r="I60" s="518"/>
      <c r="J60" s="518"/>
      <c r="K60" s="518"/>
      <c r="L60" s="518"/>
      <c r="M60" s="519"/>
      <c r="N60" s="518"/>
      <c r="O60" s="519"/>
      <c r="P60" s="2629"/>
      <c r="Q60" s="504"/>
    </row>
    <row r="61" spans="1:29" s="117" customFormat="1" ht="15">
      <c r="A61" s="521" t="s">
        <v>2587</v>
      </c>
      <c r="B61" s="510"/>
      <c r="C61" s="522" t="s">
        <v>2588</v>
      </c>
      <c r="D61" s="523"/>
      <c r="E61" s="523"/>
      <c r="F61" s="523"/>
      <c r="G61" s="523"/>
      <c r="H61" s="523"/>
      <c r="I61" s="523"/>
      <c r="J61" s="523"/>
      <c r="K61" s="523"/>
      <c r="L61" s="524"/>
      <c r="M61" s="525"/>
      <c r="N61" s="1152"/>
      <c r="O61" s="1152"/>
      <c r="P61" s="2630"/>
      <c r="Q61" s="504"/>
    </row>
    <row r="62" spans="1:29" s="117" customFormat="1" ht="15.75" thickBot="1">
      <c r="A62" s="521"/>
      <c r="B62" s="510"/>
      <c r="C62" s="511">
        <v>100</v>
      </c>
      <c r="D62" s="512"/>
      <c r="E62" s="512"/>
      <c r="F62" s="512"/>
      <c r="G62" s="512"/>
      <c r="H62" s="512"/>
      <c r="I62" s="512"/>
      <c r="J62" s="512"/>
      <c r="K62" s="512"/>
      <c r="L62" s="512"/>
      <c r="M62" s="514"/>
      <c r="N62" s="1152"/>
      <c r="O62" s="1152"/>
      <c r="P62" s="2629"/>
      <c r="Q62" s="504"/>
    </row>
    <row r="63" spans="1:29">
      <c r="A63" s="527" t="s">
        <v>2589</v>
      </c>
      <c r="B63" s="528" t="s">
        <v>2555</v>
      </c>
      <c r="C63" s="529">
        <f>C9</f>
        <v>0</v>
      </c>
      <c r="D63" s="530"/>
      <c r="E63" s="530"/>
      <c r="F63" s="530"/>
      <c r="G63" s="530"/>
      <c r="H63" s="530"/>
      <c r="I63" s="530"/>
      <c r="J63" s="530"/>
      <c r="K63" s="531"/>
      <c r="L63" s="532"/>
      <c r="M63" s="533"/>
      <c r="N63" s="1153"/>
      <c r="O63" s="1153"/>
      <c r="P63" s="2631"/>
      <c r="Q63" s="504"/>
    </row>
    <row r="64" spans="1:29" ht="15.75" thickBot="1">
      <c r="A64" s="534"/>
      <c r="B64" s="535"/>
      <c r="C64" s="536">
        <v>100</v>
      </c>
      <c r="D64" s="536"/>
      <c r="E64" s="536"/>
      <c r="F64" s="536"/>
      <c r="G64" s="536"/>
      <c r="H64" s="536"/>
      <c r="I64" s="536"/>
      <c r="J64" s="536"/>
      <c r="K64" s="536"/>
      <c r="L64" s="536"/>
      <c r="M64" s="537"/>
      <c r="N64" s="1154"/>
      <c r="O64" s="1154"/>
      <c r="P64" s="2631"/>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3"/>
      <c r="O65" s="1153"/>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31"/>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31"/>
      <c r="Q67" s="504"/>
    </row>
    <row r="68" spans="1:17" ht="15">
      <c r="A68" s="534"/>
      <c r="B68" s="548"/>
      <c r="C68" s="549"/>
      <c r="D68" s="549"/>
      <c r="E68" s="549"/>
      <c r="F68" s="549"/>
      <c r="G68" s="549"/>
      <c r="H68" s="549"/>
      <c r="I68" s="549"/>
      <c r="J68" s="549"/>
      <c r="K68" s="550"/>
      <c r="L68" s="551"/>
      <c r="M68" s="552"/>
      <c r="N68" s="1153"/>
      <c r="O68" s="1153"/>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31"/>
      <c r="Q69" s="504"/>
    </row>
    <row r="70" spans="1:17" s="471" customFormat="1" ht="15.75" thickTop="1">
      <c r="A70" s="553"/>
      <c r="B70" s="538">
        <f>B12</f>
        <v>111</v>
      </c>
      <c r="C70" s="554"/>
      <c r="D70" s="554"/>
      <c r="E70" s="554"/>
      <c r="F70" s="554"/>
      <c r="G70" s="554"/>
      <c r="H70" s="555"/>
      <c r="I70" s="555"/>
      <c r="J70" s="555"/>
      <c r="K70" s="555"/>
      <c r="L70" s="556"/>
      <c r="M70" s="557"/>
      <c r="N70" s="1155"/>
      <c r="O70" s="1155"/>
      <c r="P70" s="2632"/>
      <c r="Q70" s="559"/>
    </row>
    <row r="71" spans="1:17" s="471" customFormat="1" ht="15.75" thickBot="1">
      <c r="A71" s="553"/>
      <c r="B71" s="543"/>
      <c r="C71" s="560"/>
      <c r="D71" s="536"/>
      <c r="E71" s="536"/>
      <c r="F71" s="536"/>
      <c r="G71" s="536"/>
      <c r="H71" s="536"/>
      <c r="I71" s="536"/>
      <c r="J71" s="536"/>
      <c r="K71" s="536"/>
      <c r="L71" s="536"/>
      <c r="M71" s="537"/>
      <c r="N71" s="1154"/>
      <c r="O71" s="1154"/>
      <c r="P71" s="2632"/>
      <c r="Q71" s="559"/>
    </row>
    <row r="72" spans="1:17" s="471" customFormat="1" ht="15.75" thickTop="1">
      <c r="A72" s="553"/>
      <c r="B72" s="538">
        <f>B13</f>
        <v>111</v>
      </c>
      <c r="C72" s="554"/>
      <c r="D72" s="554"/>
      <c r="E72" s="554"/>
      <c r="F72" s="554"/>
      <c r="G72" s="554"/>
      <c r="H72" s="555"/>
      <c r="I72" s="555"/>
      <c r="J72" s="555"/>
      <c r="K72" s="555"/>
      <c r="L72" s="556"/>
      <c r="M72" s="557"/>
      <c r="N72" s="1155"/>
      <c r="O72" s="1155"/>
      <c r="P72" s="2633"/>
      <c r="Q72" s="561"/>
    </row>
    <row r="73" spans="1:17" s="471" customFormat="1" ht="15.75" thickBot="1">
      <c r="A73" s="553"/>
      <c r="B73" s="543"/>
      <c r="C73" s="560"/>
      <c r="D73" s="560"/>
      <c r="E73" s="560"/>
      <c r="F73" s="560"/>
      <c r="G73" s="560"/>
      <c r="H73" s="562"/>
      <c r="I73" s="562"/>
      <c r="J73" s="562"/>
      <c r="K73" s="562"/>
      <c r="L73" s="562"/>
      <c r="M73" s="563"/>
      <c r="N73" s="1155"/>
      <c r="O73" s="1155"/>
      <c r="P73" s="2632"/>
      <c r="Q73" s="559"/>
    </row>
    <row r="74" spans="1:17" s="471" customFormat="1" ht="15.75" thickTop="1">
      <c r="A74" s="553"/>
      <c r="B74" s="546">
        <f>B14</f>
        <v>111</v>
      </c>
      <c r="C74" s="554"/>
      <c r="D74" s="554"/>
      <c r="E74" s="554"/>
      <c r="F74" s="554"/>
      <c r="G74" s="523"/>
      <c r="H74" s="564"/>
      <c r="I74" s="564"/>
      <c r="J74" s="564"/>
      <c r="K74" s="564"/>
      <c r="L74" s="565"/>
      <c r="M74" s="566"/>
      <c r="N74" s="1155"/>
      <c r="O74" s="1155"/>
      <c r="P74" s="2634"/>
      <c r="Q74" s="559"/>
    </row>
    <row r="75" spans="1:17" s="471" customFormat="1" ht="15.75" thickBot="1">
      <c r="A75" s="568"/>
      <c r="B75" s="569"/>
      <c r="C75" s="570"/>
      <c r="D75" s="570"/>
      <c r="E75" s="570"/>
      <c r="F75" s="570"/>
      <c r="G75" s="570"/>
      <c r="H75" s="571"/>
      <c r="I75" s="571"/>
      <c r="J75" s="571"/>
      <c r="K75" s="571"/>
      <c r="L75" s="571"/>
      <c r="M75" s="572"/>
      <c r="N75" s="1155"/>
      <c r="O75" s="1155"/>
      <c r="P75" s="2632"/>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3"/>
      <c r="O76" s="1153"/>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31"/>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3"/>
      <c r="O78" s="1153"/>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31"/>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3"/>
      <c r="O80" s="1153"/>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31"/>
      <c r="Q81" s="504"/>
    </row>
    <row r="82" spans="1:17" ht="15.75" thickTop="1">
      <c r="A82" s="534"/>
      <c r="B82" s="546" t="s">
        <v>2098</v>
      </c>
      <c r="C82" s="539" t="s">
        <v>2605</v>
      </c>
      <c r="D82" s="539" t="s">
        <v>2606</v>
      </c>
      <c r="E82" s="539" t="s">
        <v>2607</v>
      </c>
      <c r="F82" s="539" t="s">
        <v>2608</v>
      </c>
      <c r="G82" s="539" t="s">
        <v>2609</v>
      </c>
      <c r="H82" s="539"/>
      <c r="I82" s="539"/>
      <c r="J82" s="539"/>
      <c r="K82" s="539"/>
      <c r="L82" s="539"/>
      <c r="M82" s="1383"/>
      <c r="N82" s="1154"/>
      <c r="O82" s="1154"/>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31"/>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3"/>
      <c r="O84" s="1153"/>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31"/>
      <c r="Q85" s="504"/>
    </row>
    <row r="86" spans="1:17" s="117" customFormat="1" ht="15.75" thickTop="1">
      <c r="A86" s="579"/>
      <c r="B86" s="538" t="s">
        <v>2611</v>
      </c>
      <c r="C86" s="554"/>
      <c r="D86" s="554"/>
      <c r="E86" s="554"/>
      <c r="F86" s="554"/>
      <c r="G86" s="554"/>
      <c r="H86" s="554"/>
      <c r="I86" s="554"/>
      <c r="J86" s="554"/>
      <c r="K86" s="554"/>
      <c r="L86" s="580"/>
      <c r="M86" s="581"/>
      <c r="N86" s="1152"/>
      <c r="O86" s="1152"/>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31"/>
      <c r="Q87" s="504"/>
    </row>
    <row r="88" spans="1:17" s="117" customFormat="1" ht="15.75" thickTop="1">
      <c r="A88" s="579"/>
      <c r="B88" s="538" t="s">
        <v>2612</v>
      </c>
      <c r="C88" s="554"/>
      <c r="D88" s="554"/>
      <c r="E88" s="554"/>
      <c r="F88" s="2636"/>
      <c r="G88" s="554"/>
      <c r="H88" s="554"/>
      <c r="I88" s="554"/>
      <c r="J88" s="554"/>
      <c r="K88" s="554"/>
      <c r="L88" s="554"/>
      <c r="M88" s="581"/>
      <c r="N88" s="1152"/>
      <c r="O88" s="1152"/>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31"/>
      <c r="Q89" s="504"/>
    </row>
    <row r="90" spans="1:17" s="471" customFormat="1" ht="15.75" thickTop="1">
      <c r="A90" s="553"/>
      <c r="B90" s="538">
        <f>B27</f>
        <v>111</v>
      </c>
      <c r="C90" s="554"/>
      <c r="D90" s="554"/>
      <c r="E90" s="554"/>
      <c r="F90" s="554"/>
      <c r="G90" s="554"/>
      <c r="H90" s="555"/>
      <c r="I90" s="555"/>
      <c r="J90" s="555"/>
      <c r="K90" s="555"/>
      <c r="L90" s="556"/>
      <c r="M90" s="557"/>
      <c r="N90" s="1155"/>
      <c r="O90" s="1155"/>
      <c r="P90" s="2632"/>
      <c r="Q90" s="559"/>
    </row>
    <row r="91" spans="1:17" s="471" customFormat="1" ht="15.75" thickBot="1">
      <c r="A91" s="553"/>
      <c r="B91" s="543"/>
      <c r="C91" s="560"/>
      <c r="D91" s="560"/>
      <c r="E91" s="560"/>
      <c r="F91" s="560"/>
      <c r="G91" s="560"/>
      <c r="H91" s="562"/>
      <c r="I91" s="562"/>
      <c r="J91" s="562"/>
      <c r="K91" s="562"/>
      <c r="L91" s="562"/>
      <c r="M91" s="563"/>
      <c r="N91" s="1155"/>
      <c r="O91" s="1155"/>
      <c r="P91" s="2632"/>
      <c r="Q91" s="559"/>
    </row>
    <row r="92" spans="1:17" ht="15.75" thickTop="1">
      <c r="A92" s="534"/>
      <c r="B92" s="538">
        <f>B28</f>
        <v>111</v>
      </c>
      <c r="C92" s="554"/>
      <c r="D92" s="554"/>
      <c r="E92" s="554"/>
      <c r="F92" s="554"/>
      <c r="G92" s="583"/>
      <c r="H92" s="583"/>
      <c r="I92" s="583"/>
      <c r="J92" s="583"/>
      <c r="K92" s="584"/>
      <c r="L92" s="585"/>
      <c r="M92" s="586"/>
      <c r="N92" s="1153"/>
      <c r="O92" s="1153"/>
      <c r="P92" s="2631"/>
      <c r="Q92" s="504"/>
    </row>
    <row r="93" spans="1:17" ht="15.75" thickBot="1">
      <c r="A93" s="534"/>
      <c r="B93" s="543"/>
      <c r="C93" s="560"/>
      <c r="D93" s="536"/>
      <c r="E93" s="536"/>
      <c r="F93" s="536"/>
      <c r="G93" s="536"/>
      <c r="H93" s="536"/>
      <c r="I93" s="536"/>
      <c r="J93" s="536"/>
      <c r="K93" s="536"/>
      <c r="L93" s="536"/>
      <c r="M93" s="537"/>
      <c r="N93" s="1154"/>
      <c r="O93" s="1154"/>
      <c r="P93" s="2631"/>
      <c r="Q93" s="504"/>
    </row>
    <row r="94" spans="1:17" ht="15.75" thickTop="1">
      <c r="A94" s="534"/>
      <c r="B94" s="538">
        <f>B29</f>
        <v>111</v>
      </c>
      <c r="C94" s="554"/>
      <c r="D94" s="554"/>
      <c r="E94" s="554"/>
      <c r="F94" s="554"/>
      <c r="G94" s="583"/>
      <c r="H94" s="583"/>
      <c r="I94" s="583"/>
      <c r="J94" s="583"/>
      <c r="K94" s="584"/>
      <c r="L94" s="585"/>
      <c r="M94" s="586"/>
      <c r="N94" s="1153"/>
      <c r="O94" s="1153"/>
      <c r="P94" s="2631"/>
      <c r="Q94" s="504"/>
    </row>
    <row r="95" spans="1:17" ht="15.75" thickBot="1">
      <c r="A95" s="534"/>
      <c r="B95" s="543"/>
      <c r="C95" s="560"/>
      <c r="D95" s="560"/>
      <c r="E95" s="560"/>
      <c r="F95" s="560"/>
      <c r="G95" s="536"/>
      <c r="H95" s="536"/>
      <c r="I95" s="536"/>
      <c r="J95" s="536"/>
      <c r="K95" s="536"/>
      <c r="L95" s="536"/>
      <c r="M95" s="537"/>
      <c r="N95" s="1154"/>
      <c r="O95" s="1154"/>
      <c r="P95" s="2631"/>
      <c r="Q95" s="504"/>
    </row>
    <row r="96" spans="1:17" ht="15.75" thickTop="1">
      <c r="A96" s="534"/>
      <c r="B96" s="538">
        <f>B30</f>
        <v>111</v>
      </c>
      <c r="C96" s="554"/>
      <c r="D96" s="554"/>
      <c r="E96" s="554"/>
      <c r="F96" s="554"/>
      <c r="G96" s="583"/>
      <c r="H96" s="583"/>
      <c r="I96" s="583"/>
      <c r="J96" s="583"/>
      <c r="K96" s="584"/>
      <c r="L96" s="585"/>
      <c r="M96" s="586"/>
      <c r="N96" s="1153"/>
      <c r="O96" s="1153"/>
      <c r="P96" s="2631"/>
      <c r="Q96" s="504"/>
    </row>
    <row r="97" spans="1:17" ht="15.75" thickBot="1">
      <c r="A97" s="534"/>
      <c r="B97" s="543"/>
      <c r="C97" s="570"/>
      <c r="D97" s="570"/>
      <c r="E97" s="570"/>
      <c r="F97" s="570"/>
      <c r="G97" s="536"/>
      <c r="H97" s="536"/>
      <c r="I97" s="536"/>
      <c r="J97" s="536"/>
      <c r="K97" s="536"/>
      <c r="L97" s="536"/>
      <c r="M97" s="537"/>
      <c r="N97" s="1154"/>
      <c r="O97" s="1154"/>
      <c r="P97" s="2631"/>
      <c r="Q97" s="504"/>
    </row>
    <row r="98" spans="1:17" ht="15.75" thickTop="1">
      <c r="A98" s="534"/>
      <c r="B98" s="546">
        <f>B31</f>
        <v>111</v>
      </c>
      <c r="C98" s="587"/>
      <c r="D98" s="587"/>
      <c r="E98" s="587"/>
      <c r="F98" s="587"/>
      <c r="G98" s="587"/>
      <c r="H98" s="587"/>
      <c r="I98" s="587"/>
      <c r="J98" s="587"/>
      <c r="K98" s="588"/>
      <c r="L98" s="589"/>
      <c r="M98" s="590"/>
      <c r="N98" s="1153"/>
      <c r="O98" s="1153"/>
      <c r="P98" s="2631"/>
      <c r="Q98" s="504"/>
    </row>
    <row r="99" spans="1:17" ht="15.75" thickBot="1">
      <c r="A99" s="2637"/>
      <c r="B99" s="569"/>
      <c r="C99" s="591"/>
      <c r="D99" s="591"/>
      <c r="E99" s="591"/>
      <c r="F99" s="591"/>
      <c r="G99" s="591"/>
      <c r="H99" s="591"/>
      <c r="I99" s="591"/>
      <c r="J99" s="591"/>
      <c r="K99" s="591"/>
      <c r="L99" s="591"/>
      <c r="M99" s="592"/>
      <c r="N99" s="1154"/>
      <c r="O99" s="1154"/>
      <c r="P99" s="2631"/>
      <c r="Q99" s="504"/>
    </row>
    <row r="100" spans="1:17">
      <c r="A100" s="527" t="s">
        <v>2564</v>
      </c>
      <c r="B100" s="528" t="s">
        <v>2613</v>
      </c>
      <c r="C100" s="530"/>
      <c r="D100" s="530"/>
      <c r="E100" s="530"/>
      <c r="F100" s="530"/>
      <c r="G100" s="530"/>
      <c r="H100" s="530"/>
      <c r="I100" s="530"/>
      <c r="J100" s="530"/>
      <c r="K100" s="531"/>
      <c r="L100" s="532"/>
      <c r="M100" s="533"/>
      <c r="N100" s="1153"/>
      <c r="O100" s="1153"/>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31"/>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31"/>
      <c r="Q102" s="504"/>
    </row>
    <row r="103" spans="1:17" s="471" customFormat="1">
      <c r="A103" s="593"/>
      <c r="B103" s="594"/>
      <c r="C103" s="595"/>
      <c r="D103" s="595"/>
      <c r="E103" s="595"/>
      <c r="F103" s="595"/>
      <c r="G103" s="595"/>
      <c r="H103" s="595"/>
      <c r="I103" s="595"/>
      <c r="J103" s="596"/>
      <c r="K103" s="596"/>
      <c r="L103" s="597"/>
      <c r="M103" s="598"/>
      <c r="N103" s="1155"/>
      <c r="O103" s="1155"/>
      <c r="P103" s="2632"/>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32"/>
      <c r="Q104" s="559"/>
    </row>
    <row r="105" spans="1:17" ht="15" thickTop="1">
      <c r="A105" s="599"/>
      <c r="B105" s="538" t="s">
        <v>2615</v>
      </c>
      <c r="C105" s="554"/>
      <c r="D105" s="554"/>
      <c r="E105" s="583"/>
      <c r="F105" s="583"/>
      <c r="G105" s="583"/>
      <c r="H105" s="583"/>
      <c r="I105" s="583"/>
      <c r="J105" s="583"/>
      <c r="K105" s="584"/>
      <c r="L105" s="585"/>
      <c r="M105" s="586"/>
      <c r="N105" s="1153"/>
      <c r="O105" s="1153"/>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31"/>
      <c r="Q106" s="504"/>
    </row>
    <row r="107" spans="1:17" ht="15" thickTop="1">
      <c r="A107" s="599"/>
      <c r="B107" s="538" t="s">
        <v>2616</v>
      </c>
      <c r="C107" s="583"/>
      <c r="D107" s="583"/>
      <c r="E107" s="583"/>
      <c r="F107" s="583"/>
      <c r="G107" s="583"/>
      <c r="H107" s="583"/>
      <c r="I107" s="583"/>
      <c r="J107" s="583"/>
      <c r="K107" s="584"/>
      <c r="L107" s="585"/>
      <c r="M107" s="586"/>
      <c r="N107" s="1153"/>
      <c r="O107" s="1153"/>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31"/>
      <c r="Q108" s="504"/>
    </row>
    <row r="109" spans="1:17" ht="15" thickTop="1">
      <c r="A109" s="599"/>
      <c r="B109" s="538" t="s">
        <v>2617</v>
      </c>
      <c r="C109" s="554"/>
      <c r="D109" s="554"/>
      <c r="E109" s="554"/>
      <c r="F109" s="583"/>
      <c r="G109" s="583"/>
      <c r="H109" s="583"/>
      <c r="I109" s="583"/>
      <c r="J109" s="583"/>
      <c r="K109" s="584"/>
      <c r="L109" s="585"/>
      <c r="M109" s="586"/>
      <c r="N109" s="1153"/>
      <c r="O109" s="1153"/>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31"/>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32"/>
      <c r="Q113" s="559"/>
    </row>
    <row r="114" spans="1:17" ht="15" thickTop="1">
      <c r="A114" s="599"/>
      <c r="B114" s="538" t="s">
        <v>2618</v>
      </c>
      <c r="C114" s="554"/>
      <c r="D114" s="554"/>
      <c r="E114" s="583"/>
      <c r="F114" s="583"/>
      <c r="G114" s="583"/>
      <c r="H114" s="583"/>
      <c r="I114" s="583"/>
      <c r="J114" s="583"/>
      <c r="K114" s="584"/>
      <c r="L114" s="585"/>
      <c r="M114" s="586"/>
      <c r="N114" s="1153"/>
      <c r="O114" s="1153"/>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31"/>
      <c r="Q115" s="504"/>
    </row>
    <row r="116" spans="1:17" ht="15" thickTop="1">
      <c r="A116" s="599"/>
      <c r="B116" s="538" t="s">
        <v>2619</v>
      </c>
      <c r="C116" s="554"/>
      <c r="D116" s="554"/>
      <c r="E116" s="554"/>
      <c r="F116" s="554"/>
      <c r="G116" s="554"/>
      <c r="H116" s="583"/>
      <c r="I116" s="583"/>
      <c r="J116" s="583"/>
      <c r="K116" s="584"/>
      <c r="L116" s="585"/>
      <c r="M116" s="586"/>
      <c r="N116" s="1153"/>
      <c r="O116" s="1153"/>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31"/>
      <c r="Q117" s="504"/>
    </row>
    <row r="118" spans="1:17" ht="15" thickTop="1">
      <c r="A118" s="599"/>
      <c r="B118" s="538" t="s">
        <v>2620</v>
      </c>
      <c r="C118" s="583"/>
      <c r="D118" s="583"/>
      <c r="E118" s="583"/>
      <c r="F118" s="583"/>
      <c r="G118" s="583"/>
      <c r="H118" s="583"/>
      <c r="I118" s="583"/>
      <c r="J118" s="583"/>
      <c r="K118" s="584"/>
      <c r="L118" s="585"/>
      <c r="M118" s="586"/>
      <c r="N118" s="1153"/>
      <c r="O118" s="1153"/>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31"/>
      <c r="Q119" s="504"/>
    </row>
    <row r="120" spans="1:17" s="471" customFormat="1" ht="28.5" thickTop="1">
      <c r="A120" s="593"/>
      <c r="B120" s="538" t="s">
        <v>2575</v>
      </c>
      <c r="C120" s="554"/>
      <c r="D120" s="554"/>
      <c r="E120" s="554"/>
      <c r="F120" s="554"/>
      <c r="G120" s="554"/>
      <c r="H120" s="554"/>
      <c r="I120" s="554"/>
      <c r="J120" s="554"/>
      <c r="K120" s="554"/>
      <c r="L120" s="580"/>
      <c r="M120" s="581"/>
      <c r="N120" s="1155"/>
      <c r="O120" s="1155"/>
      <c r="P120" s="2632"/>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32"/>
      <c r="Q121" s="559"/>
    </row>
    <row r="122" spans="1:17" ht="15" thickTop="1">
      <c r="A122" s="599"/>
      <c r="B122" s="538" t="s">
        <v>2621</v>
      </c>
      <c r="C122" s="554"/>
      <c r="D122" s="554"/>
      <c r="E122" s="554"/>
      <c r="F122" s="583"/>
      <c r="G122" s="583"/>
      <c r="H122" s="583"/>
      <c r="I122" s="583"/>
      <c r="J122" s="583"/>
      <c r="K122" s="584"/>
      <c r="L122" s="585"/>
      <c r="M122" s="586"/>
      <c r="N122" s="1153"/>
      <c r="O122" s="1153"/>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31"/>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3"/>
      <c r="O124" s="1153"/>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31"/>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2"/>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2"/>
      <c r="Q127" s="559"/>
    </row>
    <row r="128" spans="1:17" ht="15" thickTop="1">
      <c r="A128" s="599"/>
      <c r="B128" s="538">
        <f>B45</f>
        <v>111</v>
      </c>
      <c r="C128" s="554"/>
      <c r="D128" s="554"/>
      <c r="E128" s="554"/>
      <c r="F128" s="554"/>
      <c r="G128" s="583"/>
      <c r="H128" s="583"/>
      <c r="I128" s="583"/>
      <c r="J128" s="583"/>
      <c r="K128" s="584"/>
      <c r="L128" s="585"/>
      <c r="M128" s="586"/>
      <c r="N128" s="1153"/>
      <c r="O128" s="1153"/>
      <c r="P128" s="2631"/>
      <c r="Q128" s="504"/>
    </row>
    <row r="129" spans="1:17" ht="15.75" thickBot="1">
      <c r="A129" s="534"/>
      <c r="B129" s="543"/>
      <c r="C129" s="560"/>
      <c r="D129" s="560"/>
      <c r="E129" s="560"/>
      <c r="F129" s="560"/>
      <c r="G129" s="536"/>
      <c r="H129" s="536"/>
      <c r="I129" s="536"/>
      <c r="J129" s="536"/>
      <c r="K129" s="536"/>
      <c r="L129" s="536"/>
      <c r="M129" s="537"/>
      <c r="N129" s="1154"/>
      <c r="O129" s="1154"/>
      <c r="P129" s="2631"/>
      <c r="Q129" s="504"/>
    </row>
    <row r="130" spans="1:17" ht="15" thickTop="1">
      <c r="A130" s="599"/>
      <c r="B130" s="546">
        <f>B46</f>
        <v>111</v>
      </c>
      <c r="C130" s="554"/>
      <c r="D130" s="554"/>
      <c r="E130" s="554"/>
      <c r="F130" s="554"/>
      <c r="G130" s="587"/>
      <c r="H130" s="587"/>
      <c r="I130" s="587"/>
      <c r="J130" s="587"/>
      <c r="K130" s="523"/>
      <c r="L130" s="524"/>
      <c r="M130" s="590"/>
      <c r="N130" s="1153"/>
      <c r="O130" s="1153"/>
      <c r="P130" s="2631"/>
      <c r="Q130" s="504"/>
    </row>
    <row r="131" spans="1:17" ht="15.75" thickBot="1">
      <c r="A131" s="2637"/>
      <c r="B131" s="569"/>
      <c r="C131" s="570"/>
      <c r="D131" s="570"/>
      <c r="E131" s="570"/>
      <c r="F131" s="570"/>
      <c r="G131" s="591"/>
      <c r="H131" s="591"/>
      <c r="I131" s="591"/>
      <c r="J131" s="591"/>
      <c r="K131" s="591"/>
      <c r="L131" s="591"/>
      <c r="M131" s="592"/>
      <c r="N131" s="1154"/>
      <c r="O131" s="1154"/>
      <c r="P131" s="2631"/>
      <c r="Q131" s="504"/>
    </row>
    <row r="136" spans="1:17" ht="15" thickBot="1">
      <c r="B136" s="2638" t="s">
        <v>2623</v>
      </c>
    </row>
    <row r="137" spans="1:17" ht="15">
      <c r="B137" s="2639" t="s">
        <v>2624</v>
      </c>
      <c r="C137" s="2640"/>
      <c r="D137" s="2640"/>
      <c r="E137" s="2640"/>
      <c r="F137" s="2640"/>
      <c r="G137" s="2641"/>
      <c r="H137" s="2642"/>
      <c r="I137" s="2643" t="s">
        <v>2625</v>
      </c>
      <c r="J137" s="2640"/>
      <c r="K137" s="2644"/>
    </row>
    <row r="138" spans="1:17" ht="15">
      <c r="B138" s="2645"/>
      <c r="C138" s="146" t="s">
        <v>2626</v>
      </c>
      <c r="D138" s="146" t="s">
        <v>2627</v>
      </c>
      <c r="E138" s="2646" t="s">
        <v>2628</v>
      </c>
      <c r="F138" s="2647" t="s">
        <v>2629</v>
      </c>
      <c r="G138" s="146" t="s">
        <v>2627</v>
      </c>
      <c r="H138" s="147" t="s">
        <v>2628</v>
      </c>
      <c r="I138" s="2648"/>
      <c r="J138" s="146" t="s">
        <v>2630</v>
      </c>
      <c r="K138" s="147" t="s">
        <v>2631</v>
      </c>
    </row>
    <row r="139" spans="1:17" ht="15">
      <c r="B139" s="1085">
        <v>6</v>
      </c>
      <c r="C139" s="1086">
        <v>96</v>
      </c>
      <c r="D139" s="2649" t="s">
        <v>2632</v>
      </c>
      <c r="E139" s="1087">
        <v>100</v>
      </c>
      <c r="F139" s="1088">
        <v>102.5</v>
      </c>
      <c r="G139" s="2649" t="s">
        <v>2632</v>
      </c>
      <c r="H139" s="1089">
        <v>105</v>
      </c>
      <c r="I139" s="2650" t="s">
        <v>2633</v>
      </c>
      <c r="J139" s="1086">
        <v>20</v>
      </c>
      <c r="K139" s="1090">
        <f>C145/(J139-2)</f>
        <v>4.0555555555555553E-3</v>
      </c>
    </row>
    <row r="140" spans="1:17" ht="15">
      <c r="B140" s="1091">
        <v>5</v>
      </c>
      <c r="C140" s="1092">
        <v>100</v>
      </c>
      <c r="D140" s="1092"/>
      <c r="E140" s="1093"/>
      <c r="F140" s="1094">
        <v>102</v>
      </c>
      <c r="G140" s="1092"/>
      <c r="H140" s="1095"/>
      <c r="I140" s="2651" t="s">
        <v>2634</v>
      </c>
      <c r="J140" s="315">
        <f>ROUNDUP((J139-1)/2,0)</f>
        <v>10</v>
      </c>
      <c r="K140" s="1096">
        <v>100</v>
      </c>
    </row>
    <row r="141" spans="1:17" ht="15">
      <c r="B141" s="1091">
        <v>4</v>
      </c>
      <c r="C141" s="1092">
        <v>102</v>
      </c>
      <c r="D141" s="1092"/>
      <c r="E141" s="1093"/>
      <c r="F141" s="1094">
        <v>101.5</v>
      </c>
      <c r="G141" s="1092"/>
      <c r="H141" s="1095"/>
      <c r="I141" s="2651" t="s">
        <v>2635</v>
      </c>
      <c r="J141" s="315">
        <v>1</v>
      </c>
      <c r="K141" s="1097">
        <f>ROUND(100+(J141-J140)*K139*100,1)</f>
        <v>96.4</v>
      </c>
    </row>
    <row r="142" spans="1:17" ht="15">
      <c r="B142" s="1091">
        <v>3</v>
      </c>
      <c r="C142" s="1092">
        <v>103</v>
      </c>
      <c r="D142" s="1092"/>
      <c r="E142" s="1093"/>
      <c r="F142" s="1094">
        <v>101</v>
      </c>
      <c r="G142" s="1092"/>
      <c r="H142" s="1095"/>
      <c r="I142" s="2651" t="s">
        <v>2636</v>
      </c>
      <c r="J142" s="315">
        <f>J139</f>
        <v>20</v>
      </c>
      <c r="K142" s="1098">
        <v>95</v>
      </c>
    </row>
    <row r="143" spans="1:17" ht="15">
      <c r="B143" s="1091">
        <v>2</v>
      </c>
      <c r="C143" s="1092">
        <v>100</v>
      </c>
      <c r="D143" s="1092"/>
      <c r="E143" s="1093"/>
      <c r="F143" s="1094">
        <v>100.5</v>
      </c>
      <c r="G143" s="1092"/>
      <c r="H143" s="1095"/>
      <c r="I143" s="2651" t="s">
        <v>2637</v>
      </c>
      <c r="J143" s="1092">
        <v>15</v>
      </c>
      <c r="K143" s="1097">
        <f>ROUND(100+(J143-J140)*K139*100,1)</f>
        <v>102</v>
      </c>
    </row>
    <row r="144" spans="1:17" ht="15">
      <c r="B144" s="1091">
        <v>1</v>
      </c>
      <c r="C144" s="1092">
        <v>98</v>
      </c>
      <c r="D144" s="2652" t="s">
        <v>2638</v>
      </c>
      <c r="E144" s="1093">
        <v>102</v>
      </c>
      <c r="F144" s="1099">
        <v>100</v>
      </c>
      <c r="G144" s="2652" t="s">
        <v>2638</v>
      </c>
      <c r="H144" s="1095">
        <v>105</v>
      </c>
      <c r="I144" s="2651" t="s">
        <v>2637</v>
      </c>
      <c r="J144" s="1092">
        <v>18</v>
      </c>
      <c r="K144" s="1097">
        <f>ROUND(100+(J144-J140)*K139*100,1)</f>
        <v>103.2</v>
      </c>
    </row>
    <row r="145" spans="2:11" ht="15.75" thickBot="1">
      <c r="B145" s="2653" t="s">
        <v>2639</v>
      </c>
      <c r="C145" s="1100">
        <f>ROUND(MAX(C139:C144)/MIN(C139:C144)-1,3)</f>
        <v>7.2999999999999995E-2</v>
      </c>
      <c r="D145" s="1101"/>
      <c r="E145" s="1101"/>
      <c r="F145" s="2654" t="s">
        <v>2640</v>
      </c>
      <c r="G145" s="2655"/>
      <c r="H145" s="2656"/>
      <c r="I145" s="2657" t="s">
        <v>2637</v>
      </c>
      <c r="J145" s="1102">
        <v>8</v>
      </c>
      <c r="K145" s="1103">
        <f>ROUND(100+(J145-J140)*K139*100,1)</f>
        <v>99.2</v>
      </c>
    </row>
    <row r="147" spans="2:11">
      <c r="B147" s="2638" t="s">
        <v>2641</v>
      </c>
    </row>
    <row r="148" spans="2:11">
      <c r="B148" s="2638"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1607</v>
      </c>
    </row>
    <row r="2" spans="1:1">
      <c r="A2" s="1944"/>
    </row>
    <row r="3" spans="1:1" ht="18">
      <c r="A3" s="1945" t="str">
        <f>项目基本情况!B5&amp;"："</f>
        <v>：</v>
      </c>
    </row>
    <row r="4" spans="1:1" ht="18">
      <c r="A4" s="1946" t="str">
        <f>"受贵公司委托，我公司对"&amp;项目基本情况!S1&amp;"进行了预评估。"</f>
        <v>受贵公司委托，我公司对北京市房地产市场价值进行了预评估。</v>
      </c>
    </row>
    <row r="5" spans="1:1" ht="18.75">
      <c r="A5" s="1947" t="s">
        <v>1608</v>
      </c>
    </row>
    <row r="6" spans="1:1" ht="18.75">
      <c r="A6" s="1948" t="s">
        <v>1609</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估价对象为北京市房地产，为所有。根据《国有土地使用证》[]，估价对象（分摊）出让国有建设用地使用权面积为21654.11平方米，建筑面积为66657.51平方米。</v>
      </c>
    </row>
    <row r="8" spans="1:1" ht="57.75">
      <c r="A8" s="1949" t="s">
        <v>1610</v>
      </c>
    </row>
    <row r="9" spans="1:1" ht="18.75">
      <c r="A9" s="1948" t="s">
        <v>1611</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估价对象为北京市房地产,属开发建设的，该项目尚在开发建设中。根据《国有土地使用证》[]，估价对象（分摊）出让国有建设用地使用权面积为21654.11平方米，规划建筑面积为66657.51平方米。</v>
      </c>
    </row>
    <row r="11" spans="1:1" ht="76.5">
      <c r="A11" s="1949" t="s">
        <v>1612</v>
      </c>
    </row>
    <row r="12" spans="1:1" ht="18.75">
      <c r="A12" s="1947" t="s">
        <v>1613</v>
      </c>
    </row>
    <row r="13" spans="1:1" ht="38.25" customHeight="1">
      <c r="A13" s="1950" t="str">
        <f>IF(项目基本情况!B8="抵押",IF(项目基本情况!B5=项目基本情况!B6,定义!C51,定义!B51),定义!D51)</f>
        <v>为估价委托人了解估价对象房地产市场价值提供参考依据。</v>
      </c>
    </row>
    <row r="14" spans="1:1" ht="18.75">
      <c r="A14" s="1951" t="s">
        <v>1614</v>
      </c>
    </row>
    <row r="15" spans="1:1" ht="18">
      <c r="A15" s="1952" t="str">
        <f>TEXT(项目基本情况!D3,"yyyy年m月d日;;")&amp;IF(项目基本情况!D3=项目基本情况!B3,"（评估专业人员实地查勘之日）","")</f>
        <v>2019年4月15日</v>
      </c>
    </row>
    <row r="16" spans="1:1" ht="18.75">
      <c r="A16" s="1951" t="s">
        <v>1615</v>
      </c>
    </row>
    <row r="17" spans="1:1" ht="75">
      <c r="A17" s="1946" t="s">
        <v>1616</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15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6" t="str">
        <f>IF(项目基本情况!B9="房地产市场价值","——",IF(项目基本情况!E8="房地产抵押价值",定义!C54,IF(项目基本情况!E8="已注销",定义!C55,定义!C56)))</f>
        <v>——</v>
      </c>
    </row>
    <row r="21" spans="1:1" ht="18">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6" t="str">
        <f>IF(项目基本情况!B9="房地产市场价值","——",IF(项目基本情况!E9="——","",定义!C57))</f>
        <v>——</v>
      </c>
    </row>
    <row r="23" spans="1:1" ht="18.75">
      <c r="A23" s="1951" t="s">
        <v>1605</v>
      </c>
    </row>
    <row r="24" spans="1:1" ht="18">
      <c r="A24" s="1953" t="str">
        <f>"本次评估采用的主估价方法为"&amp;结果表!K4&amp;"和"&amp;结果表!L4&amp;"。"</f>
        <v>本次评估采用的主估价方法为比较法和收益法。</v>
      </c>
    </row>
    <row r="25" spans="1:1" ht="18">
      <c r="A25" s="1953"/>
    </row>
    <row r="26" spans="1:1" ht="18.75">
      <c r="A26" s="1954" t="s">
        <v>1606</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4" zoomScale="70" zoomScaleNormal="70" workbookViewId="0">
      <selection activeCell="J7" sqref="J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2529</v>
      </c>
      <c r="B1" s="2670" t="s">
        <v>2687</v>
      </c>
      <c r="C1" s="1621" t="s">
        <v>2531</v>
      </c>
      <c r="D1" s="1622" t="s">
        <v>27</v>
      </c>
      <c r="E1" s="1631"/>
      <c r="F1" s="2585" t="s">
        <v>3098</v>
      </c>
      <c r="G1" s="1632" t="s">
        <v>2644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2328</v>
      </c>
      <c r="B2" s="1419">
        <f>IF(C2="——",ROUND(C50*D3/10000,0),ROUND(C50*D3/10000,0)-D2)</f>
        <v>82351</v>
      </c>
      <c r="C2" s="2587" t="s">
        <v>70</v>
      </c>
      <c r="D2" s="1366" t="e">
        <f ca="1">SUMIF(INDIRECT("'"&amp;F2&amp;"'"&amp;"!A:A"),"承租人权益价值",INDIRECT("'"&amp;F2&amp;"'"&amp;"!c:c"))</f>
        <v>#REF!</v>
      </c>
      <c r="E2" s="2588" t="s">
        <v>2329</v>
      </c>
      <c r="F2" s="2589"/>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2330</v>
      </c>
      <c r="B3" s="609">
        <f>IF(C2="——",C50,ROUND(B2*10000/D3,0))</f>
        <v>25890</v>
      </c>
      <c r="C3" s="400" t="s">
        <v>2645</v>
      </c>
      <c r="D3" s="399">
        <f>IF(D1="",'数据-汇总表'!E3,SUMIF('数据-汇总表'!$C19:$C33,D1,'数据-汇总表'!$E19:$E33))</f>
        <v>31807.97</v>
      </c>
      <c r="E3" s="2664"/>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1" t="s">
        <v>2646</v>
      </c>
      <c r="B4" s="402"/>
      <c r="C4" s="3244" t="s">
        <v>2647</v>
      </c>
      <c r="D4" s="3245"/>
      <c r="E4" s="3246" t="s">
        <v>2648</v>
      </c>
      <c r="F4" s="3247"/>
      <c r="G4" s="3244" t="s">
        <v>2649</v>
      </c>
      <c r="H4" s="3245"/>
      <c r="I4" s="3244" t="s">
        <v>2650</v>
      </c>
      <c r="J4" s="3245"/>
      <c r="K4" s="610" t="s">
        <v>2651</v>
      </c>
      <c r="L4" s="1131"/>
      <c r="M4" s="1132"/>
      <c r="N4" s="1132"/>
      <c r="O4" s="1132"/>
      <c r="P4" s="3308" t="s">
        <v>2652</v>
      </c>
      <c r="Q4" s="3309"/>
      <c r="R4" s="3303" t="s">
        <v>2648</v>
      </c>
      <c r="S4" s="3304"/>
      <c r="T4" s="3303" t="s">
        <v>2649</v>
      </c>
      <c r="U4" s="3304"/>
      <c r="V4" s="3312" t="s">
        <v>2650</v>
      </c>
      <c r="W4" s="3312"/>
      <c r="X4" s="2671"/>
      <c r="Y4" s="3303" t="s">
        <v>2652</v>
      </c>
      <c r="Z4" s="3304"/>
      <c r="AA4" s="3302" t="s">
        <v>2648</v>
      </c>
      <c r="AB4" s="3302" t="s">
        <v>2649</v>
      </c>
      <c r="AC4" s="3305" t="s">
        <v>2650</v>
      </c>
    </row>
    <row r="5" spans="1:29" ht="15">
      <c r="A5" s="404"/>
      <c r="B5" s="405"/>
      <c r="C5" s="3237" t="s">
        <v>2543</v>
      </c>
      <c r="D5" s="3238"/>
      <c r="E5" s="3235" t="str">
        <f>Sheet3!A26</f>
        <v>高教综合大楼</v>
      </c>
      <c r="F5" s="3236"/>
      <c r="G5" s="3237" t="str">
        <f>Sheet3!A27</f>
        <v>青年创业大厦</v>
      </c>
      <c r="H5" s="3238"/>
      <c r="I5" s="3237" t="str">
        <f>Sheet3!A28</f>
        <v>珠江摩派</v>
      </c>
      <c r="J5" s="3238"/>
      <c r="K5" s="610"/>
      <c r="L5" s="1131"/>
      <c r="M5" s="1132"/>
      <c r="N5" s="1132"/>
      <c r="O5" s="1132"/>
      <c r="P5" s="3310"/>
      <c r="Q5" s="3251"/>
      <c r="R5" s="3233"/>
      <c r="S5" s="3234"/>
      <c r="T5" s="3233"/>
      <c r="U5" s="3234"/>
      <c r="V5" s="3228"/>
      <c r="W5" s="3228"/>
      <c r="X5" s="1811"/>
      <c r="Y5" s="3233"/>
      <c r="Z5" s="3234"/>
      <c r="AA5" s="3226"/>
      <c r="AB5" s="3226"/>
      <c r="AC5" s="3306"/>
    </row>
    <row r="6" spans="1:29" ht="15.75" thickBot="1">
      <c r="A6" s="406"/>
      <c r="B6" s="407"/>
      <c r="C6" s="3239" t="s">
        <v>2547</v>
      </c>
      <c r="D6" s="3240"/>
      <c r="E6" s="3241" t="s">
        <v>2547</v>
      </c>
      <c r="F6" s="3242"/>
      <c r="G6" s="3239" t="s">
        <v>2547</v>
      </c>
      <c r="H6" s="3240"/>
      <c r="I6" s="3239" t="s">
        <v>2547</v>
      </c>
      <c r="J6" s="3240"/>
      <c r="K6" s="610" t="s">
        <v>2548</v>
      </c>
      <c r="L6" s="1131"/>
      <c r="M6" s="1132"/>
      <c r="N6" s="1132"/>
      <c r="O6" s="1132"/>
      <c r="P6" s="3311"/>
      <c r="Q6" s="3253"/>
      <c r="R6" s="3233"/>
      <c r="S6" s="3234"/>
      <c r="T6" s="3254"/>
      <c r="U6" s="3255"/>
      <c r="V6" s="3228"/>
      <c r="W6" s="3228"/>
      <c r="X6" s="1811"/>
      <c r="Y6" s="3254"/>
      <c r="Z6" s="3255"/>
      <c r="AA6" s="3227"/>
      <c r="AB6" s="3227"/>
      <c r="AC6" s="3307"/>
    </row>
    <row r="7" spans="1:29" s="117" customFormat="1" ht="15.75" thickBot="1">
      <c r="A7" s="408" t="s">
        <v>2549</v>
      </c>
      <c r="B7" s="409"/>
      <c r="C7" s="410">
        <f>'数据-取费表'!B2</f>
        <v>43570</v>
      </c>
      <c r="D7" s="411">
        <v>100</v>
      </c>
      <c r="E7" s="412">
        <v>43556</v>
      </c>
      <c r="F7" s="413">
        <f>SUMIF(59:59,YEAR(E7)&amp;"-"&amp;MONTH(E7),60:60)</f>
        <v>100</v>
      </c>
      <c r="G7" s="412">
        <v>43556</v>
      </c>
      <c r="H7" s="411">
        <f>SUMIF(59:59,YEAR(G7)&amp;"-"&amp;MONTH(G7),60:60)</f>
        <v>100</v>
      </c>
      <c r="I7" s="412">
        <v>43556</v>
      </c>
      <c r="J7" s="411">
        <f>SUMIF(59:59,YEAR(I7)&amp;"-"&amp;MONTH(I7),60:60)</f>
        <v>100</v>
      </c>
      <c r="K7" s="611"/>
      <c r="L7" s="1133"/>
      <c r="M7" s="1134"/>
      <c r="N7" s="1134"/>
      <c r="O7" s="1134"/>
      <c r="P7" s="3313" t="s">
        <v>2550</v>
      </c>
      <c r="Q7" s="3256"/>
      <c r="R7" s="768" t="s">
        <v>17</v>
      </c>
      <c r="S7" s="769">
        <f t="shared" ref="S7:S15" si="0">F7</f>
        <v>100</v>
      </c>
      <c r="T7" s="768" t="s">
        <v>17</v>
      </c>
      <c r="U7" s="769">
        <f t="shared" ref="U7:U15" si="1">H7</f>
        <v>100</v>
      </c>
      <c r="V7" s="768" t="s">
        <v>17</v>
      </c>
      <c r="W7" s="769">
        <f t="shared" ref="W7:W15" si="2">J7</f>
        <v>100</v>
      </c>
      <c r="X7" s="770"/>
      <c r="Y7" s="3229" t="s">
        <v>2550</v>
      </c>
      <c r="Z7" s="3230"/>
      <c r="AA7" s="771">
        <f>D7/F7</f>
        <v>1</v>
      </c>
      <c r="AB7" s="771">
        <f>D7/H7</f>
        <v>1</v>
      </c>
      <c r="AC7" s="2672">
        <f>D7/J7</f>
        <v>1</v>
      </c>
    </row>
    <row r="8" spans="1:29" s="117" customFormat="1" ht="15.75" thickBot="1">
      <c r="A8" s="408" t="s">
        <v>2551</v>
      </c>
      <c r="B8" s="409"/>
      <c r="C8" s="414" t="s">
        <v>2653</v>
      </c>
      <c r="D8" s="411">
        <v>100</v>
      </c>
      <c r="E8" s="2970" t="s">
        <v>3100</v>
      </c>
      <c r="F8" s="413">
        <f>SUMIF(62:62,E8,63:63)-SUMIF(62:62,C8,63:63)+100</f>
        <v>100</v>
      </c>
      <c r="G8" s="2970" t="s">
        <v>3100</v>
      </c>
      <c r="H8" s="411">
        <f>SUMIF(62:62,G8,63:63)-SUMIF(62:62,C8,63:63)+100</f>
        <v>100</v>
      </c>
      <c r="I8" s="2970" t="s">
        <v>3100</v>
      </c>
      <c r="J8" s="411">
        <f>SUMIF(62:62,I8,63:63)-SUMIF(62:62,C8,63:63)+100</f>
        <v>100</v>
      </c>
      <c r="K8" s="611"/>
      <c r="L8" s="1133"/>
      <c r="M8" s="1134"/>
      <c r="N8" s="1134"/>
      <c r="O8" s="1134"/>
      <c r="P8" s="3313" t="s">
        <v>2553</v>
      </c>
      <c r="Q8" s="3230"/>
      <c r="R8" s="768" t="s">
        <v>17</v>
      </c>
      <c r="S8" s="769">
        <f t="shared" si="0"/>
        <v>100</v>
      </c>
      <c r="T8" s="768" t="s">
        <v>17</v>
      </c>
      <c r="U8" s="769">
        <f t="shared" si="1"/>
        <v>100</v>
      </c>
      <c r="V8" s="768" t="s">
        <v>17</v>
      </c>
      <c r="W8" s="769">
        <f t="shared" si="2"/>
        <v>100</v>
      </c>
      <c r="X8" s="770"/>
      <c r="Y8" s="3229" t="s">
        <v>2553</v>
      </c>
      <c r="Z8" s="3230"/>
      <c r="AA8" s="771">
        <f t="shared" ref="AA8:AA47" si="3">D8/F8</f>
        <v>1</v>
      </c>
      <c r="AB8" s="771">
        <f t="shared" ref="AB8:AB47" si="4">D8/H8</f>
        <v>1</v>
      </c>
      <c r="AC8" s="2672">
        <f t="shared" ref="AC8:AC47" si="5">D8/J8</f>
        <v>1</v>
      </c>
    </row>
    <row r="9" spans="1:29" s="117" customFormat="1">
      <c r="A9" s="415" t="s">
        <v>2554</v>
      </c>
      <c r="B9" s="71" t="s">
        <v>2555</v>
      </c>
      <c r="C9" s="2971" t="s">
        <v>3101</v>
      </c>
      <c r="D9" s="135">
        <v>100</v>
      </c>
      <c r="E9" s="2972" t="s">
        <v>3101</v>
      </c>
      <c r="F9" s="135">
        <f>SUMIF(64:64,E9,65:65)-SUMIF(64:64,C9,65:65)+100</f>
        <v>100</v>
      </c>
      <c r="G9" s="2973" t="s">
        <v>3101</v>
      </c>
      <c r="H9" s="135">
        <f>SUMIF(64:64,G9,65:65)-SUMIF(64:64,C9,65:65)+100</f>
        <v>100</v>
      </c>
      <c r="I9" s="2973" t="s">
        <v>3101</v>
      </c>
      <c r="J9" s="135">
        <f>SUMIF(64:64,I9,65:65)-SUMIF(64:64,C9,65:65)+100</f>
        <v>100</v>
      </c>
      <c r="K9" s="611"/>
      <c r="L9" s="1133"/>
      <c r="M9" s="1134"/>
      <c r="N9" s="1134"/>
      <c r="O9" s="1134"/>
      <c r="P9" s="3243" t="s">
        <v>2556</v>
      </c>
      <c r="Q9" s="1793" t="str">
        <f t="shared" ref="Q9:Q15" si="6">B9</f>
        <v>用途</v>
      </c>
      <c r="R9" s="768" t="s">
        <v>17</v>
      </c>
      <c r="S9" s="769">
        <f t="shared" si="0"/>
        <v>100</v>
      </c>
      <c r="T9" s="768" t="s">
        <v>17</v>
      </c>
      <c r="U9" s="769">
        <f t="shared" si="1"/>
        <v>100</v>
      </c>
      <c r="V9" s="768" t="s">
        <v>17</v>
      </c>
      <c r="W9" s="769">
        <f t="shared" si="2"/>
        <v>100</v>
      </c>
      <c r="X9" s="770"/>
      <c r="Y9" s="3102" t="s">
        <v>2557</v>
      </c>
      <c r="Z9" s="55" t="str">
        <f t="shared" ref="Z9:Z15" si="7">Q9</f>
        <v>用途</v>
      </c>
      <c r="AA9" s="771">
        <f t="shared" si="3"/>
        <v>1</v>
      </c>
      <c r="AB9" s="771">
        <f t="shared" si="4"/>
        <v>1</v>
      </c>
      <c r="AC9" s="2672">
        <f t="shared" si="5"/>
        <v>1</v>
      </c>
    </row>
    <row r="10" spans="1:29" s="427" customFormat="1" ht="27">
      <c r="A10" s="421"/>
      <c r="B10" s="422" t="s">
        <v>2558</v>
      </c>
      <c r="C10" s="423" t="s">
        <v>3102</v>
      </c>
      <c r="D10" s="136">
        <v>100</v>
      </c>
      <c r="E10" s="423" t="s">
        <v>3102</v>
      </c>
      <c r="F10" s="136">
        <f>SUMIF(66:66,E10,67:67)-SUMIF(66:66,C10,67:67)+100</f>
        <v>100</v>
      </c>
      <c r="G10" s="424" t="s">
        <v>3102</v>
      </c>
      <c r="H10" s="136">
        <f>SUMIF(66:66,G10,67:67)-SUMIF(66:66,C10,67:67)+100</f>
        <v>100</v>
      </c>
      <c r="I10" s="423" t="s">
        <v>3102</v>
      </c>
      <c r="J10" s="136">
        <f>SUMIF(66:66,I10,67:67)-SUMIF(66:66,C10,67:67)+100</f>
        <v>100</v>
      </c>
      <c r="K10" s="612">
        <v>2</v>
      </c>
      <c r="L10" s="1136"/>
      <c r="M10" s="1137"/>
      <c r="N10" s="1137"/>
      <c r="O10" s="1137"/>
      <c r="P10" s="3243"/>
      <c r="Q10" s="1793" t="str">
        <f t="shared" si="6"/>
        <v>土地使用年限（年）</v>
      </c>
      <c r="R10" s="768" t="s">
        <v>17</v>
      </c>
      <c r="S10" s="769">
        <f t="shared" si="0"/>
        <v>100</v>
      </c>
      <c r="T10" s="768" t="s">
        <v>17</v>
      </c>
      <c r="U10" s="769">
        <f t="shared" si="1"/>
        <v>100</v>
      </c>
      <c r="V10" s="768" t="s">
        <v>17</v>
      </c>
      <c r="W10" s="769">
        <f t="shared" si="2"/>
        <v>100</v>
      </c>
      <c r="X10" s="770"/>
      <c r="Y10" s="3102"/>
      <c r="Z10" s="55" t="str">
        <f t="shared" si="7"/>
        <v>土地使用年限（年）</v>
      </c>
      <c r="AA10" s="771">
        <f t="shared" si="3"/>
        <v>1</v>
      </c>
      <c r="AB10" s="771">
        <f t="shared" si="4"/>
        <v>1</v>
      </c>
      <c r="AC10" s="2672">
        <f t="shared" si="5"/>
        <v>1</v>
      </c>
    </row>
    <row r="11" spans="1:29" ht="15">
      <c r="A11" s="428"/>
      <c r="B11" s="422" t="s">
        <v>2559</v>
      </c>
      <c r="C11" s="429"/>
      <c r="D11" s="136">
        <v>100</v>
      </c>
      <c r="E11" s="429"/>
      <c r="F11" s="136">
        <f>LOOKUP(E11,69:69,70:70)-LOOKUP(C11,69:69,70:70)+100</f>
        <v>100</v>
      </c>
      <c r="G11" s="430"/>
      <c r="H11" s="136">
        <f>LOOKUP(G11,69:69,70:70)-LOOKUP(C11,69:69,70:70)+100</f>
        <v>100</v>
      </c>
      <c r="I11" s="429"/>
      <c r="J11" s="136">
        <f>LOOKUP(I11,69:69,70:70)-LOOKUP(C11,69:69,70:70)+100</f>
        <v>100</v>
      </c>
      <c r="K11" s="612">
        <v>2</v>
      </c>
      <c r="L11" s="1139"/>
      <c r="M11" s="1132"/>
      <c r="N11" s="1132"/>
      <c r="O11" s="1132"/>
      <c r="P11" s="3243"/>
      <c r="Q11" s="1793" t="str">
        <f t="shared" si="6"/>
        <v>容积率</v>
      </c>
      <c r="R11" s="768" t="s">
        <v>17</v>
      </c>
      <c r="S11" s="769">
        <f t="shared" si="0"/>
        <v>100</v>
      </c>
      <c r="T11" s="768" t="s">
        <v>17</v>
      </c>
      <c r="U11" s="769">
        <f t="shared" si="1"/>
        <v>100</v>
      </c>
      <c r="V11" s="768" t="s">
        <v>17</v>
      </c>
      <c r="W11" s="769">
        <f t="shared" si="2"/>
        <v>100</v>
      </c>
      <c r="X11" s="770"/>
      <c r="Y11" s="3102"/>
      <c r="Z11" s="55" t="str">
        <f t="shared" si="7"/>
        <v>容积率</v>
      </c>
      <c r="AA11" s="771">
        <f t="shared" si="3"/>
        <v>1</v>
      </c>
      <c r="AB11" s="771">
        <f t="shared" si="4"/>
        <v>1</v>
      </c>
      <c r="AC11" s="2672">
        <f t="shared" si="5"/>
        <v>1</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3"/>
      <c r="M12" s="1134"/>
      <c r="N12" s="1134"/>
      <c r="O12" s="1134"/>
      <c r="P12" s="3243"/>
      <c r="Q12" s="1793">
        <f t="shared" si="6"/>
        <v>111</v>
      </c>
      <c r="R12" s="768" t="s">
        <v>17</v>
      </c>
      <c r="S12" s="769">
        <f t="shared" si="0"/>
        <v>100</v>
      </c>
      <c r="T12" s="768" t="s">
        <v>17</v>
      </c>
      <c r="U12" s="769">
        <f t="shared" si="1"/>
        <v>100</v>
      </c>
      <c r="V12" s="768" t="s">
        <v>17</v>
      </c>
      <c r="W12" s="769">
        <f t="shared" si="2"/>
        <v>100</v>
      </c>
      <c r="X12" s="770"/>
      <c r="Y12" s="3102"/>
      <c r="Z12" s="55">
        <f t="shared" si="7"/>
        <v>111</v>
      </c>
      <c r="AA12" s="771">
        <f>D12/F12</f>
        <v>1</v>
      </c>
      <c r="AB12" s="771">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1"/>
      <c r="M13" s="1132"/>
      <c r="N13" s="1132"/>
      <c r="O13" s="1132"/>
      <c r="P13" s="3243"/>
      <c r="Q13" s="1793">
        <f t="shared" si="6"/>
        <v>111</v>
      </c>
      <c r="R13" s="768" t="s">
        <v>17</v>
      </c>
      <c r="S13" s="769">
        <f t="shared" si="0"/>
        <v>100</v>
      </c>
      <c r="T13" s="768" t="s">
        <v>17</v>
      </c>
      <c r="U13" s="769">
        <f t="shared" si="1"/>
        <v>100</v>
      </c>
      <c r="V13" s="768" t="s">
        <v>17</v>
      </c>
      <c r="W13" s="769">
        <f t="shared" si="2"/>
        <v>100</v>
      </c>
      <c r="X13" s="770"/>
      <c r="Y13" s="3102"/>
      <c r="Z13" s="55">
        <f t="shared" si="7"/>
        <v>111</v>
      </c>
      <c r="AA13" s="771">
        <f t="shared" si="3"/>
        <v>1</v>
      </c>
      <c r="AB13" s="771">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1"/>
      <c r="M14" s="1132"/>
      <c r="N14" s="1132"/>
      <c r="O14" s="1132"/>
      <c r="P14" s="3243"/>
      <c r="Q14" s="1793">
        <f t="shared" si="6"/>
        <v>111</v>
      </c>
      <c r="R14" s="768" t="s">
        <v>17</v>
      </c>
      <c r="S14" s="769">
        <f t="shared" si="0"/>
        <v>100</v>
      </c>
      <c r="T14" s="768" t="s">
        <v>17</v>
      </c>
      <c r="U14" s="769">
        <f t="shared" si="1"/>
        <v>100</v>
      </c>
      <c r="V14" s="768" t="s">
        <v>17</v>
      </c>
      <c r="W14" s="769">
        <f t="shared" si="2"/>
        <v>100</v>
      </c>
      <c r="X14" s="770"/>
      <c r="Y14" s="3102"/>
      <c r="Z14" s="55">
        <f t="shared" si="7"/>
        <v>111</v>
      </c>
      <c r="AA14" s="771">
        <f t="shared" si="3"/>
        <v>1</v>
      </c>
      <c r="AB14" s="771">
        <f t="shared" si="4"/>
        <v>1</v>
      </c>
      <c r="AC14" s="2672">
        <f t="shared" si="5"/>
        <v>1</v>
      </c>
    </row>
    <row r="15" spans="1:29" ht="71.25">
      <c r="A15" s="440" t="s">
        <v>2560</v>
      </c>
      <c r="B15" s="629" t="s">
        <v>2688</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102</v>
      </c>
      <c r="K15" s="614">
        <v>2</v>
      </c>
      <c r="L15" s="1141"/>
      <c r="M15" s="1132"/>
      <c r="N15" s="1132"/>
      <c r="O15" s="1132"/>
      <c r="P15" s="3257" t="s">
        <v>2561</v>
      </c>
      <c r="Q15" s="1808" t="str">
        <f t="shared" si="6"/>
        <v>办公集聚程度</v>
      </c>
      <c r="R15" s="772" t="s">
        <v>17</v>
      </c>
      <c r="S15" s="773">
        <f t="shared" si="0"/>
        <v>100</v>
      </c>
      <c r="T15" s="772" t="s">
        <v>17</v>
      </c>
      <c r="U15" s="773">
        <f t="shared" si="1"/>
        <v>100</v>
      </c>
      <c r="V15" s="772" t="s">
        <v>17</v>
      </c>
      <c r="W15" s="773">
        <f t="shared" si="2"/>
        <v>102</v>
      </c>
      <c r="X15" s="1811"/>
      <c r="Y15" s="3259" t="s">
        <v>2561</v>
      </c>
      <c r="Z15" s="1812" t="str">
        <f t="shared" si="7"/>
        <v>办公集聚程度</v>
      </c>
      <c r="AA15" s="1809">
        <f t="shared" si="3"/>
        <v>1</v>
      </c>
      <c r="AB15" s="1809">
        <f t="shared" si="4"/>
        <v>1</v>
      </c>
      <c r="AC15" s="2675">
        <f t="shared" si="5"/>
        <v>0.98039215686274506</v>
      </c>
    </row>
    <row r="16" spans="1:29" ht="15">
      <c r="A16" s="428"/>
      <c r="B16" s="630"/>
      <c r="C16" s="2612" t="s">
        <v>3103</v>
      </c>
      <c r="D16" s="448"/>
      <c r="E16" s="447" t="s">
        <v>3103</v>
      </c>
      <c r="F16" s="448"/>
      <c r="G16" s="2612" t="s">
        <v>3103</v>
      </c>
      <c r="H16" s="450"/>
      <c r="I16" s="447" t="s">
        <v>3093</v>
      </c>
      <c r="J16" s="448"/>
      <c r="K16" s="615"/>
      <c r="L16" s="1141"/>
      <c r="M16" s="1132"/>
      <c r="N16" s="1132"/>
      <c r="O16" s="1132"/>
      <c r="P16" s="3258"/>
      <c r="Q16" s="1808"/>
      <c r="R16" s="772"/>
      <c r="S16" s="773"/>
      <c r="T16" s="772"/>
      <c r="U16" s="773"/>
      <c r="V16" s="772"/>
      <c r="W16" s="773"/>
      <c r="X16" s="1811"/>
      <c r="Y16" s="3260"/>
      <c r="Z16" s="1812"/>
      <c r="AA16" s="1809">
        <v>1</v>
      </c>
      <c r="AB16" s="1809">
        <v>1</v>
      </c>
      <c r="AC16" s="2675">
        <v>1</v>
      </c>
    </row>
    <row r="17" spans="1:29" ht="71.25">
      <c r="A17" s="428"/>
      <c r="B17" s="631" t="s">
        <v>2097</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1"/>
      <c r="M17" s="1132"/>
      <c r="N17" s="1132"/>
      <c r="O17" s="1132"/>
      <c r="P17" s="3258"/>
      <c r="Q17" s="1808" t="str">
        <f>B17</f>
        <v>交通便捷度</v>
      </c>
      <c r="R17" s="772" t="s">
        <v>17</v>
      </c>
      <c r="S17" s="773">
        <f>F17</f>
        <v>100</v>
      </c>
      <c r="T17" s="772" t="s">
        <v>17</v>
      </c>
      <c r="U17" s="773">
        <f>H17</f>
        <v>100</v>
      </c>
      <c r="V17" s="772" t="s">
        <v>17</v>
      </c>
      <c r="W17" s="773">
        <f>J17</f>
        <v>100</v>
      </c>
      <c r="X17" s="1811"/>
      <c r="Y17" s="3260"/>
      <c r="Z17" s="1812" t="str">
        <f>Q17</f>
        <v>交通便捷度</v>
      </c>
      <c r="AA17" s="1809">
        <f t="shared" si="3"/>
        <v>1</v>
      </c>
      <c r="AB17" s="1809">
        <f t="shared" si="4"/>
        <v>1</v>
      </c>
      <c r="AC17" s="2675">
        <f t="shared" si="5"/>
        <v>1</v>
      </c>
    </row>
    <row r="18" spans="1:29" ht="15">
      <c r="A18" s="428"/>
      <c r="B18" s="632"/>
      <c r="C18" s="2974" t="s">
        <v>3107</v>
      </c>
      <c r="D18" s="450"/>
      <c r="E18" s="2975" t="s">
        <v>3107</v>
      </c>
      <c r="F18" s="450"/>
      <c r="G18" s="2976" t="s">
        <v>3107</v>
      </c>
      <c r="H18" s="448"/>
      <c r="I18" s="2976" t="s">
        <v>3107</v>
      </c>
      <c r="J18" s="448"/>
      <c r="K18" s="615"/>
      <c r="L18" s="1141"/>
      <c r="M18" s="1132"/>
      <c r="N18" s="1132"/>
      <c r="O18" s="1132"/>
      <c r="P18" s="3258"/>
      <c r="Q18" s="1808"/>
      <c r="R18" s="772"/>
      <c r="S18" s="773"/>
      <c r="T18" s="772"/>
      <c r="U18" s="773"/>
      <c r="V18" s="772"/>
      <c r="W18" s="773"/>
      <c r="X18" s="1811"/>
      <c r="Y18" s="3260"/>
      <c r="Z18" s="1812"/>
      <c r="AA18" s="1809">
        <v>1</v>
      </c>
      <c r="AB18" s="1809">
        <v>1</v>
      </c>
      <c r="AC18" s="2675">
        <v>1</v>
      </c>
    </row>
    <row r="19" spans="1:29" ht="42.75">
      <c r="A19" s="428"/>
      <c r="B19" s="631" t="s">
        <v>2689</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1"/>
      <c r="M19" s="1132"/>
      <c r="N19" s="1132"/>
      <c r="O19" s="1132"/>
      <c r="P19" s="3258"/>
      <c r="Q19" s="1808" t="str">
        <f>B19</f>
        <v>公共配套设施</v>
      </c>
      <c r="R19" s="772" t="s">
        <v>17</v>
      </c>
      <c r="S19" s="773">
        <f>F19</f>
        <v>100</v>
      </c>
      <c r="T19" s="772" t="s">
        <v>17</v>
      </c>
      <c r="U19" s="773">
        <f>H19</f>
        <v>100</v>
      </c>
      <c r="V19" s="772" t="s">
        <v>17</v>
      </c>
      <c r="W19" s="773">
        <f>J19</f>
        <v>100</v>
      </c>
      <c r="X19" s="1811"/>
      <c r="Y19" s="3260"/>
      <c r="Z19" s="1812" t="str">
        <f>Q19</f>
        <v>公共配套设施</v>
      </c>
      <c r="AA19" s="1809">
        <f t="shared" si="3"/>
        <v>1</v>
      </c>
      <c r="AB19" s="1809">
        <f t="shared" si="4"/>
        <v>1</v>
      </c>
      <c r="AC19" s="2675">
        <f t="shared" si="5"/>
        <v>1</v>
      </c>
    </row>
    <row r="20" spans="1:29" ht="15">
      <c r="A20" s="428"/>
      <c r="B20" s="632"/>
      <c r="C20" s="2977" t="s">
        <v>3107</v>
      </c>
      <c r="D20" s="448"/>
      <c r="E20" s="2978" t="s">
        <v>3107</v>
      </c>
      <c r="F20" s="448"/>
      <c r="G20" s="2979" t="s">
        <v>3107</v>
      </c>
      <c r="H20" s="448"/>
      <c r="I20" s="2979" t="s">
        <v>3107</v>
      </c>
      <c r="J20" s="448"/>
      <c r="K20" s="615"/>
      <c r="L20" s="1141"/>
      <c r="M20" s="1132"/>
      <c r="N20" s="1132"/>
      <c r="O20" s="1132"/>
      <c r="P20" s="3258"/>
      <c r="Q20" s="1808"/>
      <c r="R20" s="772"/>
      <c r="S20" s="773"/>
      <c r="T20" s="772"/>
      <c r="U20" s="773"/>
      <c r="V20" s="772"/>
      <c r="W20" s="773"/>
      <c r="X20" s="1811"/>
      <c r="Y20" s="3260"/>
      <c r="Z20" s="1812"/>
      <c r="AA20" s="1809">
        <v>1</v>
      </c>
      <c r="AB20" s="1809">
        <v>1</v>
      </c>
      <c r="AC20" s="2675">
        <v>1</v>
      </c>
    </row>
    <row r="21" spans="1:29" ht="28.5">
      <c r="A21" s="428"/>
      <c r="B21" s="633" t="s">
        <v>2690</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1"/>
      <c r="M21" s="1132"/>
      <c r="N21" s="1132"/>
      <c r="O21" s="1132"/>
      <c r="P21" s="3258"/>
      <c r="Q21" s="1808" t="str">
        <f>B21</f>
        <v>基础设施水平</v>
      </c>
      <c r="R21" s="772" t="s">
        <v>17</v>
      </c>
      <c r="S21" s="773">
        <f>F21</f>
        <v>100</v>
      </c>
      <c r="T21" s="772" t="s">
        <v>17</v>
      </c>
      <c r="U21" s="773">
        <f>H21</f>
        <v>100</v>
      </c>
      <c r="V21" s="772" t="s">
        <v>17</v>
      </c>
      <c r="W21" s="773">
        <f>J21</f>
        <v>100</v>
      </c>
      <c r="X21" s="1811"/>
      <c r="Y21" s="3260"/>
      <c r="Z21" s="1812" t="str">
        <f>Q21</f>
        <v>基础设施水平</v>
      </c>
      <c r="AA21" s="1809">
        <f t="shared" ref="AA21" si="8">D21/F21</f>
        <v>1</v>
      </c>
      <c r="AB21" s="1809">
        <f t="shared" ref="AB21" si="9">D21/H21</f>
        <v>1</v>
      </c>
      <c r="AC21" s="2675">
        <f t="shared" ref="AC21" si="10">D21/J21</f>
        <v>1</v>
      </c>
    </row>
    <row r="22" spans="1:29" ht="15">
      <c r="A22" s="428"/>
      <c r="B22" s="633"/>
      <c r="C22" s="2974" t="s">
        <v>3108</v>
      </c>
      <c r="D22" s="448"/>
      <c r="E22" s="2980" t="s">
        <v>3108</v>
      </c>
      <c r="F22" s="448"/>
      <c r="G22" s="2977" t="s">
        <v>3108</v>
      </c>
      <c r="H22" s="448"/>
      <c r="I22" s="2977" t="s">
        <v>3108</v>
      </c>
      <c r="J22" s="448"/>
      <c r="K22" s="1384"/>
      <c r="L22" s="1141"/>
      <c r="M22" s="1132"/>
      <c r="N22" s="1132"/>
      <c r="O22" s="1132"/>
      <c r="P22" s="3258"/>
      <c r="Q22" s="1808"/>
      <c r="R22" s="772"/>
      <c r="S22" s="773"/>
      <c r="T22" s="772"/>
      <c r="U22" s="773"/>
      <c r="V22" s="772"/>
      <c r="W22" s="773"/>
      <c r="X22" s="1811"/>
      <c r="Y22" s="3260"/>
      <c r="Z22" s="1812"/>
      <c r="AA22" s="1809">
        <v>1</v>
      </c>
      <c r="AB22" s="1809">
        <v>1</v>
      </c>
      <c r="AC22" s="2675">
        <v>1</v>
      </c>
    </row>
    <row r="23" spans="1:29" ht="42.75">
      <c r="A23" s="428"/>
      <c r="B23" s="631" t="s">
        <v>2691</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1"/>
      <c r="M23" s="1132"/>
      <c r="N23" s="1132"/>
      <c r="O23" s="1132"/>
      <c r="P23" s="3258"/>
      <c r="Q23" s="1808" t="str">
        <f>B23</f>
        <v>环境质量</v>
      </c>
      <c r="R23" s="772" t="s">
        <v>17</v>
      </c>
      <c r="S23" s="773">
        <f>F23</f>
        <v>100</v>
      </c>
      <c r="T23" s="772" t="s">
        <v>17</v>
      </c>
      <c r="U23" s="773">
        <f>H23</f>
        <v>100</v>
      </c>
      <c r="V23" s="772" t="s">
        <v>17</v>
      </c>
      <c r="W23" s="773">
        <f>J23</f>
        <v>100</v>
      </c>
      <c r="X23" s="1811"/>
      <c r="Y23" s="3260"/>
      <c r="Z23" s="1812" t="str">
        <f>Q23</f>
        <v>环境质量</v>
      </c>
      <c r="AA23" s="1809">
        <f t="shared" si="3"/>
        <v>1</v>
      </c>
      <c r="AB23" s="1809">
        <f t="shared" si="4"/>
        <v>1</v>
      </c>
      <c r="AC23" s="2675">
        <f t="shared" si="5"/>
        <v>1</v>
      </c>
    </row>
    <row r="24" spans="1:29" ht="15">
      <c r="A24" s="428"/>
      <c r="B24" s="633"/>
      <c r="C24" s="2977" t="s">
        <v>3107</v>
      </c>
      <c r="D24" s="448"/>
      <c r="E24" s="2978" t="s">
        <v>3107</v>
      </c>
      <c r="F24" s="448"/>
      <c r="G24" s="2979" t="s">
        <v>3107</v>
      </c>
      <c r="H24" s="448"/>
      <c r="I24" s="2979" t="s">
        <v>3107</v>
      </c>
      <c r="J24" s="448"/>
      <c r="K24" s="615"/>
      <c r="L24" s="1141"/>
      <c r="M24" s="1132"/>
      <c r="N24" s="1132"/>
      <c r="O24" s="1132"/>
      <c r="P24" s="3258"/>
      <c r="Q24" s="1808"/>
      <c r="R24" s="772"/>
      <c r="S24" s="773"/>
      <c r="T24" s="772"/>
      <c r="U24" s="773"/>
      <c r="V24" s="772"/>
      <c r="W24" s="773"/>
      <c r="X24" s="1811"/>
      <c r="Y24" s="3260"/>
      <c r="Z24" s="1812"/>
      <c r="AA24" s="1809">
        <v>1</v>
      </c>
      <c r="AB24" s="1809">
        <v>1</v>
      </c>
      <c r="AC24" s="2675">
        <v>1</v>
      </c>
    </row>
    <row r="25" spans="1:29" ht="27">
      <c r="A25" s="404"/>
      <c r="B25" s="631" t="s">
        <v>2692</v>
      </c>
      <c r="C25" s="2616"/>
      <c r="D25" s="435">
        <v>100</v>
      </c>
      <c r="E25" s="434"/>
      <c r="F25" s="435">
        <f>SUMIF(87:87,E26,88:88)-SUMIF(87:87,C26,88:88)+100</f>
        <v>94</v>
      </c>
      <c r="G25" s="2616"/>
      <c r="H25" s="435">
        <f>SUMIF(87:87,G26,88:88)-SUMIF(87:87,C26,88:88)+100</f>
        <v>94</v>
      </c>
      <c r="I25" s="434"/>
      <c r="J25" s="435">
        <f>SUMIF(87:87,I26,88:88)-SUMIF(87:87,C26,88:88)+100</f>
        <v>100</v>
      </c>
      <c r="K25" s="614">
        <v>2</v>
      </c>
      <c r="L25" s="1141"/>
      <c r="M25" s="1132"/>
      <c r="N25" s="1132"/>
      <c r="O25" s="1132"/>
      <c r="P25" s="3258"/>
      <c r="Q25" s="1808" t="str">
        <f>B25</f>
        <v>毗邻道路的类型与等级</v>
      </c>
      <c r="R25" s="772" t="s">
        <v>17</v>
      </c>
      <c r="S25" s="773">
        <f>F25</f>
        <v>94</v>
      </c>
      <c r="T25" s="772" t="s">
        <v>17</v>
      </c>
      <c r="U25" s="773">
        <f>H25</f>
        <v>94</v>
      </c>
      <c r="V25" s="772" t="s">
        <v>17</v>
      </c>
      <c r="W25" s="773">
        <f>J25</f>
        <v>100</v>
      </c>
      <c r="X25" s="1811"/>
      <c r="Y25" s="3260"/>
      <c r="Z25" s="1812" t="str">
        <f>Q25</f>
        <v>毗邻道路的类型与等级</v>
      </c>
      <c r="AA25" s="1809">
        <f t="shared" si="3"/>
        <v>1.0638297872340425</v>
      </c>
      <c r="AB25" s="1809">
        <f t="shared" si="4"/>
        <v>1.0638297872340425</v>
      </c>
      <c r="AC25" s="2675">
        <f t="shared" si="5"/>
        <v>1</v>
      </c>
    </row>
    <row r="26" spans="1:29" ht="15">
      <c r="A26" s="404"/>
      <c r="B26" s="632"/>
      <c r="C26" s="2981" t="s">
        <v>3172</v>
      </c>
      <c r="D26" s="435"/>
      <c r="E26" s="2982" t="s">
        <v>3112</v>
      </c>
      <c r="F26" s="435"/>
      <c r="G26" s="2981" t="s">
        <v>3112</v>
      </c>
      <c r="H26" s="435"/>
      <c r="I26" s="2982" t="s">
        <v>3172</v>
      </c>
      <c r="J26" s="435"/>
      <c r="K26" s="615"/>
      <c r="L26" s="1141"/>
      <c r="M26" s="1132"/>
      <c r="N26" s="1132"/>
      <c r="O26" s="1132"/>
      <c r="P26" s="3258"/>
      <c r="Q26" s="1808"/>
      <c r="R26" s="772"/>
      <c r="S26" s="773"/>
      <c r="T26" s="772"/>
      <c r="U26" s="773"/>
      <c r="V26" s="772"/>
      <c r="W26" s="773"/>
      <c r="X26" s="1811"/>
      <c r="Y26" s="3260"/>
      <c r="Z26" s="1812"/>
      <c r="AA26" s="1809">
        <v>1</v>
      </c>
      <c r="AB26" s="1809">
        <v>1</v>
      </c>
      <c r="AC26" s="2675">
        <v>1</v>
      </c>
    </row>
    <row r="27" spans="1:29" ht="15">
      <c r="A27" s="428"/>
      <c r="B27" s="632" t="s">
        <v>2660</v>
      </c>
      <c r="C27" s="2981" t="s">
        <v>3109</v>
      </c>
      <c r="D27" s="435">
        <v>100</v>
      </c>
      <c r="E27" s="2982" t="s">
        <v>3121</v>
      </c>
      <c r="F27" s="435">
        <f>SUMIF(89:89,E27,90:90)-SUMIF(89:89,C27,90:90)+100</f>
        <v>105</v>
      </c>
      <c r="G27" s="2981" t="s">
        <v>3110</v>
      </c>
      <c r="H27" s="435">
        <f>SUMIF(89:89,G27,90:90)-SUMIF(89:89,C27,90:90)+100</f>
        <v>100</v>
      </c>
      <c r="I27" s="2982" t="s">
        <v>3122</v>
      </c>
      <c r="J27" s="435">
        <f>SUMIF(89:89,I27,90:90)-SUMIF(89:89,C27,90:90)+100</f>
        <v>105</v>
      </c>
      <c r="K27" s="612">
        <v>5</v>
      </c>
      <c r="L27" s="1141"/>
      <c r="M27" s="1132"/>
      <c r="N27" s="1132"/>
      <c r="O27" s="1132"/>
      <c r="P27" s="3258"/>
      <c r="Q27" s="1808" t="str">
        <f t="shared" ref="Q27:Q47" si="11">B27</f>
        <v>楼层</v>
      </c>
      <c r="R27" s="772" t="s">
        <v>17</v>
      </c>
      <c r="S27" s="773">
        <f>F27</f>
        <v>105</v>
      </c>
      <c r="T27" s="772" t="s">
        <v>17</v>
      </c>
      <c r="U27" s="773">
        <f>H27</f>
        <v>100</v>
      </c>
      <c r="V27" s="772" t="s">
        <v>17</v>
      </c>
      <c r="W27" s="773">
        <f>J27</f>
        <v>105</v>
      </c>
      <c r="X27" s="1811"/>
      <c r="Y27" s="3260"/>
      <c r="Z27" s="1812" t="str">
        <f>Q27</f>
        <v>楼层</v>
      </c>
      <c r="AA27" s="1809">
        <f t="shared" si="3"/>
        <v>0.95238095238095233</v>
      </c>
      <c r="AB27" s="1809">
        <f t="shared" si="4"/>
        <v>1</v>
      </c>
      <c r="AC27" s="2675">
        <f t="shared" si="5"/>
        <v>0.95238095238095233</v>
      </c>
    </row>
    <row r="28" spans="1:29" s="117" customFormat="1" ht="15">
      <c r="A28" s="431"/>
      <c r="B28" s="631" t="s">
        <v>2693</v>
      </c>
      <c r="C28" s="2677"/>
      <c r="D28" s="462">
        <v>100</v>
      </c>
      <c r="E28" s="2666"/>
      <c r="F28" s="462">
        <f>SUMIF(91:91,E28,92:92)-SUMIF(91:91,C28,92:92)+100</f>
        <v>100</v>
      </c>
      <c r="G28" s="2677"/>
      <c r="H28" s="462">
        <f>SUMIF(91:91,G28,92:92)-SUMIF(91:91,C28,92:92)+100</f>
        <v>100</v>
      </c>
      <c r="I28" s="2666"/>
      <c r="J28" s="462">
        <f>SUMIF(91:91,I28,92:92)-SUMIF(91:91,C28,92:92)+100</f>
        <v>100</v>
      </c>
      <c r="K28" s="612">
        <v>2</v>
      </c>
      <c r="L28" s="1133"/>
      <c r="M28" s="1134"/>
      <c r="N28" s="1134"/>
      <c r="O28" s="1134"/>
      <c r="P28" s="3258"/>
      <c r="Q28" s="1793" t="str">
        <f t="shared" si="11"/>
        <v>朝向</v>
      </c>
      <c r="R28" s="768" t="s">
        <v>17</v>
      </c>
      <c r="S28" s="769">
        <f>F28</f>
        <v>100</v>
      </c>
      <c r="T28" s="768" t="s">
        <v>17</v>
      </c>
      <c r="U28" s="769">
        <f>H28</f>
        <v>100</v>
      </c>
      <c r="V28" s="768" t="s">
        <v>17</v>
      </c>
      <c r="W28" s="769">
        <f>J28</f>
        <v>100</v>
      </c>
      <c r="X28" s="770"/>
      <c r="Y28" s="3260"/>
      <c r="Z28" s="55" t="str">
        <f>Q28</f>
        <v>朝向</v>
      </c>
      <c r="AA28" s="1809">
        <f>D28/F28</f>
        <v>1</v>
      </c>
      <c r="AB28" s="1809">
        <f>D28/H28</f>
        <v>1</v>
      </c>
      <c r="AC28" s="2675">
        <f>D28/J28</f>
        <v>1</v>
      </c>
    </row>
    <row r="29" spans="1:29" ht="15">
      <c r="A29" s="428"/>
      <c r="B29" s="2678">
        <v>111</v>
      </c>
      <c r="C29" s="2616"/>
      <c r="D29" s="435">
        <v>100</v>
      </c>
      <c r="E29" s="432"/>
      <c r="F29" s="435">
        <f>SUMIF(93:93,E29,94:94)-SUMIF(93:93,C29,94:94)+100</f>
        <v>100</v>
      </c>
      <c r="G29" s="2673"/>
      <c r="H29" s="435">
        <f>SUMIF(93:93,G29,94:94)-SUMIF(93:93,C29,94:94)+100</f>
        <v>100</v>
      </c>
      <c r="I29" s="432"/>
      <c r="J29" s="435">
        <f>SUMIF(93:93,I29,94:94)-SUMIF(93:93,C29,94:94)+100</f>
        <v>100</v>
      </c>
      <c r="K29" s="613"/>
      <c r="L29" s="1141"/>
      <c r="M29" s="1132"/>
      <c r="N29" s="1132"/>
      <c r="O29" s="1132"/>
      <c r="P29" s="3258"/>
      <c r="Q29" s="1808">
        <f t="shared" si="11"/>
        <v>111</v>
      </c>
      <c r="R29" s="772" t="s">
        <v>17</v>
      </c>
      <c r="S29" s="773">
        <f t="shared" ref="S29:S47" si="12">F29</f>
        <v>100</v>
      </c>
      <c r="T29" s="772" t="s">
        <v>17</v>
      </c>
      <c r="U29" s="773">
        <f t="shared" ref="U29:U47" si="13">H29</f>
        <v>100</v>
      </c>
      <c r="V29" s="772" t="s">
        <v>17</v>
      </c>
      <c r="W29" s="773">
        <f t="shared" ref="W29:W47" si="14">J29</f>
        <v>100</v>
      </c>
      <c r="X29" s="1811"/>
      <c r="Y29" s="3260"/>
      <c r="Z29" s="1812">
        <f t="shared" ref="Z29:Z47" si="15">Q29</f>
        <v>111</v>
      </c>
      <c r="AA29" s="1809">
        <f t="shared" si="3"/>
        <v>1</v>
      </c>
      <c r="AB29" s="1809">
        <f t="shared" si="4"/>
        <v>1</v>
      </c>
      <c r="AC29" s="2675">
        <f t="shared" si="5"/>
        <v>1</v>
      </c>
    </row>
    <row r="30" spans="1:29" ht="15">
      <c r="A30" s="428"/>
      <c r="B30" s="2678">
        <v>111</v>
      </c>
      <c r="C30" s="2616"/>
      <c r="D30" s="435">
        <v>100</v>
      </c>
      <c r="E30" s="432"/>
      <c r="F30" s="435">
        <f>SUMIF(95:95,E30,96:96)-SUMIF(95:95,C30,96:96)+100</f>
        <v>100</v>
      </c>
      <c r="G30" s="2673"/>
      <c r="H30" s="435">
        <f>SUMIF(95:95,G30,96:96)-SUMIF(95:95,C30,96:96)+100</f>
        <v>100</v>
      </c>
      <c r="I30" s="432"/>
      <c r="J30" s="435">
        <f>SUMIF(95:95,I30,96:96)-SUMIF(95:95,C30,96:96)+100</f>
        <v>100</v>
      </c>
      <c r="K30" s="613"/>
      <c r="L30" s="1141"/>
      <c r="M30" s="1132"/>
      <c r="N30" s="1132"/>
      <c r="O30" s="1132"/>
      <c r="P30" s="3258"/>
      <c r="Q30" s="1808">
        <f t="shared" si="11"/>
        <v>111</v>
      </c>
      <c r="R30" s="772" t="s">
        <v>17</v>
      </c>
      <c r="S30" s="773">
        <f t="shared" si="12"/>
        <v>100</v>
      </c>
      <c r="T30" s="772" t="s">
        <v>17</v>
      </c>
      <c r="U30" s="773">
        <f t="shared" si="13"/>
        <v>100</v>
      </c>
      <c r="V30" s="772" t="s">
        <v>17</v>
      </c>
      <c r="W30" s="773">
        <f t="shared" si="14"/>
        <v>100</v>
      </c>
      <c r="X30" s="1811"/>
      <c r="Y30" s="3260"/>
      <c r="Z30" s="1812">
        <f t="shared" si="15"/>
        <v>111</v>
      </c>
      <c r="AA30" s="1809">
        <f t="shared" si="3"/>
        <v>1</v>
      </c>
      <c r="AB30" s="1809">
        <f t="shared" si="4"/>
        <v>1</v>
      </c>
      <c r="AC30" s="2675">
        <f t="shared" si="5"/>
        <v>1</v>
      </c>
    </row>
    <row r="31" spans="1:29" ht="15">
      <c r="A31" s="428"/>
      <c r="B31" s="2678">
        <v>111</v>
      </c>
      <c r="C31" s="2616"/>
      <c r="D31" s="435">
        <v>100</v>
      </c>
      <c r="E31" s="432"/>
      <c r="F31" s="435">
        <f>SUMIF(97:97,E31,98:98)-SUMIF(97:97,C31,98:98)+100</f>
        <v>100</v>
      </c>
      <c r="G31" s="2673"/>
      <c r="H31" s="435">
        <f>SUMIF(97:97,G31,98:98)-SUMIF(97:97,C31,98:98)+100</f>
        <v>100</v>
      </c>
      <c r="I31" s="432"/>
      <c r="J31" s="435">
        <f>SUMIF(97:97,I31,98:98)-SUMIF(97:97,C31,98:98)+100</f>
        <v>100</v>
      </c>
      <c r="K31" s="613"/>
      <c r="L31" s="1141"/>
      <c r="M31" s="1132"/>
      <c r="N31" s="1132"/>
      <c r="O31" s="1132"/>
      <c r="P31" s="3258"/>
      <c r="Q31" s="1808">
        <f t="shared" si="11"/>
        <v>111</v>
      </c>
      <c r="R31" s="772" t="s">
        <v>17</v>
      </c>
      <c r="S31" s="773">
        <f t="shared" si="12"/>
        <v>100</v>
      </c>
      <c r="T31" s="772" t="s">
        <v>17</v>
      </c>
      <c r="U31" s="773">
        <f t="shared" si="13"/>
        <v>100</v>
      </c>
      <c r="V31" s="772" t="s">
        <v>17</v>
      </c>
      <c r="W31" s="773">
        <f t="shared" si="14"/>
        <v>100</v>
      </c>
      <c r="X31" s="1811"/>
      <c r="Y31" s="3260"/>
      <c r="Z31" s="1812">
        <f t="shared" si="15"/>
        <v>111</v>
      </c>
      <c r="AA31" s="1809">
        <f t="shared" si="3"/>
        <v>1</v>
      </c>
      <c r="AB31" s="1809">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1"/>
      <c r="M32" s="1132"/>
      <c r="N32" s="1132"/>
      <c r="O32" s="1132"/>
      <c r="P32" s="3258"/>
      <c r="Q32" s="1808">
        <f t="shared" si="11"/>
        <v>111</v>
      </c>
      <c r="R32" s="772" t="s">
        <v>17</v>
      </c>
      <c r="S32" s="773">
        <f t="shared" si="12"/>
        <v>100</v>
      </c>
      <c r="T32" s="772" t="s">
        <v>17</v>
      </c>
      <c r="U32" s="773">
        <f t="shared" si="13"/>
        <v>100</v>
      </c>
      <c r="V32" s="772" t="s">
        <v>17</v>
      </c>
      <c r="W32" s="773">
        <f t="shared" si="14"/>
        <v>100</v>
      </c>
      <c r="X32" s="1811"/>
      <c r="Y32" s="3260"/>
      <c r="Z32" s="1812">
        <f t="shared" si="15"/>
        <v>111</v>
      </c>
      <c r="AA32" s="1809">
        <f t="shared" si="3"/>
        <v>1</v>
      </c>
      <c r="AB32" s="1809">
        <f t="shared" si="4"/>
        <v>1</v>
      </c>
      <c r="AC32" s="2675">
        <f t="shared" si="5"/>
        <v>1</v>
      </c>
    </row>
    <row r="33" spans="1:29" ht="15">
      <c r="A33" s="440" t="s">
        <v>2564</v>
      </c>
      <c r="B33" s="71" t="s">
        <v>2694</v>
      </c>
      <c r="C33" s="2984" t="s">
        <v>3113</v>
      </c>
      <c r="D33" s="467">
        <v>100</v>
      </c>
      <c r="E33" s="2984" t="s">
        <v>3113</v>
      </c>
      <c r="F33" s="461">
        <f>SUMIF(101:101,E33,102:102)-SUMIF(101:101,C33,102:102)+100</f>
        <v>100</v>
      </c>
      <c r="G33" s="2984" t="s">
        <v>3113</v>
      </c>
      <c r="H33" s="435">
        <f>SUMIF(101:101,G33,102:102)-SUMIF(101:101,C33,102:102)+100</f>
        <v>100</v>
      </c>
      <c r="I33" s="2984" t="s">
        <v>3113</v>
      </c>
      <c r="J33" s="467">
        <f>SUMIF(101:101,I33,102:102)-SUMIF(101:101,C33,102:102)+100</f>
        <v>100</v>
      </c>
      <c r="K33" s="612">
        <v>2</v>
      </c>
      <c r="L33" s="1141"/>
      <c r="M33" s="1132"/>
      <c r="N33" s="1132"/>
      <c r="O33" s="1132"/>
      <c r="P33" s="3261" t="s">
        <v>2566</v>
      </c>
      <c r="Q33" s="1808" t="str">
        <f t="shared" si="11"/>
        <v>建筑类型</v>
      </c>
      <c r="R33" s="772" t="s">
        <v>17</v>
      </c>
      <c r="S33" s="773">
        <f t="shared" si="12"/>
        <v>100</v>
      </c>
      <c r="T33" s="772" t="s">
        <v>17</v>
      </c>
      <c r="U33" s="773">
        <f t="shared" si="13"/>
        <v>100</v>
      </c>
      <c r="V33" s="772" t="s">
        <v>17</v>
      </c>
      <c r="W33" s="773">
        <f t="shared" si="14"/>
        <v>100</v>
      </c>
      <c r="X33" s="1811"/>
      <c r="Y33" s="3264" t="s">
        <v>2566</v>
      </c>
      <c r="Z33" s="1812" t="str">
        <f t="shared" si="15"/>
        <v>建筑类型</v>
      </c>
      <c r="AA33" s="1809">
        <f t="shared" si="3"/>
        <v>1</v>
      </c>
      <c r="AB33" s="1809">
        <f t="shared" si="4"/>
        <v>1</v>
      </c>
      <c r="AC33" s="2675">
        <f t="shared" si="5"/>
        <v>1</v>
      </c>
    </row>
    <row r="34" spans="1:29" s="471" customFormat="1" ht="15">
      <c r="A34" s="468"/>
      <c r="B34" s="422" t="s">
        <v>2567</v>
      </c>
      <c r="C34" s="2997">
        <v>110</v>
      </c>
      <c r="D34" s="136">
        <v>100</v>
      </c>
      <c r="E34" s="430">
        <f>Sheet3!B26</f>
        <v>200</v>
      </c>
      <c r="F34" s="425">
        <f>LOOKUP(E34,104:104,105:105)-LOOKUP(C34,104:104,105:105)+100</f>
        <v>102</v>
      </c>
      <c r="G34" s="429">
        <f>Sheet3!B27</f>
        <v>75</v>
      </c>
      <c r="H34" s="136">
        <f>LOOKUP(G34,104:104,105:105)-LOOKUP(C34,104:104,105:105)+100</f>
        <v>98</v>
      </c>
      <c r="I34" s="429">
        <f>Sheet3!B28</f>
        <v>65</v>
      </c>
      <c r="J34" s="136">
        <f>LOOKUP(I34,104:104,105:105)-LOOKUP(C34,104:104,105:105)+100</f>
        <v>98</v>
      </c>
      <c r="K34" s="613"/>
      <c r="L34" s="1139"/>
      <c r="M34" s="1142"/>
      <c r="N34" s="1142"/>
      <c r="O34" s="1142"/>
      <c r="P34" s="3262"/>
      <c r="Q34" s="774" t="str">
        <f t="shared" si="11"/>
        <v>项目建筑规模</v>
      </c>
      <c r="R34" s="775" t="s">
        <v>17</v>
      </c>
      <c r="S34" s="776">
        <f t="shared" si="12"/>
        <v>102</v>
      </c>
      <c r="T34" s="775" t="s">
        <v>17</v>
      </c>
      <c r="U34" s="776">
        <f t="shared" si="13"/>
        <v>98</v>
      </c>
      <c r="V34" s="775" t="s">
        <v>17</v>
      </c>
      <c r="W34" s="776">
        <f t="shared" si="14"/>
        <v>98</v>
      </c>
      <c r="X34" s="777"/>
      <c r="Y34" s="3264"/>
      <c r="Z34" s="778" t="str">
        <f t="shared" si="15"/>
        <v>项目建筑规模</v>
      </c>
      <c r="AA34" s="1809">
        <f t="shared" si="3"/>
        <v>0.98039215686274506</v>
      </c>
      <c r="AB34" s="1809">
        <f t="shared" si="4"/>
        <v>1.0204081632653061</v>
      </c>
      <c r="AC34" s="2675">
        <f t="shared" si="5"/>
        <v>1.0204081632653061</v>
      </c>
    </row>
    <row r="35" spans="1:29" ht="15">
      <c r="A35" s="472"/>
      <c r="B35" s="422" t="s">
        <v>2568</v>
      </c>
      <c r="C35" s="2985" t="s">
        <v>3114</v>
      </c>
      <c r="D35" s="435">
        <v>100</v>
      </c>
      <c r="E35" s="2985" t="s">
        <v>3114</v>
      </c>
      <c r="F35" s="461">
        <f>SUMIF(106:106,E35,107:107)-SUMIF(106:106,C35,107:107)+100</f>
        <v>100</v>
      </c>
      <c r="G35" s="2985" t="s">
        <v>3114</v>
      </c>
      <c r="H35" s="435">
        <f>SUMIF(106:106,G35,107:107)-SUMIF(106:106,C35,107:107)+100</f>
        <v>100</v>
      </c>
      <c r="I35" s="2985" t="s">
        <v>3114</v>
      </c>
      <c r="J35" s="435">
        <f>SUMIF(106:106,I35,107:107)-SUMIF(106:106,C35,107:107)+100</f>
        <v>100</v>
      </c>
      <c r="K35" s="612">
        <v>2</v>
      </c>
      <c r="L35" s="1141"/>
      <c r="M35" s="1132"/>
      <c r="N35" s="1132"/>
      <c r="O35" s="1132"/>
      <c r="P35" s="3262"/>
      <c r="Q35" s="1808" t="str">
        <f t="shared" si="11"/>
        <v>建筑结构</v>
      </c>
      <c r="R35" s="772" t="s">
        <v>17</v>
      </c>
      <c r="S35" s="773">
        <f t="shared" si="12"/>
        <v>100</v>
      </c>
      <c r="T35" s="772" t="s">
        <v>17</v>
      </c>
      <c r="U35" s="773">
        <f t="shared" si="13"/>
        <v>100</v>
      </c>
      <c r="V35" s="772" t="s">
        <v>17</v>
      </c>
      <c r="W35" s="773">
        <f t="shared" si="14"/>
        <v>100</v>
      </c>
      <c r="X35" s="1811"/>
      <c r="Y35" s="3264"/>
      <c r="Z35" s="1812" t="str">
        <f t="shared" si="15"/>
        <v>建筑结构</v>
      </c>
      <c r="AA35" s="1809">
        <f t="shared" si="3"/>
        <v>1</v>
      </c>
      <c r="AB35" s="1809">
        <f t="shared" si="4"/>
        <v>1</v>
      </c>
      <c r="AC35" s="2675">
        <f t="shared" si="5"/>
        <v>1</v>
      </c>
    </row>
    <row r="36" spans="1:29" ht="15">
      <c r="A36" s="472"/>
      <c r="B36" s="422" t="s">
        <v>2662</v>
      </c>
      <c r="C36" s="2985" t="s">
        <v>3115</v>
      </c>
      <c r="D36" s="435">
        <v>100</v>
      </c>
      <c r="E36" s="2985" t="s">
        <v>3115</v>
      </c>
      <c r="F36" s="461">
        <f>SUMIF(108:108,E36,109:109)-SUMIF(108:108,C36,109:109)+100</f>
        <v>100</v>
      </c>
      <c r="G36" s="2985" t="s">
        <v>3115</v>
      </c>
      <c r="H36" s="435">
        <f>SUMIF(108:108,G36,109:109)-SUMIF(108:108,C36,109:109)+100</f>
        <v>100</v>
      </c>
      <c r="I36" s="2985" t="s">
        <v>3115</v>
      </c>
      <c r="J36" s="435">
        <f>SUMIF(108:108,I36,109:109)-SUMIF(108:108,C36,109:109)+100</f>
        <v>100</v>
      </c>
      <c r="K36" s="612">
        <v>2</v>
      </c>
      <c r="L36" s="1141"/>
      <c r="M36" s="1132"/>
      <c r="N36" s="1132"/>
      <c r="O36" s="1132"/>
      <c r="P36" s="3262"/>
      <c r="Q36" s="1808" t="str">
        <f t="shared" si="11"/>
        <v>公共部分装修</v>
      </c>
      <c r="R36" s="772" t="s">
        <v>17</v>
      </c>
      <c r="S36" s="773">
        <f t="shared" si="12"/>
        <v>100</v>
      </c>
      <c r="T36" s="772" t="s">
        <v>17</v>
      </c>
      <c r="U36" s="773">
        <f t="shared" si="13"/>
        <v>100</v>
      </c>
      <c r="V36" s="772" t="s">
        <v>17</v>
      </c>
      <c r="W36" s="773">
        <f t="shared" si="14"/>
        <v>100</v>
      </c>
      <c r="X36" s="1811"/>
      <c r="Y36" s="3264"/>
      <c r="Z36" s="1812" t="str">
        <f t="shared" si="15"/>
        <v>公共部分装修</v>
      </c>
      <c r="AA36" s="1809">
        <f t="shared" si="3"/>
        <v>1</v>
      </c>
      <c r="AB36" s="1809">
        <f t="shared" si="4"/>
        <v>1</v>
      </c>
      <c r="AC36" s="2675">
        <f t="shared" si="5"/>
        <v>1</v>
      </c>
    </row>
    <row r="37" spans="1:29" ht="15">
      <c r="A37" s="472"/>
      <c r="B37" s="422" t="s">
        <v>2663</v>
      </c>
      <c r="C37" s="474">
        <v>1</v>
      </c>
      <c r="D37" s="435">
        <v>100</v>
      </c>
      <c r="E37" s="474">
        <v>0.9</v>
      </c>
      <c r="F37" s="461">
        <f>LOOKUP(E37,111:111,112:112)-LOOKUP(C37,111:111,112:112)+100</f>
        <v>100</v>
      </c>
      <c r="G37" s="474">
        <v>0.9</v>
      </c>
      <c r="H37" s="461">
        <f>LOOKUP(G37,111:111,112:112)-LOOKUP(C37,111:111,112:112)+100</f>
        <v>100</v>
      </c>
      <c r="I37" s="474">
        <v>0.9</v>
      </c>
      <c r="J37" s="435">
        <f>LOOKUP(I37,111:111,112:112)-LOOKUP(C37,111:111,112:112)+100</f>
        <v>100</v>
      </c>
      <c r="K37" s="612">
        <v>2</v>
      </c>
      <c r="L37" s="1141"/>
      <c r="M37" s="1132"/>
      <c r="N37" s="1132"/>
      <c r="O37" s="1132"/>
      <c r="P37" s="3262"/>
      <c r="Q37" s="1808" t="str">
        <f t="shared" si="11"/>
        <v>成新度</v>
      </c>
      <c r="R37" s="772" t="s">
        <v>17</v>
      </c>
      <c r="S37" s="773">
        <f t="shared" si="12"/>
        <v>100</v>
      </c>
      <c r="T37" s="772" t="s">
        <v>17</v>
      </c>
      <c r="U37" s="773">
        <f t="shared" si="13"/>
        <v>100</v>
      </c>
      <c r="V37" s="772" t="s">
        <v>17</v>
      </c>
      <c r="W37" s="773">
        <f t="shared" si="14"/>
        <v>100</v>
      </c>
      <c r="X37" s="1811"/>
      <c r="Y37" s="3264"/>
      <c r="Z37" s="1812" t="str">
        <f t="shared" si="15"/>
        <v>成新度</v>
      </c>
      <c r="AA37" s="1809">
        <f t="shared" si="3"/>
        <v>1</v>
      </c>
      <c r="AB37" s="1809">
        <f t="shared" si="4"/>
        <v>1</v>
      </c>
      <c r="AC37" s="2675">
        <f t="shared" si="5"/>
        <v>1</v>
      </c>
    </row>
    <row r="38" spans="1:29" s="117" customFormat="1" ht="15">
      <c r="A38" s="473"/>
      <c r="B38" s="422" t="s">
        <v>2695</v>
      </c>
      <c r="C38" s="2985" t="s">
        <v>3116</v>
      </c>
      <c r="D38" s="136">
        <v>100</v>
      </c>
      <c r="E38" s="2985" t="s">
        <v>3116</v>
      </c>
      <c r="F38" s="461">
        <f>SUMIF(113:113,E38,114:114)-SUMIF(113:113,C38,114:114)+100</f>
        <v>100</v>
      </c>
      <c r="G38" s="2985" t="s">
        <v>3116</v>
      </c>
      <c r="H38" s="435">
        <f>SUMIF(113:113,G38,114:114)-SUMIF(113:113,C38,114:114)+100</f>
        <v>100</v>
      </c>
      <c r="I38" s="2985" t="s">
        <v>3116</v>
      </c>
      <c r="J38" s="435">
        <f>SUMIF(113:113,I38,114:114)-SUMIF(113:113,C38,114:114)+100</f>
        <v>100</v>
      </c>
      <c r="K38" s="612">
        <v>2</v>
      </c>
      <c r="L38" s="1133"/>
      <c r="M38" s="1134"/>
      <c r="N38" s="1134"/>
      <c r="O38" s="1134"/>
      <c r="P38" s="3262"/>
      <c r="Q38" s="1793" t="str">
        <f t="shared" si="11"/>
        <v>写字楼等级</v>
      </c>
      <c r="R38" s="768" t="s">
        <v>17</v>
      </c>
      <c r="S38" s="769">
        <f t="shared" si="12"/>
        <v>100</v>
      </c>
      <c r="T38" s="768" t="s">
        <v>17</v>
      </c>
      <c r="U38" s="769">
        <f t="shared" si="13"/>
        <v>100</v>
      </c>
      <c r="V38" s="768" t="s">
        <v>17</v>
      </c>
      <c r="W38" s="769">
        <f t="shared" si="14"/>
        <v>100</v>
      </c>
      <c r="X38" s="770"/>
      <c r="Y38" s="3264"/>
      <c r="Z38" s="55" t="str">
        <f t="shared" si="15"/>
        <v>写字楼等级</v>
      </c>
      <c r="AA38" s="771">
        <f t="shared" si="3"/>
        <v>1</v>
      </c>
      <c r="AB38" s="771">
        <f t="shared" si="4"/>
        <v>1</v>
      </c>
      <c r="AC38" s="2672">
        <f t="shared" si="5"/>
        <v>1</v>
      </c>
    </row>
    <row r="39" spans="1:29" ht="15">
      <c r="A39" s="472"/>
      <c r="B39" s="422" t="s">
        <v>2696</v>
      </c>
      <c r="C39" s="2985" t="s">
        <v>3117</v>
      </c>
      <c r="D39" s="435">
        <v>100</v>
      </c>
      <c r="E39" s="2985" t="s">
        <v>3117</v>
      </c>
      <c r="F39" s="461">
        <f>SUMIF(115:115,E39,116:116)-SUMIF(115:115,C39,116:116)+100</f>
        <v>100</v>
      </c>
      <c r="G39" s="2985" t="s">
        <v>3117</v>
      </c>
      <c r="H39" s="435">
        <f>SUMIF(115:115,G39,116:116)-SUMIF(115:115,C39,116:116)+100</f>
        <v>100</v>
      </c>
      <c r="I39" s="2985" t="s">
        <v>3117</v>
      </c>
      <c r="J39" s="435">
        <f>SUMIF(115:115,I39,116:116)-SUMIF(115:115,C39,116:116)+100</f>
        <v>100</v>
      </c>
      <c r="K39" s="612">
        <v>2</v>
      </c>
      <c r="L39" s="1141"/>
      <c r="M39" s="1132"/>
      <c r="N39" s="1132"/>
      <c r="O39" s="1132"/>
      <c r="P39" s="3262" t="s">
        <v>2566</v>
      </c>
      <c r="Q39" s="1808" t="str">
        <f t="shared" si="11"/>
        <v>物业管理</v>
      </c>
      <c r="R39" s="772" t="s">
        <v>17</v>
      </c>
      <c r="S39" s="773">
        <f t="shared" si="12"/>
        <v>100</v>
      </c>
      <c r="T39" s="772" t="s">
        <v>17</v>
      </c>
      <c r="U39" s="773">
        <f t="shared" si="13"/>
        <v>100</v>
      </c>
      <c r="V39" s="772" t="s">
        <v>17</v>
      </c>
      <c r="W39" s="773">
        <f t="shared" si="14"/>
        <v>100</v>
      </c>
      <c r="X39" s="1811"/>
      <c r="Y39" s="3264" t="s">
        <v>2566</v>
      </c>
      <c r="Z39" s="1812" t="str">
        <f t="shared" si="15"/>
        <v>物业管理</v>
      </c>
      <c r="AA39" s="1809">
        <f t="shared" si="3"/>
        <v>1</v>
      </c>
      <c r="AB39" s="1809">
        <f t="shared" si="4"/>
        <v>1</v>
      </c>
      <c r="AC39" s="2675">
        <f t="shared" si="5"/>
        <v>1</v>
      </c>
    </row>
    <row r="40" spans="1:29" ht="15">
      <c r="A40" s="472"/>
      <c r="B40" s="422" t="s">
        <v>2664</v>
      </c>
      <c r="C40" s="2995" t="s">
        <v>3118</v>
      </c>
      <c r="D40" s="435">
        <v>100</v>
      </c>
      <c r="E40" s="2985" t="s">
        <v>3119</v>
      </c>
      <c r="F40" s="461">
        <f>SUMIF(117:117,E40,118:118)-SUMIF(117:117,C40,118:118)+100</f>
        <v>96</v>
      </c>
      <c r="G40" s="2985" t="s">
        <v>3119</v>
      </c>
      <c r="H40" s="435">
        <f>SUMIF(117:117,G40,118:118)-SUMIF(117:117,C40,118:118)+100</f>
        <v>96</v>
      </c>
      <c r="I40" s="2985" t="s">
        <v>3119</v>
      </c>
      <c r="J40" s="435">
        <f>SUMIF(117:117,I40,118:118)-SUMIF(117:117,C40,118:118)+100</f>
        <v>96</v>
      </c>
      <c r="K40" s="612">
        <v>2</v>
      </c>
      <c r="L40" s="1141"/>
      <c r="M40" s="1132"/>
      <c r="N40" s="1132"/>
      <c r="O40" s="1132"/>
      <c r="P40" s="3262"/>
      <c r="Q40" s="1808" t="str">
        <f t="shared" si="11"/>
        <v>市政基础设施</v>
      </c>
      <c r="R40" s="772" t="s">
        <v>17</v>
      </c>
      <c r="S40" s="773">
        <f t="shared" si="12"/>
        <v>96</v>
      </c>
      <c r="T40" s="772" t="s">
        <v>17</v>
      </c>
      <c r="U40" s="773">
        <f t="shared" si="13"/>
        <v>96</v>
      </c>
      <c r="V40" s="772" t="s">
        <v>17</v>
      </c>
      <c r="W40" s="773">
        <f t="shared" si="14"/>
        <v>96</v>
      </c>
      <c r="X40" s="1811"/>
      <c r="Y40" s="3264"/>
      <c r="Z40" s="1812" t="str">
        <f t="shared" si="15"/>
        <v>市政基础设施</v>
      </c>
      <c r="AA40" s="1809">
        <f t="shared" si="3"/>
        <v>1.0416666666666667</v>
      </c>
      <c r="AB40" s="1809">
        <f t="shared" si="4"/>
        <v>1.0416666666666667</v>
      </c>
      <c r="AC40" s="2675">
        <f t="shared" si="5"/>
        <v>1.0416666666666667</v>
      </c>
    </row>
    <row r="41" spans="1:29" ht="15">
      <c r="A41" s="472"/>
      <c r="B41" s="422" t="s">
        <v>2666</v>
      </c>
      <c r="C41" s="2982" t="s">
        <v>3120</v>
      </c>
      <c r="D41" s="435">
        <v>100</v>
      </c>
      <c r="E41" s="2982" t="s">
        <v>3120</v>
      </c>
      <c r="F41" s="461">
        <f>SUMIF(119:119,E41,120:120)-SUMIF(119:119,C41,120:120)+100</f>
        <v>100</v>
      </c>
      <c r="G41" s="2982" t="s">
        <v>3120</v>
      </c>
      <c r="H41" s="435">
        <f>SUMIF(119:119,G41,120:120)-SUMIF(119:119,C41,120:120)+100</f>
        <v>100</v>
      </c>
      <c r="I41" s="2982" t="s">
        <v>3120</v>
      </c>
      <c r="J41" s="435">
        <f>SUMIF(119:119,I41,120:120)-SUMIF(119:119,C41,120:120)+100</f>
        <v>100</v>
      </c>
      <c r="K41" s="612">
        <v>2</v>
      </c>
      <c r="L41" s="1141"/>
      <c r="M41" s="1132"/>
      <c r="N41" s="1132"/>
      <c r="O41" s="1132"/>
      <c r="P41" s="3262"/>
      <c r="Q41" s="1808" t="str">
        <f t="shared" si="11"/>
        <v>层高</v>
      </c>
      <c r="R41" s="772" t="s">
        <v>17</v>
      </c>
      <c r="S41" s="773">
        <f t="shared" si="12"/>
        <v>100</v>
      </c>
      <c r="T41" s="772" t="s">
        <v>17</v>
      </c>
      <c r="U41" s="773">
        <f t="shared" si="13"/>
        <v>100</v>
      </c>
      <c r="V41" s="772" t="s">
        <v>17</v>
      </c>
      <c r="W41" s="773">
        <f t="shared" si="14"/>
        <v>100</v>
      </c>
      <c r="X41" s="1811"/>
      <c r="Y41" s="3264"/>
      <c r="Z41" s="1812" t="str">
        <f t="shared" si="15"/>
        <v>层高</v>
      </c>
      <c r="AA41" s="1809">
        <f t="shared" si="3"/>
        <v>1</v>
      </c>
      <c r="AB41" s="1809">
        <f t="shared" si="4"/>
        <v>1</v>
      </c>
      <c r="AC41" s="2675">
        <f t="shared" si="5"/>
        <v>1</v>
      </c>
    </row>
    <row r="42" spans="1:29" s="471" customFormat="1" ht="15">
      <c r="A42" s="468"/>
      <c r="B42" s="1810"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262"/>
      <c r="Q42" s="774" t="str">
        <f t="shared" si="11"/>
        <v>单套建筑面积</v>
      </c>
      <c r="R42" s="775" t="s">
        <v>17</v>
      </c>
      <c r="S42" s="776">
        <f t="shared" si="12"/>
        <v>100</v>
      </c>
      <c r="T42" s="775" t="s">
        <v>17</v>
      </c>
      <c r="U42" s="776">
        <f t="shared" si="13"/>
        <v>100</v>
      </c>
      <c r="V42" s="775" t="s">
        <v>17</v>
      </c>
      <c r="W42" s="776">
        <f t="shared" si="14"/>
        <v>100</v>
      </c>
      <c r="X42" s="777"/>
      <c r="Y42" s="3264"/>
      <c r="Z42" s="778" t="str">
        <f t="shared" si="15"/>
        <v>单套建筑面积</v>
      </c>
      <c r="AA42" s="1809">
        <f t="shared" si="3"/>
        <v>1</v>
      </c>
      <c r="AB42" s="1809">
        <f t="shared" si="4"/>
        <v>1</v>
      </c>
      <c r="AC42" s="2675">
        <f t="shared" si="5"/>
        <v>1</v>
      </c>
    </row>
    <row r="43" spans="1:29" ht="15">
      <c r="A43" s="472"/>
      <c r="B43" s="422" t="s">
        <v>2669</v>
      </c>
      <c r="C43" s="2985" t="s">
        <v>3165</v>
      </c>
      <c r="D43" s="435">
        <v>100</v>
      </c>
      <c r="E43" s="2985" t="s">
        <v>3166</v>
      </c>
      <c r="F43" s="461">
        <f>SUMIF(123:123,E43,124:124)-SUMIF(123:123,C43,124:124)+100</f>
        <v>104</v>
      </c>
      <c r="G43" s="2985" t="s">
        <v>3166</v>
      </c>
      <c r="H43" s="435">
        <f>SUMIF(123:123,G43,124:124)-SUMIF(123:123,C43,124:124)+100</f>
        <v>104</v>
      </c>
      <c r="I43" s="2985" t="s">
        <v>3167</v>
      </c>
      <c r="J43" s="435">
        <f>SUMIF(123:123,I43,124:124)-SUMIF(123:123,C43,124:124)+100</f>
        <v>104</v>
      </c>
      <c r="K43" s="612">
        <v>2</v>
      </c>
      <c r="L43" s="1141"/>
      <c r="M43" s="1132"/>
      <c r="N43" s="1132"/>
      <c r="O43" s="1132"/>
      <c r="P43" s="3262"/>
      <c r="Q43" s="1808" t="str">
        <f t="shared" si="11"/>
        <v>内部装修</v>
      </c>
      <c r="R43" s="772" t="s">
        <v>17</v>
      </c>
      <c r="S43" s="773">
        <f t="shared" si="12"/>
        <v>104</v>
      </c>
      <c r="T43" s="772" t="s">
        <v>17</v>
      </c>
      <c r="U43" s="773">
        <f t="shared" si="13"/>
        <v>104</v>
      </c>
      <c r="V43" s="772" t="s">
        <v>17</v>
      </c>
      <c r="W43" s="773">
        <f t="shared" si="14"/>
        <v>104</v>
      </c>
      <c r="X43" s="1811"/>
      <c r="Y43" s="3264"/>
      <c r="Z43" s="1812" t="str">
        <f t="shared" si="15"/>
        <v>内部装修</v>
      </c>
      <c r="AA43" s="1809">
        <f t="shared" si="3"/>
        <v>0.96153846153846156</v>
      </c>
      <c r="AB43" s="1809">
        <f t="shared" si="4"/>
        <v>0.96153846153846156</v>
      </c>
      <c r="AC43" s="2675">
        <f t="shared" si="5"/>
        <v>0.96153846153846156</v>
      </c>
    </row>
    <row r="44" spans="1:29" ht="15">
      <c r="A44" s="472"/>
      <c r="B44" s="422" t="s">
        <v>2577</v>
      </c>
      <c r="C44" s="2985" t="s">
        <v>3107</v>
      </c>
      <c r="D44" s="435">
        <v>100</v>
      </c>
      <c r="E44" s="2986" t="s">
        <v>3107</v>
      </c>
      <c r="F44" s="461">
        <f>SUMIF(125:125,E44,126:126)-SUMIF(125:125,C44,126:126)+100</f>
        <v>100</v>
      </c>
      <c r="G44" s="2986" t="s">
        <v>3107</v>
      </c>
      <c r="H44" s="435">
        <f>SUMIF(125:125,G44,126:126)-SUMIF(125:125,C44,126:126)+100</f>
        <v>100</v>
      </c>
      <c r="I44" s="2986" t="s">
        <v>3107</v>
      </c>
      <c r="J44" s="435">
        <f>SUMIF(125:125,I44,126:126)-SUMIF(125:125,C44,126:126)+100</f>
        <v>100</v>
      </c>
      <c r="K44" s="612">
        <v>2</v>
      </c>
      <c r="L44" s="1141"/>
      <c r="M44" s="1132"/>
      <c r="N44" s="1132"/>
      <c r="O44" s="1132"/>
      <c r="P44" s="3262"/>
      <c r="Q44" s="1808" t="str">
        <f t="shared" si="11"/>
        <v>内部装修维护情况</v>
      </c>
      <c r="R44" s="772" t="s">
        <v>17</v>
      </c>
      <c r="S44" s="773">
        <f t="shared" si="12"/>
        <v>100</v>
      </c>
      <c r="T44" s="772" t="s">
        <v>17</v>
      </c>
      <c r="U44" s="773">
        <f t="shared" si="13"/>
        <v>100</v>
      </c>
      <c r="V44" s="772" t="s">
        <v>17</v>
      </c>
      <c r="W44" s="773">
        <f t="shared" si="14"/>
        <v>100</v>
      </c>
      <c r="X44" s="1811"/>
      <c r="Y44" s="3264"/>
      <c r="Z44" s="1812" t="str">
        <f t="shared" si="15"/>
        <v>内部装修维护情况</v>
      </c>
      <c r="AA44" s="1809">
        <f t="shared" si="3"/>
        <v>1</v>
      </c>
      <c r="AB44" s="1809">
        <f t="shared" si="4"/>
        <v>1</v>
      </c>
      <c r="AC44" s="2675">
        <f t="shared" si="5"/>
        <v>1</v>
      </c>
    </row>
    <row r="45" spans="1:29" s="117" customFormat="1" ht="15">
      <c r="A45" s="473"/>
      <c r="B45" s="1387">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262"/>
      <c r="Q45" s="1793">
        <f t="shared" si="11"/>
        <v>111</v>
      </c>
      <c r="R45" s="768" t="s">
        <v>17</v>
      </c>
      <c r="S45" s="769">
        <f t="shared" si="12"/>
        <v>100</v>
      </c>
      <c r="T45" s="768" t="s">
        <v>17</v>
      </c>
      <c r="U45" s="769">
        <f t="shared" si="13"/>
        <v>100</v>
      </c>
      <c r="V45" s="768" t="s">
        <v>17</v>
      </c>
      <c r="W45" s="769">
        <f t="shared" si="14"/>
        <v>100</v>
      </c>
      <c r="X45" s="770"/>
      <c r="Y45" s="3264"/>
      <c r="Z45" s="55">
        <f t="shared" si="15"/>
        <v>111</v>
      </c>
      <c r="AA45" s="771">
        <f t="shared" si="3"/>
        <v>1</v>
      </c>
      <c r="AB45" s="771">
        <f t="shared" si="4"/>
        <v>1</v>
      </c>
      <c r="AC45" s="2672">
        <f t="shared" si="5"/>
        <v>1</v>
      </c>
    </row>
    <row r="46" spans="1:29" ht="15">
      <c r="A46" s="472"/>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262"/>
      <c r="Q46" s="1808">
        <f t="shared" si="11"/>
        <v>111</v>
      </c>
      <c r="R46" s="772" t="s">
        <v>17</v>
      </c>
      <c r="S46" s="773">
        <f t="shared" si="12"/>
        <v>100</v>
      </c>
      <c r="T46" s="772" t="s">
        <v>17</v>
      </c>
      <c r="U46" s="773">
        <f t="shared" si="13"/>
        <v>100</v>
      </c>
      <c r="V46" s="772" t="s">
        <v>17</v>
      </c>
      <c r="W46" s="773">
        <f t="shared" si="14"/>
        <v>100</v>
      </c>
      <c r="X46" s="1811"/>
      <c r="Y46" s="3264"/>
      <c r="Z46" s="1812">
        <f t="shared" si="15"/>
        <v>111</v>
      </c>
      <c r="AA46" s="1809">
        <f t="shared" si="3"/>
        <v>1</v>
      </c>
      <c r="AB46" s="1809">
        <f t="shared" si="4"/>
        <v>1</v>
      </c>
      <c r="AC46" s="2675">
        <f t="shared" si="5"/>
        <v>1</v>
      </c>
    </row>
    <row r="47" spans="1:29" ht="15.75" thickBot="1">
      <c r="A47" s="478"/>
      <c r="B47" s="2603">
        <v>0.95</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263"/>
      <c r="Q47" s="1808">
        <f t="shared" si="11"/>
        <v>0.95</v>
      </c>
      <c r="R47" s="772" t="s">
        <v>17</v>
      </c>
      <c r="S47" s="773">
        <f t="shared" si="12"/>
        <v>100</v>
      </c>
      <c r="T47" s="772" t="s">
        <v>17</v>
      </c>
      <c r="U47" s="773">
        <f t="shared" si="13"/>
        <v>100</v>
      </c>
      <c r="V47" s="772" t="s">
        <v>17</v>
      </c>
      <c r="W47" s="773">
        <f t="shared" si="14"/>
        <v>100</v>
      </c>
      <c r="X47" s="1811"/>
      <c r="Y47" s="3265"/>
      <c r="Z47" s="1812">
        <f t="shared" si="15"/>
        <v>0.95</v>
      </c>
      <c r="AA47" s="1809">
        <f t="shared" si="3"/>
        <v>1</v>
      </c>
      <c r="AB47" s="1809">
        <f t="shared" si="4"/>
        <v>1</v>
      </c>
      <c r="AC47" s="2675">
        <f t="shared" si="5"/>
        <v>1</v>
      </c>
    </row>
    <row r="48" spans="1:29" ht="15">
      <c r="A48" s="479" t="s">
        <v>2578</v>
      </c>
      <c r="B48" s="480"/>
      <c r="C48" s="1408" t="s">
        <v>1</v>
      </c>
      <c r="D48" s="1409"/>
      <c r="E48" s="1410">
        <f>28000*B47</f>
        <v>26600</v>
      </c>
      <c r="F48" s="1411"/>
      <c r="G48" s="1412">
        <f>25000*B47</f>
        <v>23750</v>
      </c>
      <c r="H48" s="1413"/>
      <c r="I48" s="1410">
        <f>28000*B47</f>
        <v>26600</v>
      </c>
      <c r="J48" s="485"/>
      <c r="K48" s="781"/>
      <c r="L48" s="1144"/>
      <c r="M48" s="1132"/>
      <c r="N48" s="1132"/>
      <c r="O48" s="1132"/>
      <c r="P48" s="3243" t="str">
        <f>A48</f>
        <v>成交单价（元/平方米）</v>
      </c>
      <c r="Q48" s="3266"/>
      <c r="R48" s="3267">
        <f>E48</f>
        <v>26600</v>
      </c>
      <c r="S48" s="3267"/>
      <c r="T48" s="3267">
        <f>G48</f>
        <v>23750</v>
      </c>
      <c r="U48" s="3267"/>
      <c r="V48" s="3267">
        <f>I48</f>
        <v>26600</v>
      </c>
      <c r="W48" s="3267"/>
      <c r="X48" s="446"/>
      <c r="Y48" s="779"/>
      <c r="Z48" s="446"/>
      <c r="AA48" s="446"/>
      <c r="AB48" s="446"/>
      <c r="AC48" s="630"/>
    </row>
    <row r="49" spans="1:29" ht="15.75" thickBot="1">
      <c r="A49" s="486" t="s">
        <v>2670</v>
      </c>
      <c r="B49" s="487"/>
      <c r="C49" s="1414">
        <f>R50</f>
        <v>25890</v>
      </c>
      <c r="D49" s="1415"/>
      <c r="E49" s="1416">
        <f>R49</f>
        <v>26464</v>
      </c>
      <c r="F49" s="1416"/>
      <c r="G49" s="1414">
        <f>T49</f>
        <v>25823</v>
      </c>
      <c r="H49" s="1415"/>
      <c r="I49" s="1416">
        <f>V49</f>
        <v>25384</v>
      </c>
      <c r="J49" s="489"/>
      <c r="K49" s="782"/>
      <c r="L49" s="1144"/>
      <c r="M49" s="1132"/>
      <c r="N49" s="1132"/>
      <c r="O49" s="1132"/>
      <c r="P49" s="3243" t="str">
        <f>A49</f>
        <v>比较价值（元/平方米）</v>
      </c>
      <c r="Q49" s="3266"/>
      <c r="R49" s="3267">
        <f>IF(F1="售价",ROUND(PRODUCT(R48,AA7:AA47),0),ROUND(PRODUCT(R48,AA7:AA47),1))</f>
        <v>26464</v>
      </c>
      <c r="S49" s="3267"/>
      <c r="T49" s="3267">
        <f>IF(F1="售价",ROUND(PRODUCT(T48,AB7:AB47),0),ROUND(PRODUCT(T48,AB7:AB47),1))</f>
        <v>25823</v>
      </c>
      <c r="U49" s="3267"/>
      <c r="V49" s="3267">
        <f>IF(F1="售价",ROUND(PRODUCT(V48,AC7:AC47),0),ROUND(PRODUCT(V48,AC7:AC47),1))</f>
        <v>25384</v>
      </c>
      <c r="W49" s="3267"/>
      <c r="X49" s="446"/>
      <c r="Y49" s="446"/>
      <c r="Z49" s="446"/>
      <c r="AA49" s="446"/>
      <c r="AB49" s="446"/>
      <c r="AC49" s="630"/>
    </row>
    <row r="50" spans="1:29" ht="15.75" thickBot="1">
      <c r="A50" s="492" t="s">
        <v>2671</v>
      </c>
      <c r="B50" s="493"/>
      <c r="C50" s="1418">
        <f>R50</f>
        <v>25890</v>
      </c>
      <c r="D50" s="1418"/>
      <c r="E50" s="1418"/>
      <c r="F50" s="1418"/>
      <c r="G50" s="1418"/>
      <c r="H50" s="1418"/>
      <c r="I50" s="1418"/>
      <c r="J50" s="494"/>
      <c r="K50" s="783"/>
      <c r="L50" s="1144"/>
      <c r="M50" s="1132"/>
      <c r="N50" s="1132"/>
      <c r="O50" s="1132"/>
      <c r="P50" s="3314" t="str">
        <f>A50</f>
        <v>估价对象XX用房的比较价值（楼面单价，元/平方米）</v>
      </c>
      <c r="Q50" s="3315"/>
      <c r="R50" s="3316">
        <f>IF(F1="售价",ROUND(AVERAGE(R49:V49),0),ROUND(AVERAGE(R49:V49),1))</f>
        <v>25890</v>
      </c>
      <c r="S50" s="3316"/>
      <c r="T50" s="3316"/>
      <c r="U50" s="3316"/>
      <c r="V50" s="3316"/>
      <c r="W50" s="3316"/>
      <c r="X50" s="2655"/>
      <c r="Y50" s="2655"/>
      <c r="Z50" s="2655"/>
      <c r="AA50" s="2655"/>
      <c r="AB50" s="2655"/>
      <c r="AC50" s="2656"/>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2672</v>
      </c>
      <c r="D53" s="498"/>
      <c r="E53" s="499">
        <f>IF(E48&lt;E49,E49/E48-1,E48/E49-1)</f>
        <v>5.1390568319225061E-3</v>
      </c>
      <c r="F53" s="500" t="str">
        <f>IF(OR(E53&gt;=0.3,E53&lt;=-0.3),"超过30%","")</f>
        <v/>
      </c>
      <c r="G53" s="499">
        <f>IF(G48&lt;G49,G49/G48-1,G48/G49-1)</f>
        <v>8.7284210526315853E-2</v>
      </c>
      <c r="H53" s="500" t="str">
        <f>IF(OR(G53&gt;=0.3,G53&lt;=-0.3),"超过30%","")</f>
        <v/>
      </c>
      <c r="I53" s="499">
        <f>IF(I48&lt;I49,I49/I48-1,I48/I49-1)</f>
        <v>4.7904191616766401E-2</v>
      </c>
      <c r="J53" s="500" t="str">
        <f>IF(OR(I53&gt;=0.3,I53&lt;=-0.3),"超过30%","")</f>
        <v/>
      </c>
      <c r="K53" s="1106"/>
      <c r="L53" s="1107"/>
      <c r="M53" s="1145"/>
      <c r="N53" s="1145"/>
      <c r="O53" s="1145"/>
    </row>
    <row r="54" spans="1:29" ht="13.5" customHeight="1">
      <c r="A54" s="1145"/>
      <c r="B54" s="1145"/>
      <c r="C54" s="497" t="s">
        <v>2673</v>
      </c>
      <c r="D54" s="501"/>
      <c r="E54" s="499">
        <f>IF(E49&lt;G49,G49/E49-1,E49/G49-1)</f>
        <v>2.4822832358750047E-2</v>
      </c>
      <c r="F54" s="500" t="str">
        <f>IF(OR(E54&gt;=0.2,E54&lt;=-0.2),"超过20%","")</f>
        <v/>
      </c>
      <c r="G54" s="499">
        <f>IF(G49&lt;I49,I49/G49-1,G49/I49-1)</f>
        <v>1.7294358651118724E-2</v>
      </c>
      <c r="H54" s="500" t="str">
        <f>IF(OR(G54&gt;=0.2,G54&lt;=-0.2),"超过20%","")</f>
        <v/>
      </c>
      <c r="I54" s="499">
        <f>IF(I49&lt;E49,E49/I49-1,I49/E49-1)</f>
        <v>4.2546485975417658E-2</v>
      </c>
      <c r="J54" s="500" t="str">
        <f>IF(OR(I54&gt;=0.2,I54&lt;=-0.2),"超过20%","")</f>
        <v/>
      </c>
      <c r="K54" s="1106"/>
      <c r="L54" s="1107"/>
      <c r="M54" s="1145"/>
      <c r="N54" s="1145"/>
      <c r="O54" s="1145"/>
    </row>
    <row r="55" spans="1:29" s="502" customFormat="1" ht="13.5" customHeight="1">
      <c r="A55" s="1146"/>
      <c r="B55" s="1146"/>
      <c r="C55" s="497" t="s">
        <v>2674</v>
      </c>
      <c r="D55" s="501"/>
      <c r="E55" s="499">
        <f>IF(E48&lt;G48,G48/E48-1,E48/G48-1)</f>
        <v>0.12000000000000011</v>
      </c>
      <c r="F55" s="500" t="str">
        <f>IF(OR(E55&gt;=0.3,E55&lt;=-0.3),"超过30%","")</f>
        <v/>
      </c>
      <c r="G55" s="499">
        <f>IF(G48&lt;I48,I48/G48-1,G48/I48-1)</f>
        <v>0.12000000000000011</v>
      </c>
      <c r="H55" s="500" t="str">
        <f>IF(OR(G55&gt;=0.3,G55&lt;=-0.3),"超过30%","")</f>
        <v/>
      </c>
      <c r="I55" s="499">
        <f>IF(I48&lt;E48,E48/I48-1,I48/E48-1)</f>
        <v>0</v>
      </c>
      <c r="J55" s="500" t="str">
        <f>IF(OR(I55&gt;=0.3,I55&lt;=-0.3),"超过30%","")</f>
        <v/>
      </c>
      <c r="K55" s="1149"/>
      <c r="L55" s="1150"/>
      <c r="M55" s="1146"/>
      <c r="N55" s="1146"/>
      <c r="O55" s="1146"/>
      <c r="P55" s="2680"/>
    </row>
    <row r="56" spans="1:29" s="502" customFormat="1">
      <c r="A56" s="1146"/>
      <c r="B56" s="1147"/>
      <c r="C56" s="1151"/>
      <c r="D56" s="1146"/>
      <c r="E56" s="1146"/>
      <c r="F56" s="1146"/>
      <c r="G56" s="1146"/>
      <c r="H56" s="1146"/>
      <c r="I56" s="1146"/>
      <c r="J56" s="1146"/>
      <c r="K56" s="1149"/>
      <c r="L56" s="1150"/>
      <c r="M56" s="1146"/>
      <c r="N56" s="1146"/>
      <c r="O56" s="1146"/>
      <c r="P56" s="2680"/>
    </row>
    <row r="57" spans="1:29">
      <c r="A57" s="1145"/>
      <c r="B57" s="1147"/>
      <c r="C57" s="1151"/>
      <c r="D57" s="1145"/>
      <c r="E57" s="1145"/>
      <c r="F57" s="1145"/>
      <c r="G57" s="1145"/>
      <c r="H57" s="1145"/>
      <c r="I57" s="1145"/>
      <c r="J57" s="1145"/>
      <c r="K57" s="1106"/>
      <c r="L57" s="1107"/>
      <c r="M57" s="1145"/>
      <c r="N57" s="1145"/>
      <c r="O57" s="1145"/>
    </row>
    <row r="58" spans="1:29" ht="21.75" thickBot="1">
      <c r="A58" s="761" t="s">
        <v>2675</v>
      </c>
      <c r="B58" s="757"/>
      <c r="C58" s="762"/>
      <c r="D58" s="762"/>
      <c r="E58" s="762"/>
      <c r="F58" s="763"/>
      <c r="G58" s="763"/>
      <c r="H58" s="762"/>
      <c r="I58" s="762"/>
      <c r="J58" s="762"/>
      <c r="K58" s="764"/>
      <c r="L58" s="1162"/>
      <c r="M58" s="1160"/>
      <c r="N58" s="1160"/>
      <c r="O58" s="1160"/>
      <c r="P58" s="2681"/>
      <c r="Q58" s="504"/>
    </row>
    <row r="59" spans="1:29" s="508" customFormat="1" ht="15">
      <c r="A59" s="505" t="s">
        <v>2549</v>
      </c>
      <c r="B59" s="506"/>
      <c r="C59" s="1575" t="str">
        <f>YEAR(C7)&amp;"-"&amp;MONTH(C7)</f>
        <v>2019-4</v>
      </c>
      <c r="D59" s="1576">
        <f>EDATE(C59,-1)</f>
        <v>43525</v>
      </c>
      <c r="E59" s="1576">
        <f>EDATE(D59,-1)</f>
        <v>43497</v>
      </c>
      <c r="F59" s="1576">
        <f t="shared" ref="F59:O59" si="16">EDATE(E59,-1)</f>
        <v>43466</v>
      </c>
      <c r="G59" s="1576">
        <f t="shared" si="16"/>
        <v>43435</v>
      </c>
      <c r="H59" s="1576">
        <f t="shared" si="16"/>
        <v>43405</v>
      </c>
      <c r="I59" s="1576">
        <f t="shared" si="16"/>
        <v>43374</v>
      </c>
      <c r="J59" s="1576">
        <f t="shared" si="16"/>
        <v>43344</v>
      </c>
      <c r="K59" s="1576">
        <f t="shared" si="16"/>
        <v>43313</v>
      </c>
      <c r="L59" s="1576">
        <f t="shared" si="16"/>
        <v>43282</v>
      </c>
      <c r="M59" s="1576">
        <f t="shared" si="16"/>
        <v>43252</v>
      </c>
      <c r="N59" s="1576">
        <f t="shared" si="16"/>
        <v>43221</v>
      </c>
      <c r="O59" s="1576">
        <f t="shared" si="16"/>
        <v>43191</v>
      </c>
      <c r="P59" s="1572"/>
    </row>
    <row r="60" spans="1:29" s="117" customFormat="1" ht="15">
      <c r="A60" s="509"/>
      <c r="B60" s="510"/>
      <c r="C60" s="1574">
        <v>100</v>
      </c>
      <c r="D60" s="512"/>
      <c r="E60" s="512"/>
      <c r="F60" s="512"/>
      <c r="G60" s="512"/>
      <c r="H60" s="512"/>
      <c r="I60" s="512"/>
      <c r="J60" s="512"/>
      <c r="K60" s="512"/>
      <c r="L60" s="512"/>
      <c r="M60" s="513"/>
      <c r="N60" s="512"/>
      <c r="O60" s="513"/>
      <c r="P60" s="2682"/>
    </row>
    <row r="61" spans="1:29" s="117" customFormat="1" ht="15.75" thickBot="1">
      <c r="A61" s="515" t="s">
        <v>2586</v>
      </c>
      <c r="B61" s="516"/>
      <c r="C61" s="517"/>
      <c r="D61" s="518"/>
      <c r="E61" s="518"/>
      <c r="F61" s="518"/>
      <c r="G61" s="518"/>
      <c r="H61" s="518"/>
      <c r="I61" s="518"/>
      <c r="J61" s="518"/>
      <c r="K61" s="518"/>
      <c r="L61" s="518"/>
      <c r="M61" s="519"/>
      <c r="N61" s="518"/>
      <c r="O61" s="519"/>
      <c r="P61" s="2682"/>
      <c r="Q61" s="504"/>
    </row>
    <row r="62" spans="1:29" s="117" customFormat="1" ht="15">
      <c r="A62" s="521" t="s">
        <v>2551</v>
      </c>
      <c r="B62" s="510"/>
      <c r="C62" s="522" t="s">
        <v>2653</v>
      </c>
      <c r="D62" s="523"/>
      <c r="E62" s="523"/>
      <c r="F62" s="523"/>
      <c r="G62" s="523"/>
      <c r="H62" s="523"/>
      <c r="I62" s="523"/>
      <c r="J62" s="523"/>
      <c r="K62" s="523"/>
      <c r="L62" s="524"/>
      <c r="M62" s="525"/>
      <c r="N62" s="1152"/>
      <c r="O62" s="1152"/>
      <c r="P62" s="2683"/>
      <c r="Q62" s="504"/>
    </row>
    <row r="63" spans="1:29" s="117" customFormat="1" ht="15.75" thickBot="1">
      <c r="A63" s="521"/>
      <c r="B63" s="510"/>
      <c r="C63" s="511">
        <v>100</v>
      </c>
      <c r="D63" s="512"/>
      <c r="E63" s="512"/>
      <c r="F63" s="512"/>
      <c r="G63" s="512"/>
      <c r="H63" s="512"/>
      <c r="I63" s="512"/>
      <c r="J63" s="512"/>
      <c r="K63" s="512"/>
      <c r="L63" s="512"/>
      <c r="M63" s="514"/>
      <c r="N63" s="1152"/>
      <c r="O63" s="1152"/>
      <c r="P63" s="2682"/>
      <c r="Q63" s="504"/>
    </row>
    <row r="64" spans="1:29">
      <c r="A64" s="527" t="s">
        <v>2589</v>
      </c>
      <c r="B64" s="528" t="s">
        <v>2555</v>
      </c>
      <c r="C64" s="529" t="str">
        <f>C9</f>
        <v>办公</v>
      </c>
      <c r="D64" s="530"/>
      <c r="E64" s="530"/>
      <c r="F64" s="530"/>
      <c r="G64" s="530"/>
      <c r="H64" s="530"/>
      <c r="I64" s="530"/>
      <c r="J64" s="530"/>
      <c r="K64" s="531"/>
      <c r="L64" s="532"/>
      <c r="M64" s="533"/>
      <c r="N64" s="1153"/>
      <c r="O64" s="1153"/>
      <c r="P64" s="2684"/>
      <c r="Q64" s="504"/>
    </row>
    <row r="65" spans="1:17" ht="15.75" thickBot="1">
      <c r="A65" s="534"/>
      <c r="B65" s="535"/>
      <c r="C65" s="536">
        <v>100</v>
      </c>
      <c r="D65" s="536"/>
      <c r="E65" s="536"/>
      <c r="F65" s="536"/>
      <c r="G65" s="536"/>
      <c r="H65" s="536"/>
      <c r="I65" s="536"/>
      <c r="J65" s="536"/>
      <c r="K65" s="536"/>
      <c r="L65" s="536"/>
      <c r="M65" s="537"/>
      <c r="N65" s="1154"/>
      <c r="O65" s="1154"/>
      <c r="P65" s="2684"/>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3"/>
      <c r="O66" s="1153"/>
      <c r="P66" s="2684"/>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4"/>
      <c r="O67" s="1154"/>
      <c r="P67" s="2684"/>
      <c r="Q67" s="504"/>
    </row>
    <row r="68" spans="1:17" ht="15.75" thickTop="1">
      <c r="A68" s="534"/>
      <c r="B68" s="546" t="s">
        <v>2559</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v>
      </c>
      <c r="J68" s="547" t="str">
        <f t="shared" si="17"/>
        <v>（含）-</v>
      </c>
      <c r="K68" s="547" t="str">
        <f t="shared" si="17"/>
        <v>（含）-</v>
      </c>
      <c r="L68" s="547" t="str">
        <f t="shared" si="17"/>
        <v>（含）-</v>
      </c>
      <c r="M68" s="448" t="str">
        <f>M69&amp;"（含）"&amp;"-"&amp;P69</f>
        <v>（含）-</v>
      </c>
      <c r="N68" s="1154"/>
      <c r="O68" s="1154"/>
      <c r="P68" s="2684"/>
      <c r="Q68" s="504"/>
    </row>
    <row r="69" spans="1:17" ht="15">
      <c r="A69" s="534"/>
      <c r="B69" s="548"/>
      <c r="C69" s="549">
        <v>0</v>
      </c>
      <c r="D69" s="549">
        <v>1</v>
      </c>
      <c r="E69" s="549">
        <v>2</v>
      </c>
      <c r="F69" s="549">
        <v>3</v>
      </c>
      <c r="G69" s="549">
        <v>4</v>
      </c>
      <c r="H69" s="549">
        <v>5</v>
      </c>
      <c r="I69" s="549">
        <v>6</v>
      </c>
      <c r="J69" s="549"/>
      <c r="K69" s="550"/>
      <c r="L69" s="551"/>
      <c r="M69" s="552"/>
      <c r="N69" s="1153"/>
      <c r="O69" s="1153"/>
      <c r="P69" s="2684"/>
      <c r="Q69" s="504"/>
    </row>
    <row r="70" spans="1:17" ht="15.75" thickBot="1">
      <c r="A70" s="534"/>
      <c r="B70" s="535"/>
      <c r="C70" s="544">
        <v>100</v>
      </c>
      <c r="D70" s="544">
        <f t="shared" ref="D70:M70" si="18">C70-$K11</f>
        <v>98</v>
      </c>
      <c r="E70" s="544">
        <f t="shared" si="18"/>
        <v>96</v>
      </c>
      <c r="F70" s="544">
        <f t="shared" si="18"/>
        <v>94</v>
      </c>
      <c r="G70" s="544">
        <f t="shared" si="18"/>
        <v>92</v>
      </c>
      <c r="H70" s="544">
        <f t="shared" si="18"/>
        <v>90</v>
      </c>
      <c r="I70" s="544">
        <f t="shared" si="18"/>
        <v>88</v>
      </c>
      <c r="J70" s="544">
        <f t="shared" si="18"/>
        <v>86</v>
      </c>
      <c r="K70" s="544">
        <f t="shared" si="18"/>
        <v>84</v>
      </c>
      <c r="L70" s="544">
        <f t="shared" si="18"/>
        <v>82</v>
      </c>
      <c r="M70" s="545">
        <f t="shared" si="18"/>
        <v>80</v>
      </c>
      <c r="N70" s="1154"/>
      <c r="O70" s="1154"/>
      <c r="P70" s="2684"/>
      <c r="Q70" s="504"/>
    </row>
    <row r="71" spans="1:17" s="471" customFormat="1" ht="15.75" thickTop="1">
      <c r="A71" s="553"/>
      <c r="B71" s="538">
        <f>B12</f>
        <v>111</v>
      </c>
      <c r="C71" s="554"/>
      <c r="D71" s="554"/>
      <c r="E71" s="554"/>
      <c r="F71" s="554"/>
      <c r="G71" s="554"/>
      <c r="H71" s="555"/>
      <c r="I71" s="555"/>
      <c r="J71" s="555"/>
      <c r="K71" s="555"/>
      <c r="L71" s="556"/>
      <c r="M71" s="557"/>
      <c r="N71" s="1155"/>
      <c r="O71" s="1155"/>
      <c r="P71" s="2685"/>
      <c r="Q71" s="559"/>
    </row>
    <row r="72" spans="1:17" s="471" customFormat="1" ht="15.75" thickBot="1">
      <c r="A72" s="553"/>
      <c r="B72" s="543"/>
      <c r="C72" s="560"/>
      <c r="D72" s="536"/>
      <c r="E72" s="536"/>
      <c r="F72" s="536"/>
      <c r="G72" s="536"/>
      <c r="H72" s="536"/>
      <c r="I72" s="536"/>
      <c r="J72" s="536"/>
      <c r="K72" s="536"/>
      <c r="L72" s="536"/>
      <c r="M72" s="537"/>
      <c r="N72" s="1154"/>
      <c r="O72" s="1154"/>
      <c r="P72" s="2685"/>
      <c r="Q72" s="559"/>
    </row>
    <row r="73" spans="1:17" s="471" customFormat="1" ht="15.75" thickTop="1">
      <c r="A73" s="553"/>
      <c r="B73" s="538">
        <f>B13</f>
        <v>111</v>
      </c>
      <c r="C73" s="554"/>
      <c r="D73" s="554"/>
      <c r="E73" s="554"/>
      <c r="F73" s="554"/>
      <c r="G73" s="554"/>
      <c r="H73" s="555"/>
      <c r="I73" s="555"/>
      <c r="J73" s="555"/>
      <c r="K73" s="555"/>
      <c r="L73" s="556"/>
      <c r="M73" s="557"/>
      <c r="N73" s="1155"/>
      <c r="O73" s="1155"/>
      <c r="P73" s="2686"/>
      <c r="Q73" s="561"/>
    </row>
    <row r="74" spans="1:17" s="471" customFormat="1" ht="15.75" thickBot="1">
      <c r="A74" s="553"/>
      <c r="B74" s="543"/>
      <c r="C74" s="560"/>
      <c r="D74" s="560"/>
      <c r="E74" s="560"/>
      <c r="F74" s="560"/>
      <c r="G74" s="560"/>
      <c r="H74" s="562"/>
      <c r="I74" s="562"/>
      <c r="J74" s="562"/>
      <c r="K74" s="562"/>
      <c r="L74" s="562"/>
      <c r="M74" s="563"/>
      <c r="N74" s="1155"/>
      <c r="O74" s="1155"/>
      <c r="P74" s="2685"/>
      <c r="Q74" s="559"/>
    </row>
    <row r="75" spans="1:17" s="471" customFormat="1" ht="15.75" thickTop="1">
      <c r="A75" s="553"/>
      <c r="B75" s="546">
        <f>B14</f>
        <v>111</v>
      </c>
      <c r="C75" s="523"/>
      <c r="D75" s="523"/>
      <c r="E75" s="523"/>
      <c r="F75" s="523"/>
      <c r="G75" s="523"/>
      <c r="H75" s="564"/>
      <c r="I75" s="564"/>
      <c r="J75" s="564"/>
      <c r="K75" s="564"/>
      <c r="L75" s="565"/>
      <c r="M75" s="566"/>
      <c r="N75" s="1155"/>
      <c r="O75" s="1155"/>
      <c r="P75" s="2687"/>
      <c r="Q75" s="559"/>
    </row>
    <row r="76" spans="1:17" s="471" customFormat="1" ht="15.75" thickBot="1">
      <c r="A76" s="568"/>
      <c r="B76" s="569"/>
      <c r="C76" s="570"/>
      <c r="D76" s="570"/>
      <c r="E76" s="570"/>
      <c r="F76" s="570"/>
      <c r="G76" s="570"/>
      <c r="H76" s="571"/>
      <c r="I76" s="571"/>
      <c r="J76" s="571"/>
      <c r="K76" s="571"/>
      <c r="L76" s="571"/>
      <c r="M76" s="572"/>
      <c r="N76" s="1155"/>
      <c r="O76" s="1155"/>
      <c r="P76" s="2685"/>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3"/>
      <c r="O77" s="1153"/>
      <c r="P77" s="2688"/>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4"/>
      <c r="O78" s="1154"/>
      <c r="P78" s="2684"/>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3"/>
      <c r="O79" s="1153"/>
      <c r="P79" s="2684"/>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4"/>
      <c r="O80" s="1154"/>
      <c r="P80" s="2684"/>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3"/>
      <c r="O81" s="1153"/>
      <c r="P81" s="2684"/>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4"/>
      <c r="O82" s="1154"/>
      <c r="P82" s="2684"/>
      <c r="Q82" s="504"/>
    </row>
    <row r="83" spans="1:17" ht="15.75" thickTop="1">
      <c r="A83" s="534"/>
      <c r="B83" s="546" t="s">
        <v>2690</v>
      </c>
      <c r="C83" s="660" t="s">
        <v>2676</v>
      </c>
      <c r="D83" s="660" t="s">
        <v>2677</v>
      </c>
      <c r="E83" s="660" t="s">
        <v>2678</v>
      </c>
      <c r="F83" s="660" t="s">
        <v>2679</v>
      </c>
      <c r="G83" s="660" t="s">
        <v>2680</v>
      </c>
      <c r="H83" s="539"/>
      <c r="I83" s="539"/>
      <c r="J83" s="539"/>
      <c r="K83" s="539"/>
      <c r="L83" s="539"/>
      <c r="M83" s="1383"/>
      <c r="N83" s="1154"/>
      <c r="O83" s="1154"/>
      <c r="P83" s="2684"/>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4"/>
      <c r="O84" s="1154"/>
      <c r="P84" s="2684"/>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3"/>
      <c r="O85" s="1153"/>
      <c r="P85" s="2684"/>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4"/>
      <c r="O86" s="1154"/>
      <c r="P86" s="2684"/>
      <c r="Q86" s="504"/>
    </row>
    <row r="87" spans="1:17" s="117" customFormat="1" ht="27.75" thickTop="1">
      <c r="A87" s="579"/>
      <c r="B87" s="538" t="s">
        <v>2700</v>
      </c>
      <c r="C87" s="2983" t="s">
        <v>3173</v>
      </c>
      <c r="D87" s="2983" t="s">
        <v>3111</v>
      </c>
      <c r="E87" s="2983" t="s">
        <v>3174</v>
      </c>
      <c r="F87" s="2983" t="s">
        <v>3175</v>
      </c>
      <c r="G87" s="2983" t="s">
        <v>3176</v>
      </c>
      <c r="H87" s="554"/>
      <c r="I87" s="554"/>
      <c r="J87" s="554"/>
      <c r="K87" s="554"/>
      <c r="L87" s="580"/>
      <c r="M87" s="581"/>
      <c r="N87" s="1152"/>
      <c r="O87" s="1152"/>
      <c r="P87" s="2684"/>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4"/>
      <c r="O88" s="1154"/>
      <c r="P88" s="2684"/>
      <c r="Q88" s="504"/>
    </row>
    <row r="89" spans="1:17" s="117" customFormat="1" ht="15.75" thickTop="1">
      <c r="A89" s="579"/>
      <c r="B89" s="538" t="str">
        <f>B27</f>
        <v>楼层</v>
      </c>
      <c r="C89" s="2983" t="s">
        <v>3122</v>
      </c>
      <c r="D89" s="2983" t="s">
        <v>3110</v>
      </c>
      <c r="E89" s="2983" t="s">
        <v>3123</v>
      </c>
      <c r="F89" s="2636"/>
      <c r="G89" s="554"/>
      <c r="H89" s="554"/>
      <c r="I89" s="554"/>
      <c r="J89" s="554"/>
      <c r="K89" s="554"/>
      <c r="L89" s="554"/>
      <c r="M89" s="581"/>
      <c r="N89" s="1152"/>
      <c r="O89" s="1152"/>
      <c r="P89" s="2684"/>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4"/>
      <c r="O90" s="1154"/>
      <c r="P90" s="2684"/>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5"/>
      <c r="Q91" s="559"/>
    </row>
    <row r="92" spans="1:17" s="471" customFormat="1" ht="15.75" thickBot="1">
      <c r="A92" s="553"/>
      <c r="B92" s="543"/>
      <c r="C92" s="582">
        <v>100</v>
      </c>
      <c r="D92" s="544">
        <f t="shared" ref="D92:M92" si="21">C92-$K28</f>
        <v>98</v>
      </c>
      <c r="E92" s="544">
        <f t="shared" si="21"/>
        <v>96</v>
      </c>
      <c r="F92" s="544">
        <f t="shared" si="21"/>
        <v>94</v>
      </c>
      <c r="G92" s="544">
        <f t="shared" si="21"/>
        <v>92</v>
      </c>
      <c r="H92" s="544">
        <f t="shared" si="21"/>
        <v>90</v>
      </c>
      <c r="I92" s="544">
        <f t="shared" si="21"/>
        <v>88</v>
      </c>
      <c r="J92" s="544">
        <f t="shared" si="21"/>
        <v>86</v>
      </c>
      <c r="K92" s="544">
        <f t="shared" si="21"/>
        <v>84</v>
      </c>
      <c r="L92" s="544">
        <f t="shared" si="21"/>
        <v>82</v>
      </c>
      <c r="M92" s="544">
        <f t="shared" si="21"/>
        <v>80</v>
      </c>
      <c r="N92" s="1155"/>
      <c r="O92" s="1155"/>
      <c r="P92" s="2685"/>
      <c r="Q92" s="559"/>
    </row>
    <row r="93" spans="1:17" ht="15.75" thickTop="1">
      <c r="A93" s="534"/>
      <c r="B93" s="538">
        <f>B29</f>
        <v>111</v>
      </c>
      <c r="C93" s="554"/>
      <c r="D93" s="554"/>
      <c r="E93" s="554"/>
      <c r="F93" s="554"/>
      <c r="G93" s="554"/>
      <c r="H93" s="554"/>
      <c r="I93" s="554"/>
      <c r="J93" s="554"/>
      <c r="K93" s="554"/>
      <c r="L93" s="580"/>
      <c r="M93" s="581"/>
      <c r="N93" s="1153"/>
      <c r="O93" s="1153"/>
      <c r="P93" s="2684"/>
      <c r="Q93" s="504"/>
    </row>
    <row r="94" spans="1:17" ht="15.75" thickBot="1">
      <c r="A94" s="534"/>
      <c r="B94" s="543"/>
      <c r="C94" s="560"/>
      <c r="D94" s="536"/>
      <c r="E94" s="536"/>
      <c r="F94" s="536"/>
      <c r="G94" s="536"/>
      <c r="H94" s="536"/>
      <c r="I94" s="536"/>
      <c r="J94" s="536"/>
      <c r="K94" s="536"/>
      <c r="L94" s="536"/>
      <c r="M94" s="537"/>
      <c r="N94" s="1154"/>
      <c r="O94" s="1154"/>
      <c r="P94" s="2684"/>
      <c r="Q94" s="504"/>
    </row>
    <row r="95" spans="1:17" ht="15.75" thickTop="1">
      <c r="A95" s="534"/>
      <c r="B95" s="538">
        <f>B30</f>
        <v>111</v>
      </c>
      <c r="C95" s="554"/>
      <c r="D95" s="554"/>
      <c r="E95" s="554"/>
      <c r="F95" s="554"/>
      <c r="G95" s="583"/>
      <c r="H95" s="583"/>
      <c r="I95" s="583"/>
      <c r="J95" s="583"/>
      <c r="K95" s="584"/>
      <c r="L95" s="585"/>
      <c r="M95" s="586"/>
      <c r="N95" s="1153"/>
      <c r="O95" s="1153"/>
      <c r="P95" s="2684"/>
      <c r="Q95" s="504"/>
    </row>
    <row r="96" spans="1:17" ht="15.75" thickBot="1">
      <c r="A96" s="534"/>
      <c r="B96" s="543"/>
      <c r="C96" s="560"/>
      <c r="D96" s="560"/>
      <c r="E96" s="560"/>
      <c r="F96" s="560"/>
      <c r="G96" s="536"/>
      <c r="H96" s="536"/>
      <c r="I96" s="536"/>
      <c r="J96" s="536"/>
      <c r="K96" s="536"/>
      <c r="L96" s="536"/>
      <c r="M96" s="537"/>
      <c r="N96" s="1154"/>
      <c r="O96" s="1154"/>
      <c r="P96" s="2684"/>
      <c r="Q96" s="504"/>
    </row>
    <row r="97" spans="1:17" ht="15.75" thickTop="1">
      <c r="A97" s="534"/>
      <c r="B97" s="538">
        <f>B31</f>
        <v>111</v>
      </c>
      <c r="C97" s="554"/>
      <c r="D97" s="554"/>
      <c r="E97" s="554"/>
      <c r="F97" s="554"/>
      <c r="G97" s="583"/>
      <c r="H97" s="583"/>
      <c r="I97" s="583"/>
      <c r="J97" s="583"/>
      <c r="K97" s="584"/>
      <c r="L97" s="585"/>
      <c r="M97" s="586"/>
      <c r="N97" s="1153"/>
      <c r="O97" s="1153"/>
      <c r="P97" s="2684"/>
      <c r="Q97" s="504"/>
    </row>
    <row r="98" spans="1:17" ht="15.75" thickBot="1">
      <c r="A98" s="534"/>
      <c r="B98" s="543"/>
      <c r="C98" s="560"/>
      <c r="D98" s="536"/>
      <c r="E98" s="536"/>
      <c r="F98" s="536"/>
      <c r="G98" s="536"/>
      <c r="H98" s="536"/>
      <c r="I98" s="536"/>
      <c r="J98" s="536"/>
      <c r="K98" s="536"/>
      <c r="L98" s="536"/>
      <c r="M98" s="537"/>
      <c r="N98" s="1154"/>
      <c r="O98" s="1154"/>
      <c r="P98" s="2684"/>
      <c r="Q98" s="504"/>
    </row>
    <row r="99" spans="1:17" ht="15.75" thickTop="1">
      <c r="A99" s="534"/>
      <c r="B99" s="546">
        <f>B32</f>
        <v>111</v>
      </c>
      <c r="C99" s="523"/>
      <c r="D99" s="523"/>
      <c r="E99" s="523"/>
      <c r="F99" s="523"/>
      <c r="G99" s="587"/>
      <c r="H99" s="587"/>
      <c r="I99" s="587"/>
      <c r="J99" s="587"/>
      <c r="K99" s="588"/>
      <c r="L99" s="589"/>
      <c r="M99" s="590"/>
      <c r="N99" s="1153"/>
      <c r="O99" s="1153"/>
      <c r="P99" s="2684"/>
      <c r="Q99" s="504"/>
    </row>
    <row r="100" spans="1:17" ht="15.75" thickBot="1">
      <c r="A100" s="2637"/>
      <c r="B100" s="569"/>
      <c r="C100" s="570"/>
      <c r="D100" s="570"/>
      <c r="E100" s="570"/>
      <c r="F100" s="570"/>
      <c r="G100" s="591"/>
      <c r="H100" s="591"/>
      <c r="I100" s="591"/>
      <c r="J100" s="591"/>
      <c r="K100" s="591"/>
      <c r="L100" s="591"/>
      <c r="M100" s="592"/>
      <c r="N100" s="1154"/>
      <c r="O100" s="1154"/>
      <c r="P100" s="2684"/>
      <c r="Q100" s="504"/>
    </row>
    <row r="101" spans="1:17">
      <c r="A101" s="527" t="s">
        <v>2564</v>
      </c>
      <c r="B101" s="528" t="s">
        <v>2613</v>
      </c>
      <c r="C101" s="530"/>
      <c r="D101" s="530"/>
      <c r="E101" s="530"/>
      <c r="F101" s="530"/>
      <c r="G101" s="530"/>
      <c r="H101" s="530"/>
      <c r="I101" s="530"/>
      <c r="J101" s="530"/>
      <c r="K101" s="531"/>
      <c r="L101" s="532"/>
      <c r="M101" s="533"/>
      <c r="N101" s="1153"/>
      <c r="O101" s="1153"/>
      <c r="P101" s="2684"/>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4"/>
      <c r="O102" s="1154"/>
      <c r="P102" s="2684"/>
      <c r="Q102" s="504"/>
    </row>
    <row r="103" spans="1:17" ht="15.75" thickTop="1">
      <c r="A103" s="534"/>
      <c r="B103" s="538" t="s">
        <v>2614</v>
      </c>
      <c r="C103" s="578" t="str">
        <f>C104&amp;"(含)"&amp;"-"&amp;D104</f>
        <v>0(含)-100</v>
      </c>
      <c r="D103" s="578" t="str">
        <f t="shared" ref="D103:L103" si="23">D104&amp;"(含)"&amp;"-"&amp;E104</f>
        <v>100(含)-200</v>
      </c>
      <c r="E103" s="578" t="str">
        <f t="shared" si="23"/>
        <v>200(含)-300</v>
      </c>
      <c r="F103" s="578" t="str">
        <f t="shared" si="23"/>
        <v>300(含)-400</v>
      </c>
      <c r="G103" s="578" t="str">
        <f t="shared" si="23"/>
        <v>400(含)-500</v>
      </c>
      <c r="H103" s="578" t="str">
        <f t="shared" si="23"/>
        <v>500(含)-</v>
      </c>
      <c r="I103" s="578" t="str">
        <f t="shared" si="23"/>
        <v>(含)-</v>
      </c>
      <c r="J103" s="578" t="str">
        <f t="shared" si="23"/>
        <v>(含)-</v>
      </c>
      <c r="K103" s="578" t="str">
        <f t="shared" si="23"/>
        <v>(含)-</v>
      </c>
      <c r="L103" s="578" t="str">
        <f t="shared" si="23"/>
        <v>(含)-</v>
      </c>
      <c r="M103" s="622" t="str">
        <f>M104&amp;"(含)"&amp;"-"&amp;P104</f>
        <v>(含)-</v>
      </c>
      <c r="N103" s="1152"/>
      <c r="O103" s="1152"/>
      <c r="P103" s="2684"/>
      <c r="Q103" s="504"/>
    </row>
    <row r="104" spans="1:17" s="471" customFormat="1">
      <c r="A104" s="593"/>
      <c r="B104" s="594"/>
      <c r="C104" s="595">
        <v>0</v>
      </c>
      <c r="D104" s="595">
        <v>100</v>
      </c>
      <c r="E104" s="595">
        <v>200</v>
      </c>
      <c r="F104" s="595">
        <v>300</v>
      </c>
      <c r="G104" s="595">
        <v>400</v>
      </c>
      <c r="H104" s="595">
        <v>500</v>
      </c>
      <c r="I104" s="595"/>
      <c r="J104" s="596"/>
      <c r="K104" s="596"/>
      <c r="L104" s="597"/>
      <c r="M104" s="598"/>
      <c r="N104" s="1155"/>
      <c r="O104" s="1155"/>
      <c r="P104" s="2685"/>
      <c r="Q104" s="559"/>
    </row>
    <row r="105" spans="1:17" s="471" customFormat="1" ht="15.75" thickBot="1">
      <c r="A105" s="553"/>
      <c r="B105" s="543"/>
      <c r="C105" s="560">
        <v>96</v>
      </c>
      <c r="D105" s="536">
        <v>98</v>
      </c>
      <c r="E105" s="536">
        <v>100</v>
      </c>
      <c r="F105" s="536">
        <v>98</v>
      </c>
      <c r="G105" s="536">
        <v>96</v>
      </c>
      <c r="H105" s="536"/>
      <c r="I105" s="536"/>
      <c r="J105" s="536"/>
      <c r="K105" s="536"/>
      <c r="L105" s="536"/>
      <c r="M105" s="537"/>
      <c r="N105" s="1154"/>
      <c r="O105" s="1154"/>
      <c r="P105" s="2685"/>
      <c r="Q105" s="559"/>
    </row>
    <row r="106" spans="1:17" ht="15" thickTop="1">
      <c r="A106" s="599"/>
      <c r="B106" s="538" t="s">
        <v>2615</v>
      </c>
      <c r="C106" s="554"/>
      <c r="D106" s="554"/>
      <c r="E106" s="583"/>
      <c r="F106" s="583"/>
      <c r="G106" s="583"/>
      <c r="H106" s="583"/>
      <c r="I106" s="583"/>
      <c r="J106" s="583"/>
      <c r="K106" s="584"/>
      <c r="L106" s="585"/>
      <c r="M106" s="586"/>
      <c r="N106" s="1153"/>
      <c r="O106" s="1153"/>
      <c r="P106" s="2684"/>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4"/>
      <c r="O107" s="1154"/>
      <c r="P107" s="2684"/>
      <c r="Q107" s="504"/>
    </row>
    <row r="108" spans="1:17" ht="15" thickTop="1">
      <c r="A108" s="599"/>
      <c r="B108" s="538" t="s">
        <v>2617</v>
      </c>
      <c r="C108" s="554"/>
      <c r="D108" s="554"/>
      <c r="E108" s="554"/>
      <c r="F108" s="583"/>
      <c r="G108" s="583"/>
      <c r="H108" s="583"/>
      <c r="I108" s="583"/>
      <c r="J108" s="583"/>
      <c r="K108" s="584"/>
      <c r="L108" s="585"/>
      <c r="M108" s="586"/>
      <c r="N108" s="1153"/>
      <c r="O108" s="1153"/>
      <c r="P108" s="2684"/>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4"/>
      <c r="O109" s="1154"/>
      <c r="P109" s="2684"/>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4"/>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4"/>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4"/>
      <c r="O112" s="1154"/>
      <c r="P112" s="2684"/>
      <c r="Q112" s="504"/>
    </row>
    <row r="113" spans="1:17" s="471" customFormat="1" ht="15" thickTop="1">
      <c r="A113" s="593"/>
      <c r="B113" s="538" t="s">
        <v>2701</v>
      </c>
      <c r="C113" s="554"/>
      <c r="D113" s="554"/>
      <c r="E113" s="554"/>
      <c r="F113" s="554"/>
      <c r="G113" s="554"/>
      <c r="H113" s="583"/>
      <c r="I113" s="583"/>
      <c r="J113" s="583"/>
      <c r="K113" s="584"/>
      <c r="L113" s="585"/>
      <c r="M113" s="586"/>
      <c r="N113" s="1155"/>
      <c r="O113" s="1155"/>
      <c r="P113" s="2685"/>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5"/>
      <c r="O114" s="1155"/>
      <c r="P114" s="2685"/>
      <c r="Q114" s="559"/>
    </row>
    <row r="115" spans="1:17" ht="15" thickTop="1">
      <c r="A115" s="599"/>
      <c r="B115" s="538" t="s">
        <v>2618</v>
      </c>
      <c r="C115" s="554"/>
      <c r="D115" s="554"/>
      <c r="E115" s="583"/>
      <c r="F115" s="583"/>
      <c r="G115" s="583"/>
      <c r="H115" s="583"/>
      <c r="I115" s="583"/>
      <c r="J115" s="583"/>
      <c r="K115" s="584"/>
      <c r="L115" s="585"/>
      <c r="M115" s="586"/>
      <c r="N115" s="1153"/>
      <c r="O115" s="1153"/>
      <c r="P115" s="2684"/>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4"/>
      <c r="O116" s="1154"/>
      <c r="P116" s="2684"/>
      <c r="Q116" s="504"/>
    </row>
    <row r="117" spans="1:17" ht="15" thickTop="1">
      <c r="A117" s="599"/>
      <c r="B117" s="538" t="s">
        <v>2619</v>
      </c>
      <c r="C117" s="2983" t="s">
        <v>3177</v>
      </c>
      <c r="D117" s="2983" t="s">
        <v>3178</v>
      </c>
      <c r="E117" s="2983" t="s">
        <v>3180</v>
      </c>
      <c r="F117" s="554"/>
      <c r="G117" s="554"/>
      <c r="H117" s="583"/>
      <c r="I117" s="583"/>
      <c r="J117" s="583"/>
      <c r="K117" s="584"/>
      <c r="L117" s="585"/>
      <c r="M117" s="586"/>
      <c r="N117" s="1153"/>
      <c r="O117" s="1153"/>
      <c r="P117" s="2684"/>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4"/>
      <c r="O118" s="1154"/>
      <c r="P118" s="2684"/>
      <c r="Q118" s="504"/>
    </row>
    <row r="119" spans="1:17" ht="15" thickTop="1">
      <c r="A119" s="599"/>
      <c r="B119" s="636" t="s">
        <v>2702</v>
      </c>
      <c r="C119" s="583"/>
      <c r="D119" s="583"/>
      <c r="E119" s="583"/>
      <c r="F119" s="583"/>
      <c r="G119" s="583"/>
      <c r="H119" s="583"/>
      <c r="I119" s="583"/>
      <c r="J119" s="583"/>
      <c r="K119" s="583"/>
      <c r="L119" s="2689"/>
      <c r="M119" s="2690"/>
      <c r="N119" s="1154"/>
      <c r="O119" s="1154"/>
      <c r="P119" s="2691"/>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4"/>
      <c r="O120" s="1154"/>
      <c r="P120" s="2684"/>
      <c r="Q120" s="504"/>
    </row>
    <row r="121" spans="1:17" s="471" customFormat="1" ht="15" thickTop="1">
      <c r="A121" s="593"/>
      <c r="B121" s="538" t="s">
        <v>2685</v>
      </c>
      <c r="C121" s="554"/>
      <c r="D121" s="554"/>
      <c r="E121" s="554"/>
      <c r="F121" s="583"/>
      <c r="G121" s="555"/>
      <c r="H121" s="555"/>
      <c r="I121" s="555"/>
      <c r="J121" s="555"/>
      <c r="K121" s="555"/>
      <c r="L121" s="556"/>
      <c r="M121" s="557"/>
      <c r="N121" s="1155"/>
      <c r="O121" s="1155"/>
      <c r="P121" s="2685"/>
      <c r="Q121" s="559"/>
    </row>
    <row r="122" spans="1:17" s="471" customFormat="1" ht="15.75" thickBot="1">
      <c r="A122" s="553"/>
      <c r="B122" s="535"/>
      <c r="C122" s="560"/>
      <c r="D122" s="560"/>
      <c r="E122" s="560"/>
      <c r="F122" s="560"/>
      <c r="G122" s="560"/>
      <c r="H122" s="560"/>
      <c r="I122" s="560"/>
      <c r="J122" s="560"/>
      <c r="K122" s="560"/>
      <c r="L122" s="560"/>
      <c r="M122" s="560"/>
      <c r="N122" s="1155"/>
      <c r="O122" s="1155"/>
      <c r="P122" s="2685"/>
      <c r="Q122" s="559"/>
    </row>
    <row r="123" spans="1:17" ht="15" thickTop="1">
      <c r="A123" s="599"/>
      <c r="B123" s="538" t="s">
        <v>2621</v>
      </c>
      <c r="C123" s="2983" t="s">
        <v>3168</v>
      </c>
      <c r="D123" s="2983" t="s">
        <v>3169</v>
      </c>
      <c r="E123" s="2983" t="s">
        <v>3170</v>
      </c>
      <c r="F123" s="2994" t="s">
        <v>3171</v>
      </c>
      <c r="G123" s="583"/>
      <c r="H123" s="583"/>
      <c r="I123" s="583"/>
      <c r="J123" s="583"/>
      <c r="K123" s="584"/>
      <c r="L123" s="585"/>
      <c r="M123" s="586"/>
      <c r="N123" s="1153"/>
      <c r="O123" s="1153"/>
      <c r="P123" s="2684"/>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4"/>
      <c r="O124" s="1154"/>
      <c r="P124" s="2684"/>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3"/>
      <c r="O125" s="1153"/>
      <c r="P125" s="2685"/>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4"/>
      <c r="O126" s="1154"/>
      <c r="P126" s="2684"/>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85"/>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85"/>
      <c r="Q128" s="559"/>
    </row>
    <row r="129" spans="1:17" ht="15" thickTop="1">
      <c r="A129" s="599"/>
      <c r="B129" s="538">
        <f>B46</f>
        <v>111</v>
      </c>
      <c r="C129" s="554"/>
      <c r="D129" s="554"/>
      <c r="E129" s="554"/>
      <c r="F129" s="554"/>
      <c r="G129" s="583"/>
      <c r="H129" s="583"/>
      <c r="I129" s="583"/>
      <c r="J129" s="583"/>
      <c r="K129" s="584"/>
      <c r="L129" s="585"/>
      <c r="M129" s="586"/>
      <c r="N129" s="1153"/>
      <c r="O129" s="1153"/>
      <c r="P129" s="2684"/>
      <c r="Q129" s="504"/>
    </row>
    <row r="130" spans="1:17" ht="15.75" thickBot="1">
      <c r="A130" s="534"/>
      <c r="B130" s="543"/>
      <c r="C130" s="560"/>
      <c r="D130" s="560"/>
      <c r="E130" s="560"/>
      <c r="F130" s="560"/>
      <c r="G130" s="536"/>
      <c r="H130" s="536"/>
      <c r="I130" s="536"/>
      <c r="J130" s="536"/>
      <c r="K130" s="536"/>
      <c r="L130" s="536"/>
      <c r="M130" s="537"/>
      <c r="N130" s="1154"/>
      <c r="O130" s="1154"/>
      <c r="P130" s="2684"/>
      <c r="Q130" s="504"/>
    </row>
    <row r="131" spans="1:17" ht="15" thickTop="1">
      <c r="A131" s="599"/>
      <c r="B131" s="546">
        <f>B47</f>
        <v>0.95</v>
      </c>
      <c r="C131" s="523"/>
      <c r="D131" s="523"/>
      <c r="E131" s="523"/>
      <c r="F131" s="523"/>
      <c r="G131" s="587"/>
      <c r="H131" s="587"/>
      <c r="I131" s="587"/>
      <c r="J131" s="587"/>
      <c r="K131" s="523"/>
      <c r="L131" s="524"/>
      <c r="M131" s="590"/>
      <c r="N131" s="1153"/>
      <c r="O131" s="1153"/>
      <c r="P131" s="2684"/>
      <c r="Q131" s="504"/>
    </row>
    <row r="132" spans="1:17" ht="15.75" thickBot="1">
      <c r="A132" s="2637"/>
      <c r="B132" s="569"/>
      <c r="C132" s="570"/>
      <c r="D132" s="570"/>
      <c r="E132" s="570"/>
      <c r="F132" s="570"/>
      <c r="G132" s="591"/>
      <c r="H132" s="591"/>
      <c r="I132" s="591"/>
      <c r="J132" s="591"/>
      <c r="K132" s="591"/>
      <c r="L132" s="591"/>
      <c r="M132" s="592"/>
      <c r="N132" s="1154"/>
      <c r="O132" s="1154"/>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8" priority="16" stopIfTrue="1" operator="containsText" text="超过">
      <formula>NOT(ISERROR(SEARCH("超过",F53)))</formula>
    </cfRule>
  </conditionalFormatting>
  <conditionalFormatting sqref="H55">
    <cfRule type="containsText" dxfId="117" priority="15" stopIfTrue="1" operator="containsText" text="超过">
      <formula>NOT(ISERROR(SEARCH("超过",H55)))</formula>
    </cfRule>
  </conditionalFormatting>
  <conditionalFormatting sqref="F55">
    <cfRule type="containsText" dxfId="116" priority="14" stopIfTrue="1" operator="containsText" text="超过">
      <formula>NOT(ISERROR(SEARCH("超过",F55)))</formula>
    </cfRule>
  </conditionalFormatting>
  <conditionalFormatting sqref="F54 H54">
    <cfRule type="containsText" dxfId="115" priority="13" stopIfTrue="1" operator="containsText" text="超过">
      <formula>NOT(ISERROR(SEARCH("超过",F54)))</formula>
    </cfRule>
  </conditionalFormatting>
  <conditionalFormatting sqref="E53">
    <cfRule type="expression" dxfId="114" priority="12" stopIfTrue="1">
      <formula>$F$53="超过30%"</formula>
    </cfRule>
  </conditionalFormatting>
  <conditionalFormatting sqref="E54">
    <cfRule type="expression" dxfId="113" priority="11" stopIfTrue="1">
      <formula>$F$54="超过20%"</formula>
    </cfRule>
  </conditionalFormatting>
  <conditionalFormatting sqref="E55">
    <cfRule type="expression" dxfId="112" priority="10" stopIfTrue="1">
      <formula>$F$55="超过30%"</formula>
    </cfRule>
  </conditionalFormatting>
  <conditionalFormatting sqref="G55">
    <cfRule type="expression" dxfId="111" priority="9" stopIfTrue="1">
      <formula>$H$55="超过30%"</formula>
    </cfRule>
  </conditionalFormatting>
  <conditionalFormatting sqref="G53">
    <cfRule type="expression" dxfId="110" priority="8" stopIfTrue="1">
      <formula>$H$53="超过30%"</formula>
    </cfRule>
  </conditionalFormatting>
  <conditionalFormatting sqref="G54">
    <cfRule type="expression" dxfId="109" priority="7" stopIfTrue="1">
      <formula>$H$54="超过20%"</formula>
    </cfRule>
  </conditionalFormatting>
  <conditionalFormatting sqref="J53">
    <cfRule type="containsText" dxfId="108" priority="6" stopIfTrue="1" operator="containsText" text="超过">
      <formula>NOT(ISERROR(SEARCH("超过",J53)))</formula>
    </cfRule>
  </conditionalFormatting>
  <conditionalFormatting sqref="J55">
    <cfRule type="containsText" dxfId="107" priority="5" stopIfTrue="1" operator="containsText" text="超过">
      <formula>NOT(ISERROR(SEARCH("超过",J55)))</formula>
    </cfRule>
  </conditionalFormatting>
  <conditionalFormatting sqref="J54">
    <cfRule type="containsText" dxfId="106" priority="4" stopIfTrue="1" operator="containsText" text="超过">
      <formula>NOT(ISERROR(SEARCH("超过",J54)))</formula>
    </cfRule>
  </conditionalFormatting>
  <conditionalFormatting sqref="I53">
    <cfRule type="expression" dxfId="105" priority="3" stopIfTrue="1">
      <formula>$J$53="超过30%"</formula>
    </cfRule>
  </conditionalFormatting>
  <conditionalFormatting sqref="I54">
    <cfRule type="expression" dxfId="104" priority="2" stopIfTrue="1">
      <formula>$J$53+$J$54="超过20%"</formula>
    </cfRule>
  </conditionalFormatting>
  <conditionalFormatting sqref="I55">
    <cfRule type="expression" dxfId="10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2529</v>
      </c>
      <c r="B1" s="2670" t="s">
        <v>2703</v>
      </c>
      <c r="C1" s="1621" t="s">
        <v>2531</v>
      </c>
      <c r="D1" s="1622"/>
      <c r="E1" s="1631"/>
      <c r="F1" s="2585"/>
      <c r="G1" s="1632" t="s">
        <v>2644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2328</v>
      </c>
      <c r="B2" s="1419" t="e">
        <f ca="1">IF(C2="——",ROUND(C43*D3/10000,0),ROUND(C43*D3/10000,0)-D2)</f>
        <v>#DIV/0!</v>
      </c>
      <c r="C2" s="2587"/>
      <c r="D2" s="1125" t="e">
        <f ca="1">SUMIF(INDIRECT("'"&amp;F2&amp;"'"&amp;"!A:A"),"承租人权益价值",INDIRECT("'"&amp;F2&amp;"'"&amp;"!c:c"))</f>
        <v>#REF!</v>
      </c>
      <c r="E2" s="2588" t="s">
        <v>2329</v>
      </c>
      <c r="F2" s="2589"/>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8" customFormat="1" ht="28.5" customHeight="1" thickBot="1">
      <c r="A3" s="247" t="s">
        <v>2330</v>
      </c>
      <c r="B3" s="609" t="e">
        <f ca="1">IF(C2="——",C43,ROUND(B2*10000/D3,0))</f>
        <v>#DIV/0!</v>
      </c>
      <c r="C3" s="400" t="s">
        <v>2645</v>
      </c>
      <c r="D3" s="399">
        <f>IF(D1="",'数据-汇总表'!E3,SUMIF('数据-汇总表'!$C19:$C33,D1,'数据-汇总表'!$E19:$E33))</f>
        <v>66657.509999999995</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2646</v>
      </c>
      <c r="B4" s="402"/>
      <c r="C4" s="3244" t="s">
        <v>2647</v>
      </c>
      <c r="D4" s="3245"/>
      <c r="E4" s="3246" t="s">
        <v>2648</v>
      </c>
      <c r="F4" s="3247"/>
      <c r="G4" s="3244" t="s">
        <v>2649</v>
      </c>
      <c r="H4" s="3245"/>
      <c r="I4" s="3244" t="s">
        <v>2650</v>
      </c>
      <c r="J4" s="3245"/>
      <c r="K4" s="610" t="s">
        <v>2651</v>
      </c>
      <c r="L4" s="1131"/>
      <c r="M4" s="1132"/>
      <c r="N4" s="1132"/>
      <c r="O4" s="1132"/>
      <c r="P4" s="3248" t="s">
        <v>2652</v>
      </c>
      <c r="Q4" s="3249"/>
      <c r="R4" s="3231" t="s">
        <v>2648</v>
      </c>
      <c r="S4" s="3232"/>
      <c r="T4" s="3231" t="s">
        <v>2649</v>
      </c>
      <c r="U4" s="3232"/>
      <c r="V4" s="3228" t="s">
        <v>2650</v>
      </c>
      <c r="W4" s="3228"/>
      <c r="X4" s="1811"/>
      <c r="Y4" s="3231" t="s">
        <v>2652</v>
      </c>
      <c r="Z4" s="3232"/>
      <c r="AA4" s="3225" t="s">
        <v>2648</v>
      </c>
      <c r="AB4" s="3226" t="s">
        <v>2649</v>
      </c>
      <c r="AC4" s="3225" t="s">
        <v>2650</v>
      </c>
    </row>
    <row r="5" spans="1:29" ht="15">
      <c r="A5" s="404"/>
      <c r="B5" s="405"/>
      <c r="C5" s="3237" t="s">
        <v>2543</v>
      </c>
      <c r="D5" s="3238"/>
      <c r="E5" s="3235" t="s">
        <v>2544</v>
      </c>
      <c r="F5" s="3236"/>
      <c r="G5" s="3237" t="s">
        <v>2545</v>
      </c>
      <c r="H5" s="3238"/>
      <c r="I5" s="3237" t="s">
        <v>2546</v>
      </c>
      <c r="J5" s="3238"/>
      <c r="K5" s="610"/>
      <c r="L5" s="1131"/>
      <c r="M5" s="1132"/>
      <c r="N5" s="1132"/>
      <c r="O5" s="1132"/>
      <c r="P5" s="3250"/>
      <c r="Q5" s="3251"/>
      <c r="R5" s="3233"/>
      <c r="S5" s="3234"/>
      <c r="T5" s="3233"/>
      <c r="U5" s="3234"/>
      <c r="V5" s="3228"/>
      <c r="W5" s="3228"/>
      <c r="X5" s="1811"/>
      <c r="Y5" s="3233"/>
      <c r="Z5" s="3234"/>
      <c r="AA5" s="3226"/>
      <c r="AB5" s="3226"/>
      <c r="AC5" s="3226"/>
    </row>
    <row r="6" spans="1:29" ht="15.75" thickBot="1">
      <c r="A6" s="406"/>
      <c r="B6" s="407"/>
      <c r="C6" s="3239" t="s">
        <v>2547</v>
      </c>
      <c r="D6" s="3240"/>
      <c r="E6" s="3241" t="s">
        <v>2547</v>
      </c>
      <c r="F6" s="3242"/>
      <c r="G6" s="3239" t="s">
        <v>2547</v>
      </c>
      <c r="H6" s="3240"/>
      <c r="I6" s="3239" t="s">
        <v>2547</v>
      </c>
      <c r="J6" s="3240"/>
      <c r="K6" s="610" t="s">
        <v>2548</v>
      </c>
      <c r="L6" s="1131"/>
      <c r="M6" s="1132"/>
      <c r="N6" s="1132"/>
      <c r="O6" s="1132"/>
      <c r="P6" s="3252"/>
      <c r="Q6" s="3253"/>
      <c r="R6" s="3233"/>
      <c r="S6" s="3234"/>
      <c r="T6" s="3254"/>
      <c r="U6" s="3255"/>
      <c r="V6" s="3228"/>
      <c r="W6" s="3228"/>
      <c r="X6" s="1811"/>
      <c r="Y6" s="3254"/>
      <c r="Z6" s="3255"/>
      <c r="AA6" s="3227"/>
      <c r="AB6" s="3227"/>
      <c r="AC6" s="3227"/>
    </row>
    <row r="7" spans="1:29" s="117" customFormat="1" ht="15.75" thickBot="1">
      <c r="A7" s="408" t="s">
        <v>2549</v>
      </c>
      <c r="B7" s="409"/>
      <c r="C7" s="410">
        <f>'数据-取费表'!B2</f>
        <v>43570</v>
      </c>
      <c r="D7" s="411">
        <v>100</v>
      </c>
      <c r="E7" s="412"/>
      <c r="F7" s="413">
        <f>SUMIF(52:52,YEAR(E7)&amp;"-"&amp;MONTH(E7),53:53)</f>
        <v>0</v>
      </c>
      <c r="G7" s="412"/>
      <c r="H7" s="411">
        <f>SUMIF(52:52,YEAR(G7)&amp;"-"&amp;MONTH(G7),53:53)</f>
        <v>0</v>
      </c>
      <c r="I7" s="412"/>
      <c r="J7" s="411">
        <f>SUMIF(52:52,YEAR(I7)&amp;"-"&amp;MONTH(I7),53:53)</f>
        <v>0</v>
      </c>
      <c r="K7" s="611"/>
      <c r="L7" s="1133"/>
      <c r="M7" s="1134"/>
      <c r="N7" s="1134"/>
      <c r="O7" s="1134"/>
      <c r="P7" s="3229" t="s">
        <v>2550</v>
      </c>
      <c r="Q7" s="3256"/>
      <c r="R7" s="768" t="s">
        <v>17</v>
      </c>
      <c r="S7" s="769">
        <f t="shared" ref="S7:S15" si="0">F7</f>
        <v>0</v>
      </c>
      <c r="T7" s="768" t="s">
        <v>17</v>
      </c>
      <c r="U7" s="769">
        <f t="shared" ref="U7:U15" si="1">H7</f>
        <v>0</v>
      </c>
      <c r="V7" s="768" t="s">
        <v>17</v>
      </c>
      <c r="W7" s="769">
        <f t="shared" ref="W7:W15" si="2">J7</f>
        <v>0</v>
      </c>
      <c r="X7" s="770"/>
      <c r="Y7" s="3229" t="s">
        <v>2550</v>
      </c>
      <c r="Z7" s="3230"/>
      <c r="AA7" s="771" t="e">
        <f>D7/F7</f>
        <v>#DIV/0!</v>
      </c>
      <c r="AB7" s="771" t="e">
        <f>D7/H7</f>
        <v>#DIV/0!</v>
      </c>
      <c r="AC7" s="771"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229" t="s">
        <v>2553</v>
      </c>
      <c r="Q8" s="3230"/>
      <c r="R8" s="768" t="s">
        <v>17</v>
      </c>
      <c r="S8" s="769">
        <f t="shared" si="0"/>
        <v>0</v>
      </c>
      <c r="T8" s="768" t="s">
        <v>17</v>
      </c>
      <c r="U8" s="769">
        <f t="shared" si="1"/>
        <v>0</v>
      </c>
      <c r="V8" s="768" t="s">
        <v>17</v>
      </c>
      <c r="W8" s="769">
        <f t="shared" si="2"/>
        <v>0</v>
      </c>
      <c r="X8" s="770"/>
      <c r="Y8" s="3229" t="s">
        <v>2553</v>
      </c>
      <c r="Z8" s="3230"/>
      <c r="AA8" s="771" t="e">
        <f t="shared" ref="AA8:AA40" si="3">D8/F8</f>
        <v>#DIV/0!</v>
      </c>
      <c r="AB8" s="771" t="e">
        <f t="shared" ref="AB8:AB40" si="4">D8/H8</f>
        <v>#DIV/0!</v>
      </c>
      <c r="AC8" s="771"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266" t="s">
        <v>2556</v>
      </c>
      <c r="Q9" s="1793" t="str">
        <f t="shared" ref="Q9:Q15" si="6">B9</f>
        <v>用途</v>
      </c>
      <c r="R9" s="768" t="s">
        <v>17</v>
      </c>
      <c r="S9" s="769">
        <f t="shared" si="0"/>
        <v>100</v>
      </c>
      <c r="T9" s="768" t="s">
        <v>17</v>
      </c>
      <c r="U9" s="769">
        <f t="shared" si="1"/>
        <v>100</v>
      </c>
      <c r="V9" s="768" t="s">
        <v>17</v>
      </c>
      <c r="W9" s="769">
        <f t="shared" si="2"/>
        <v>100</v>
      </c>
      <c r="X9" s="770"/>
      <c r="Y9" s="3102" t="s">
        <v>2557</v>
      </c>
      <c r="Z9" s="55" t="str">
        <f t="shared" ref="Z9:Z15" si="7">Q9</f>
        <v>用途</v>
      </c>
      <c r="AA9" s="771">
        <f t="shared" si="3"/>
        <v>1</v>
      </c>
      <c r="AB9" s="771">
        <f t="shared" si="4"/>
        <v>1</v>
      </c>
      <c r="AC9" s="771">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266"/>
      <c r="Q10" s="1793" t="str">
        <f t="shared" si="6"/>
        <v>土地使用年限（年）</v>
      </c>
      <c r="R10" s="768" t="s">
        <v>17</v>
      </c>
      <c r="S10" s="769">
        <f t="shared" si="0"/>
        <v>100</v>
      </c>
      <c r="T10" s="768" t="s">
        <v>17</v>
      </c>
      <c r="U10" s="769">
        <f t="shared" si="1"/>
        <v>100</v>
      </c>
      <c r="V10" s="768" t="s">
        <v>17</v>
      </c>
      <c r="W10" s="769">
        <f t="shared" si="2"/>
        <v>100</v>
      </c>
      <c r="X10" s="770"/>
      <c r="Y10" s="3102"/>
      <c r="Z10" s="55" t="str">
        <f t="shared" si="7"/>
        <v>土地使用年限（年）</v>
      </c>
      <c r="AA10" s="771">
        <f t="shared" si="3"/>
        <v>1</v>
      </c>
      <c r="AB10" s="771">
        <f t="shared" si="4"/>
        <v>1</v>
      </c>
      <c r="AC10" s="771">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266"/>
      <c r="Q11" s="1793" t="str">
        <f t="shared" si="6"/>
        <v>容积率</v>
      </c>
      <c r="R11" s="768" t="s">
        <v>17</v>
      </c>
      <c r="S11" s="769" t="e">
        <f t="shared" si="0"/>
        <v>#N/A</v>
      </c>
      <c r="T11" s="768" t="s">
        <v>17</v>
      </c>
      <c r="U11" s="769" t="e">
        <f t="shared" si="1"/>
        <v>#N/A</v>
      </c>
      <c r="V11" s="768" t="s">
        <v>17</v>
      </c>
      <c r="W11" s="769" t="e">
        <f t="shared" si="2"/>
        <v>#N/A</v>
      </c>
      <c r="X11" s="770"/>
      <c r="Y11" s="3102"/>
      <c r="Z11" s="55" t="str">
        <f t="shared" si="7"/>
        <v>容积率</v>
      </c>
      <c r="AA11" s="771" t="e">
        <f t="shared" si="3"/>
        <v>#N/A</v>
      </c>
      <c r="AB11" s="771" t="e">
        <f t="shared" si="4"/>
        <v>#N/A</v>
      </c>
      <c r="AC11" s="771" t="e">
        <f t="shared" si="5"/>
        <v>#N/A</v>
      </c>
    </row>
    <row r="12" spans="1:29" s="117" customFormat="1" ht="15">
      <c r="A12" s="431"/>
      <c r="B12" s="2601">
        <v>111</v>
      </c>
      <c r="C12" s="432"/>
      <c r="D12" s="433">
        <v>100</v>
      </c>
      <c r="E12" s="434"/>
      <c r="F12" s="136">
        <f>SUMIF(64:64,E12,65:65)-SUMIF(64:64,C12,65:65)+100</f>
        <v>100</v>
      </c>
      <c r="G12" s="2692"/>
      <c r="H12" s="136">
        <f>SUMIF(64:64,G12,65:65)-SUMIF(64:64,C12,65:65)+100</f>
        <v>100</v>
      </c>
      <c r="I12" s="469"/>
      <c r="J12" s="136">
        <f>SUMIF(64:64,I12,65:65)-SUMIF(64:64,C12,65:65)+100</f>
        <v>100</v>
      </c>
      <c r="K12" s="613"/>
      <c r="L12" s="1133"/>
      <c r="M12" s="1134"/>
      <c r="N12" s="1134"/>
      <c r="O12" s="1135"/>
      <c r="P12" s="3266"/>
      <c r="Q12" s="1793">
        <f t="shared" si="6"/>
        <v>111</v>
      </c>
      <c r="R12" s="768" t="s">
        <v>17</v>
      </c>
      <c r="S12" s="769">
        <f t="shared" si="0"/>
        <v>100</v>
      </c>
      <c r="T12" s="768" t="s">
        <v>17</v>
      </c>
      <c r="U12" s="769">
        <f t="shared" si="1"/>
        <v>100</v>
      </c>
      <c r="V12" s="768" t="s">
        <v>17</v>
      </c>
      <c r="W12" s="769">
        <f t="shared" si="2"/>
        <v>100</v>
      </c>
      <c r="X12" s="770"/>
      <c r="Y12" s="3102"/>
      <c r="Z12" s="55">
        <f t="shared" si="7"/>
        <v>111</v>
      </c>
      <c r="AA12" s="771">
        <f>D12/F12</f>
        <v>1</v>
      </c>
      <c r="AB12" s="771">
        <f>D12/H12</f>
        <v>1</v>
      </c>
      <c r="AC12" s="771">
        <f>D12/J12</f>
        <v>1</v>
      </c>
    </row>
    <row r="13" spans="1:29" ht="15">
      <c r="A13" s="428"/>
      <c r="B13" s="2601">
        <v>111</v>
      </c>
      <c r="C13" s="434"/>
      <c r="D13" s="435">
        <v>100</v>
      </c>
      <c r="E13" s="434"/>
      <c r="F13" s="136">
        <f>SUMIF(66:66,E13,67:67)-SUMIF(66:66,C13,67:67)+100</f>
        <v>100</v>
      </c>
      <c r="G13" s="2692"/>
      <c r="H13" s="435">
        <f>SUMIF(66:66,G13,67:67)-SUMIF(66:66,C13,67:67)+100</f>
        <v>100</v>
      </c>
      <c r="I13" s="469"/>
      <c r="J13" s="435">
        <f>SUMIF(66:66,I13,67:67)-SUMIF(66:66,C13,67:67)+100</f>
        <v>100</v>
      </c>
      <c r="K13" s="613"/>
      <c r="L13" s="1141"/>
      <c r="M13" s="1132"/>
      <c r="N13" s="1132"/>
      <c r="O13" s="1140"/>
      <c r="P13" s="3266"/>
      <c r="Q13" s="1793">
        <f t="shared" si="6"/>
        <v>111</v>
      </c>
      <c r="R13" s="768" t="s">
        <v>17</v>
      </c>
      <c r="S13" s="769">
        <f t="shared" si="0"/>
        <v>100</v>
      </c>
      <c r="T13" s="768" t="s">
        <v>17</v>
      </c>
      <c r="U13" s="769">
        <f t="shared" si="1"/>
        <v>100</v>
      </c>
      <c r="V13" s="768" t="s">
        <v>17</v>
      </c>
      <c r="W13" s="769">
        <f t="shared" si="2"/>
        <v>100</v>
      </c>
      <c r="X13" s="770"/>
      <c r="Y13" s="3102"/>
      <c r="Z13" s="55">
        <f t="shared" si="7"/>
        <v>111</v>
      </c>
      <c r="AA13" s="771">
        <f t="shared" si="3"/>
        <v>1</v>
      </c>
      <c r="AB13" s="771">
        <f t="shared" si="4"/>
        <v>1</v>
      </c>
      <c r="AC13" s="771">
        <f t="shared" si="5"/>
        <v>1</v>
      </c>
    </row>
    <row r="14" spans="1:29" ht="15.75" thickBot="1">
      <c r="A14" s="436"/>
      <c r="B14" s="2603">
        <v>111</v>
      </c>
      <c r="C14" s="437"/>
      <c r="D14" s="438">
        <v>100</v>
      </c>
      <c r="E14" s="437"/>
      <c r="F14" s="438">
        <f>SUMIF(68:68,E14,69:69)-SUMIF(68:68,C14,69:69)+100</f>
        <v>100</v>
      </c>
      <c r="G14" s="2692"/>
      <c r="H14" s="438">
        <f>SUMIF(68:68,G14,69:69)-SUMIF(68:68,C14,69:69)+100</f>
        <v>100</v>
      </c>
      <c r="I14" s="469"/>
      <c r="J14" s="438">
        <f>SUMIF(68:68,I14,69:69)-SUMIF(68:68,C14,69:69)+100</f>
        <v>100</v>
      </c>
      <c r="K14" s="613"/>
      <c r="L14" s="1141"/>
      <c r="M14" s="1132"/>
      <c r="N14" s="1132"/>
      <c r="O14" s="1140"/>
      <c r="P14" s="3266"/>
      <c r="Q14" s="1793">
        <f t="shared" si="6"/>
        <v>111</v>
      </c>
      <c r="R14" s="768" t="s">
        <v>17</v>
      </c>
      <c r="S14" s="769">
        <f t="shared" si="0"/>
        <v>100</v>
      </c>
      <c r="T14" s="768" t="s">
        <v>17</v>
      </c>
      <c r="U14" s="769">
        <f t="shared" si="1"/>
        <v>100</v>
      </c>
      <c r="V14" s="768" t="s">
        <v>17</v>
      </c>
      <c r="W14" s="769">
        <f t="shared" si="2"/>
        <v>100</v>
      </c>
      <c r="X14" s="770"/>
      <c r="Y14" s="3102"/>
      <c r="Z14" s="55">
        <f t="shared" si="7"/>
        <v>111</v>
      </c>
      <c r="AA14" s="771">
        <f t="shared" si="3"/>
        <v>1</v>
      </c>
      <c r="AB14" s="771">
        <f t="shared" si="4"/>
        <v>1</v>
      </c>
      <c r="AC14" s="771">
        <f t="shared" si="5"/>
        <v>1</v>
      </c>
    </row>
    <row r="15" spans="1:29" ht="57">
      <c r="A15" s="440" t="s">
        <v>2560</v>
      </c>
      <c r="B15" s="69" t="s">
        <v>2704</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259" t="s">
        <v>2561</v>
      </c>
      <c r="Q15" s="1808" t="str">
        <f t="shared" si="6"/>
        <v>产业集聚程度</v>
      </c>
      <c r="R15" s="772" t="s">
        <v>17</v>
      </c>
      <c r="S15" s="773">
        <f t="shared" si="0"/>
        <v>100</v>
      </c>
      <c r="T15" s="772" t="s">
        <v>17</v>
      </c>
      <c r="U15" s="773">
        <f t="shared" si="1"/>
        <v>100</v>
      </c>
      <c r="V15" s="772" t="s">
        <v>17</v>
      </c>
      <c r="W15" s="773">
        <f t="shared" si="2"/>
        <v>100</v>
      </c>
      <c r="X15" s="1811"/>
      <c r="Y15" s="3259" t="s">
        <v>2561</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41"/>
      <c r="M16" s="1132"/>
      <c r="N16" s="1132"/>
      <c r="O16" s="1140"/>
      <c r="P16" s="3260"/>
      <c r="Q16" s="1808"/>
      <c r="R16" s="772"/>
      <c r="S16" s="773"/>
      <c r="T16" s="772"/>
      <c r="U16" s="773"/>
      <c r="V16" s="772"/>
      <c r="W16" s="773"/>
      <c r="X16" s="1811"/>
      <c r="Y16" s="3260"/>
      <c r="Z16" s="1812"/>
      <c r="AA16" s="1809">
        <v>1</v>
      </c>
      <c r="AB16" s="1809">
        <v>1</v>
      </c>
      <c r="AC16" s="1809">
        <v>1</v>
      </c>
    </row>
    <row r="17" spans="1:29" ht="85.5">
      <c r="A17" s="428"/>
      <c r="B17" s="451" t="s">
        <v>2097</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260"/>
      <c r="Q17" s="1808" t="str">
        <f>B17</f>
        <v>交通便捷度</v>
      </c>
      <c r="R17" s="772" t="s">
        <v>17</v>
      </c>
      <c r="S17" s="773">
        <f>F17</f>
        <v>100</v>
      </c>
      <c r="T17" s="772" t="s">
        <v>17</v>
      </c>
      <c r="U17" s="773">
        <f>H17</f>
        <v>100</v>
      </c>
      <c r="V17" s="772" t="s">
        <v>17</v>
      </c>
      <c r="W17" s="773">
        <f>J17</f>
        <v>100</v>
      </c>
      <c r="X17" s="1811"/>
      <c r="Y17" s="3260"/>
      <c r="Z17" s="1812" t="str">
        <f>Q17</f>
        <v>交通便捷度</v>
      </c>
      <c r="AA17" s="1809">
        <f t="shared" si="3"/>
        <v>1</v>
      </c>
      <c r="AB17" s="1809">
        <f t="shared" si="4"/>
        <v>1</v>
      </c>
      <c r="AC17" s="1809">
        <f t="shared" si="5"/>
        <v>1</v>
      </c>
    </row>
    <row r="18" spans="1:29" ht="15">
      <c r="A18" s="428"/>
      <c r="B18" s="456"/>
      <c r="C18" s="2609"/>
      <c r="D18" s="450"/>
      <c r="E18" s="2611"/>
      <c r="F18" s="453"/>
      <c r="G18" s="2610"/>
      <c r="H18" s="448"/>
      <c r="I18" s="2611"/>
      <c r="J18" s="448"/>
      <c r="K18" s="615"/>
      <c r="L18" s="1141"/>
      <c r="M18" s="1132"/>
      <c r="N18" s="1132"/>
      <c r="O18" s="1140"/>
      <c r="P18" s="3260"/>
      <c r="Q18" s="1808"/>
      <c r="R18" s="772"/>
      <c r="S18" s="773"/>
      <c r="T18" s="772"/>
      <c r="U18" s="773"/>
      <c r="V18" s="772"/>
      <c r="W18" s="773"/>
      <c r="X18" s="1811"/>
      <c r="Y18" s="3260"/>
      <c r="Z18" s="1812"/>
      <c r="AA18" s="1809">
        <v>1</v>
      </c>
      <c r="AB18" s="1809">
        <v>1</v>
      </c>
      <c r="AC18" s="1809">
        <v>1</v>
      </c>
    </row>
    <row r="19" spans="1:29" ht="42.75">
      <c r="A19" s="428"/>
      <c r="B19" s="451" t="s">
        <v>2689</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260"/>
      <c r="Q19" s="1808" t="str">
        <f>B19</f>
        <v>公共配套设施</v>
      </c>
      <c r="R19" s="772" t="s">
        <v>17</v>
      </c>
      <c r="S19" s="773">
        <f>F19</f>
        <v>100</v>
      </c>
      <c r="T19" s="772" t="s">
        <v>17</v>
      </c>
      <c r="U19" s="773">
        <f>H19</f>
        <v>100</v>
      </c>
      <c r="V19" s="772" t="s">
        <v>17</v>
      </c>
      <c r="W19" s="773">
        <f>J19</f>
        <v>100</v>
      </c>
      <c r="X19" s="1811"/>
      <c r="Y19" s="3260"/>
      <c r="Z19" s="1812" t="str">
        <f>Q19</f>
        <v>公共配套设施</v>
      </c>
      <c r="AA19" s="1809">
        <f t="shared" si="3"/>
        <v>1</v>
      </c>
      <c r="AB19" s="1809">
        <f t="shared" si="4"/>
        <v>1</v>
      </c>
      <c r="AC19" s="1809">
        <f t="shared" si="5"/>
        <v>1</v>
      </c>
    </row>
    <row r="20" spans="1:29" ht="15">
      <c r="A20" s="428"/>
      <c r="B20" s="456"/>
      <c r="C20" s="447"/>
      <c r="D20" s="448"/>
      <c r="E20" s="2606"/>
      <c r="F20" s="449"/>
      <c r="G20" s="2605"/>
      <c r="H20" s="448"/>
      <c r="I20" s="2606"/>
      <c r="J20" s="448"/>
      <c r="K20" s="615"/>
      <c r="L20" s="1141"/>
      <c r="M20" s="1132"/>
      <c r="N20" s="1132"/>
      <c r="O20" s="1140"/>
      <c r="P20" s="3260"/>
      <c r="Q20" s="1808"/>
      <c r="R20" s="772"/>
      <c r="S20" s="773"/>
      <c r="T20" s="772"/>
      <c r="U20" s="773"/>
      <c r="V20" s="772"/>
      <c r="W20" s="773"/>
      <c r="X20" s="1811"/>
      <c r="Y20" s="3260"/>
      <c r="Z20" s="1812"/>
      <c r="AA20" s="1809">
        <v>1</v>
      </c>
      <c r="AB20" s="1809">
        <v>1</v>
      </c>
      <c r="AC20" s="1809">
        <v>1</v>
      </c>
    </row>
    <row r="21" spans="1:29" ht="28.5">
      <c r="A21" s="428"/>
      <c r="B21" s="1385" t="s">
        <v>2690</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260"/>
      <c r="Q21" s="1808" t="str">
        <f>B21</f>
        <v>基础设施水平</v>
      </c>
      <c r="R21" s="772" t="s">
        <v>17</v>
      </c>
      <c r="S21" s="773">
        <f>F21</f>
        <v>100</v>
      </c>
      <c r="T21" s="772" t="s">
        <v>17</v>
      </c>
      <c r="U21" s="773">
        <f>H21</f>
        <v>100</v>
      </c>
      <c r="V21" s="772" t="s">
        <v>17</v>
      </c>
      <c r="W21" s="773">
        <f>J21</f>
        <v>100</v>
      </c>
      <c r="X21" s="1811"/>
      <c r="Y21" s="3260"/>
      <c r="Z21" s="1812" t="str">
        <f>Q21</f>
        <v>基础设施水平</v>
      </c>
      <c r="AA21" s="1809">
        <f t="shared" ref="AA21" si="8">D21/F21</f>
        <v>1</v>
      </c>
      <c r="AB21" s="1809">
        <f t="shared" ref="AB21" si="9">D21/H21</f>
        <v>1</v>
      </c>
      <c r="AC21" s="1809">
        <f t="shared" ref="AC21" si="10">D21/J21</f>
        <v>1</v>
      </c>
    </row>
    <row r="22" spans="1:29" ht="15">
      <c r="A22" s="428"/>
      <c r="B22" s="1385"/>
      <c r="C22" s="2609"/>
      <c r="D22" s="448"/>
      <c r="E22" s="447"/>
      <c r="F22" s="449"/>
      <c r="G22" s="447"/>
      <c r="H22" s="448"/>
      <c r="I22" s="447"/>
      <c r="J22" s="448"/>
      <c r="K22" s="1384"/>
      <c r="L22" s="1141"/>
      <c r="M22" s="1132"/>
      <c r="N22" s="1132"/>
      <c r="O22" s="1140"/>
      <c r="P22" s="3260"/>
      <c r="Q22" s="1808"/>
      <c r="R22" s="772"/>
      <c r="S22" s="773"/>
      <c r="T22" s="772"/>
      <c r="U22" s="773"/>
      <c r="V22" s="772"/>
      <c r="W22" s="773"/>
      <c r="X22" s="1811"/>
      <c r="Y22" s="3260"/>
      <c r="Z22" s="1812"/>
      <c r="AA22" s="1809">
        <v>1</v>
      </c>
      <c r="AB22" s="1809">
        <v>1</v>
      </c>
      <c r="AC22" s="1809">
        <v>1</v>
      </c>
    </row>
    <row r="23" spans="1:29" ht="71.25">
      <c r="A23" s="428"/>
      <c r="B23" s="451" t="s">
        <v>2691</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260"/>
      <c r="Q23" s="1808" t="str">
        <f>B23</f>
        <v>环境质量</v>
      </c>
      <c r="R23" s="772" t="s">
        <v>17</v>
      </c>
      <c r="S23" s="773">
        <f>F23</f>
        <v>100</v>
      </c>
      <c r="T23" s="772" t="s">
        <v>17</v>
      </c>
      <c r="U23" s="773">
        <f>H23</f>
        <v>100</v>
      </c>
      <c r="V23" s="772" t="s">
        <v>17</v>
      </c>
      <c r="W23" s="773">
        <f>J23</f>
        <v>100</v>
      </c>
      <c r="X23" s="1811"/>
      <c r="Y23" s="3260"/>
      <c r="Z23" s="1812" t="str">
        <f>Q23</f>
        <v>环境质量</v>
      </c>
      <c r="AA23" s="1809">
        <f t="shared" si="3"/>
        <v>1</v>
      </c>
      <c r="AB23" s="1809">
        <f t="shared" si="4"/>
        <v>1</v>
      </c>
      <c r="AC23" s="1809">
        <f t="shared" si="5"/>
        <v>1</v>
      </c>
    </row>
    <row r="24" spans="1:29" ht="15">
      <c r="A24" s="428"/>
      <c r="B24" s="1385"/>
      <c r="C24" s="447"/>
      <c r="D24" s="448"/>
      <c r="E24" s="2606"/>
      <c r="F24" s="449"/>
      <c r="G24" s="2605"/>
      <c r="H24" s="448"/>
      <c r="I24" s="2606"/>
      <c r="J24" s="448"/>
      <c r="K24" s="615"/>
      <c r="L24" s="1141"/>
      <c r="M24" s="1132"/>
      <c r="N24" s="1132"/>
      <c r="O24" s="1140"/>
      <c r="P24" s="3260"/>
      <c r="Q24" s="1808"/>
      <c r="R24" s="772"/>
      <c r="S24" s="773"/>
      <c r="T24" s="772"/>
      <c r="U24" s="773"/>
      <c r="V24" s="772"/>
      <c r="W24" s="773"/>
      <c r="X24" s="1811"/>
      <c r="Y24" s="3260"/>
      <c r="Z24" s="1812"/>
      <c r="AA24" s="1809">
        <v>1</v>
      </c>
      <c r="AB24" s="1809">
        <v>1</v>
      </c>
      <c r="AC24" s="1809">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260"/>
      <c r="Q25" s="1808">
        <f>B25</f>
        <v>111</v>
      </c>
      <c r="R25" s="772" t="s">
        <v>17</v>
      </c>
      <c r="S25" s="773">
        <f>F25</f>
        <v>100</v>
      </c>
      <c r="T25" s="772" t="s">
        <v>17</v>
      </c>
      <c r="U25" s="773">
        <f>H25</f>
        <v>100</v>
      </c>
      <c r="V25" s="772" t="s">
        <v>17</v>
      </c>
      <c r="W25" s="773">
        <f>J25</f>
        <v>100</v>
      </c>
      <c r="X25" s="1811"/>
      <c r="Y25" s="3260"/>
      <c r="Z25" s="1812">
        <f>Q25</f>
        <v>111</v>
      </c>
      <c r="AA25" s="1809">
        <f t="shared" si="3"/>
        <v>1</v>
      </c>
      <c r="AB25" s="1809">
        <f t="shared" si="4"/>
        <v>1</v>
      </c>
      <c r="AC25" s="1809">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260"/>
      <c r="Q26" s="1808">
        <f t="shared" ref="Q26:Q40" si="11">B26</f>
        <v>111</v>
      </c>
      <c r="R26" s="772" t="s">
        <v>17</v>
      </c>
      <c r="S26" s="773">
        <f>F26</f>
        <v>100</v>
      </c>
      <c r="T26" s="772" t="s">
        <v>17</v>
      </c>
      <c r="U26" s="773">
        <f>H26</f>
        <v>100</v>
      </c>
      <c r="V26" s="772" t="s">
        <v>17</v>
      </c>
      <c r="W26" s="773">
        <f>J26</f>
        <v>100</v>
      </c>
      <c r="X26" s="1811"/>
      <c r="Y26" s="3260"/>
      <c r="Z26" s="1812">
        <f>Q26</f>
        <v>111</v>
      </c>
      <c r="AA26" s="1809">
        <f t="shared" si="3"/>
        <v>1</v>
      </c>
      <c r="AB26" s="1809">
        <f t="shared" si="4"/>
        <v>1</v>
      </c>
      <c r="AC26" s="1809">
        <f t="shared" si="5"/>
        <v>1</v>
      </c>
    </row>
    <row r="27" spans="1:29" s="117" customFormat="1" ht="15">
      <c r="A27" s="431"/>
      <c r="B27" s="1387">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260"/>
      <c r="Q27" s="1793">
        <f t="shared" si="11"/>
        <v>111</v>
      </c>
      <c r="R27" s="768" t="s">
        <v>17</v>
      </c>
      <c r="S27" s="769">
        <f>F27</f>
        <v>100</v>
      </c>
      <c r="T27" s="768" t="s">
        <v>17</v>
      </c>
      <c r="U27" s="769">
        <f>H27</f>
        <v>100</v>
      </c>
      <c r="V27" s="768" t="s">
        <v>17</v>
      </c>
      <c r="W27" s="769">
        <f>J27</f>
        <v>100</v>
      </c>
      <c r="X27" s="770"/>
      <c r="Y27" s="3260"/>
      <c r="Z27" s="55">
        <f>Q27</f>
        <v>111</v>
      </c>
      <c r="AA27" s="1809">
        <f>D27/F27</f>
        <v>1</v>
      </c>
      <c r="AB27" s="1809">
        <f>D27/H27</f>
        <v>1</v>
      </c>
      <c r="AC27" s="1809">
        <f>D27/J27</f>
        <v>1</v>
      </c>
    </row>
    <row r="28" spans="1:29" ht="15.75" thickBot="1">
      <c r="A28" s="436"/>
      <c r="B28" s="1387">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260"/>
      <c r="Q28" s="1808">
        <f t="shared" si="11"/>
        <v>111</v>
      </c>
      <c r="R28" s="772" t="s">
        <v>17</v>
      </c>
      <c r="S28" s="773">
        <f t="shared" ref="S28:S40" si="12">F28</f>
        <v>100</v>
      </c>
      <c r="T28" s="772" t="s">
        <v>17</v>
      </c>
      <c r="U28" s="773">
        <f t="shared" ref="U28:U40" si="13">H28</f>
        <v>100</v>
      </c>
      <c r="V28" s="772" t="s">
        <v>17</v>
      </c>
      <c r="W28" s="773">
        <f t="shared" ref="W28:W40" si="14">J28</f>
        <v>100</v>
      </c>
      <c r="X28" s="1811"/>
      <c r="Y28" s="3260"/>
      <c r="Z28" s="1812">
        <f t="shared" ref="Z28:Z40" si="15">Q28</f>
        <v>111</v>
      </c>
      <c r="AA28" s="1809">
        <f t="shared" si="3"/>
        <v>1</v>
      </c>
      <c r="AB28" s="1809">
        <f t="shared" si="4"/>
        <v>1</v>
      </c>
      <c r="AC28" s="1809">
        <f t="shared" si="5"/>
        <v>1</v>
      </c>
    </row>
    <row r="29" spans="1:29" ht="28.5">
      <c r="A29" s="466" t="s">
        <v>2564</v>
      </c>
      <c r="B29" s="71" t="s">
        <v>2694</v>
      </c>
      <c r="C29" s="2679"/>
      <c r="D29" s="467">
        <v>100</v>
      </c>
      <c r="E29" s="2679"/>
      <c r="F29" s="461">
        <f>SUMIF(88:88,E29,89:89)-SUMIF(88:88,C29,89:89)+100</f>
        <v>100</v>
      </c>
      <c r="G29" s="2679"/>
      <c r="H29" s="435">
        <f>SUMIF(88:88,G29,89:89)-SUMIF(88:88,C29,89:89)+100</f>
        <v>100</v>
      </c>
      <c r="I29" s="2679"/>
      <c r="J29" s="467">
        <f>SUMIF(88:88,I29,89:89)-SUMIF(88:88,C29,89:89)+100</f>
        <v>100</v>
      </c>
      <c r="K29" s="612"/>
      <c r="L29" s="1141"/>
      <c r="M29" s="1132"/>
      <c r="N29" s="1132"/>
      <c r="O29" s="1140"/>
      <c r="P29" s="3317" t="s">
        <v>2566</v>
      </c>
      <c r="Q29" s="1808" t="str">
        <f t="shared" si="11"/>
        <v>建筑类型</v>
      </c>
      <c r="R29" s="772" t="s">
        <v>17</v>
      </c>
      <c r="S29" s="773">
        <f t="shared" si="12"/>
        <v>100</v>
      </c>
      <c r="T29" s="772" t="s">
        <v>17</v>
      </c>
      <c r="U29" s="773">
        <f t="shared" si="13"/>
        <v>100</v>
      </c>
      <c r="V29" s="772" t="s">
        <v>17</v>
      </c>
      <c r="W29" s="773">
        <f t="shared" si="14"/>
        <v>100</v>
      </c>
      <c r="X29" s="1811"/>
      <c r="Y29" s="3264" t="s">
        <v>2566</v>
      </c>
      <c r="Z29" s="1812" t="str">
        <f t="shared" si="15"/>
        <v>建筑类型</v>
      </c>
      <c r="AA29" s="1809">
        <f t="shared" si="3"/>
        <v>1</v>
      </c>
      <c r="AB29" s="1809">
        <f t="shared" si="4"/>
        <v>1</v>
      </c>
      <c r="AC29" s="1809">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264"/>
      <c r="Q30" s="774" t="str">
        <f t="shared" si="11"/>
        <v>项目建筑规模</v>
      </c>
      <c r="R30" s="775" t="s">
        <v>17</v>
      </c>
      <c r="S30" s="776" t="e">
        <f t="shared" si="12"/>
        <v>#N/A</v>
      </c>
      <c r="T30" s="775" t="s">
        <v>17</v>
      </c>
      <c r="U30" s="776" t="e">
        <f t="shared" si="13"/>
        <v>#N/A</v>
      </c>
      <c r="V30" s="775" t="s">
        <v>17</v>
      </c>
      <c r="W30" s="776" t="e">
        <f t="shared" si="14"/>
        <v>#N/A</v>
      </c>
      <c r="X30" s="777"/>
      <c r="Y30" s="3264"/>
      <c r="Z30" s="778" t="str">
        <f t="shared" si="15"/>
        <v>项目建筑规模</v>
      </c>
      <c r="AA30" s="1809" t="e">
        <f t="shared" si="3"/>
        <v>#N/A</v>
      </c>
      <c r="AB30" s="1809" t="e">
        <f t="shared" si="4"/>
        <v>#N/A</v>
      </c>
      <c r="AC30" s="1809"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264"/>
      <c r="Q31" s="1808" t="str">
        <f t="shared" si="11"/>
        <v>建筑结构</v>
      </c>
      <c r="R31" s="772" t="s">
        <v>17</v>
      </c>
      <c r="S31" s="773">
        <f t="shared" si="12"/>
        <v>100</v>
      </c>
      <c r="T31" s="772" t="s">
        <v>17</v>
      </c>
      <c r="U31" s="773">
        <f t="shared" si="13"/>
        <v>100</v>
      </c>
      <c r="V31" s="772" t="s">
        <v>17</v>
      </c>
      <c r="W31" s="773">
        <f t="shared" si="14"/>
        <v>100</v>
      </c>
      <c r="X31" s="1811"/>
      <c r="Y31" s="3264"/>
      <c r="Z31" s="1812" t="str">
        <f t="shared" si="15"/>
        <v>建筑结构</v>
      </c>
      <c r="AA31" s="1809">
        <f t="shared" si="3"/>
        <v>1</v>
      </c>
      <c r="AB31" s="1809">
        <f t="shared" si="4"/>
        <v>1</v>
      </c>
      <c r="AC31" s="1809">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264"/>
      <c r="Q32" s="1808" t="str">
        <f t="shared" si="11"/>
        <v>公共部分装修</v>
      </c>
      <c r="R32" s="772" t="s">
        <v>17</v>
      </c>
      <c r="S32" s="773">
        <f t="shared" si="12"/>
        <v>100</v>
      </c>
      <c r="T32" s="772" t="s">
        <v>17</v>
      </c>
      <c r="U32" s="773">
        <f t="shared" si="13"/>
        <v>100</v>
      </c>
      <c r="V32" s="772" t="s">
        <v>17</v>
      </c>
      <c r="W32" s="773">
        <f t="shared" si="14"/>
        <v>100</v>
      </c>
      <c r="X32" s="1811"/>
      <c r="Y32" s="3264"/>
      <c r="Z32" s="1812" t="str">
        <f t="shared" si="15"/>
        <v>公共部分装修</v>
      </c>
      <c r="AA32" s="1809">
        <f t="shared" si="3"/>
        <v>1</v>
      </c>
      <c r="AB32" s="1809">
        <f t="shared" si="4"/>
        <v>1</v>
      </c>
      <c r="AC32" s="1809">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264"/>
      <c r="Q33" s="1808" t="str">
        <f t="shared" si="11"/>
        <v>成新度</v>
      </c>
      <c r="R33" s="772" t="s">
        <v>17</v>
      </c>
      <c r="S33" s="773" t="e">
        <f t="shared" si="12"/>
        <v>#N/A</v>
      </c>
      <c r="T33" s="772" t="s">
        <v>17</v>
      </c>
      <c r="U33" s="773" t="e">
        <f t="shared" si="13"/>
        <v>#N/A</v>
      </c>
      <c r="V33" s="772" t="s">
        <v>17</v>
      </c>
      <c r="W33" s="773" t="e">
        <f t="shared" si="14"/>
        <v>#N/A</v>
      </c>
      <c r="X33" s="1811"/>
      <c r="Y33" s="3264"/>
      <c r="Z33" s="1812" t="str">
        <f t="shared" si="15"/>
        <v>成新度</v>
      </c>
      <c r="AA33" s="1809" t="e">
        <f t="shared" si="3"/>
        <v>#N/A</v>
      </c>
      <c r="AB33" s="1809" t="e">
        <f t="shared" si="4"/>
        <v>#N/A</v>
      </c>
      <c r="AC33" s="1809"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264"/>
      <c r="Q34" s="1793" t="str">
        <f t="shared" si="11"/>
        <v>物业管理</v>
      </c>
      <c r="R34" s="768" t="s">
        <v>17</v>
      </c>
      <c r="S34" s="769">
        <f t="shared" si="12"/>
        <v>100</v>
      </c>
      <c r="T34" s="768" t="s">
        <v>17</v>
      </c>
      <c r="U34" s="769">
        <f t="shared" si="13"/>
        <v>100</v>
      </c>
      <c r="V34" s="768" t="s">
        <v>17</v>
      </c>
      <c r="W34" s="769">
        <f t="shared" si="14"/>
        <v>100</v>
      </c>
      <c r="X34" s="770"/>
      <c r="Y34" s="3264"/>
      <c r="Z34" s="55" t="str">
        <f t="shared" si="15"/>
        <v>物业管理</v>
      </c>
      <c r="AA34" s="771">
        <f t="shared" si="3"/>
        <v>1</v>
      </c>
      <c r="AB34" s="771">
        <f t="shared" si="4"/>
        <v>1</v>
      </c>
      <c r="AC34" s="771">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264" t="s">
        <v>2566</v>
      </c>
      <c r="Q35" s="1808" t="str">
        <f t="shared" si="11"/>
        <v>市政基础设施</v>
      </c>
      <c r="R35" s="772" t="s">
        <v>17</v>
      </c>
      <c r="S35" s="773">
        <f t="shared" si="12"/>
        <v>100</v>
      </c>
      <c r="T35" s="772" t="s">
        <v>17</v>
      </c>
      <c r="U35" s="773">
        <f t="shared" si="13"/>
        <v>100</v>
      </c>
      <c r="V35" s="772" t="s">
        <v>17</v>
      </c>
      <c r="W35" s="773">
        <f t="shared" si="14"/>
        <v>100</v>
      </c>
      <c r="X35" s="1811"/>
      <c r="Y35" s="3264" t="s">
        <v>2566</v>
      </c>
      <c r="Z35" s="1812" t="str">
        <f t="shared" si="15"/>
        <v>市政基础设施</v>
      </c>
      <c r="AA35" s="1809">
        <f t="shared" si="3"/>
        <v>1</v>
      </c>
      <c r="AB35" s="1809">
        <f t="shared" si="4"/>
        <v>1</v>
      </c>
      <c r="AC35" s="1809">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264"/>
      <c r="Q36" s="1808" t="str">
        <f t="shared" si="11"/>
        <v>内部装修</v>
      </c>
      <c r="R36" s="772" t="s">
        <v>17</v>
      </c>
      <c r="S36" s="773">
        <f t="shared" si="12"/>
        <v>100</v>
      </c>
      <c r="T36" s="772" t="s">
        <v>17</v>
      </c>
      <c r="U36" s="773">
        <f t="shared" si="13"/>
        <v>100</v>
      </c>
      <c r="V36" s="772" t="s">
        <v>17</v>
      </c>
      <c r="W36" s="773">
        <f t="shared" si="14"/>
        <v>100</v>
      </c>
      <c r="X36" s="1811"/>
      <c r="Y36" s="3264"/>
      <c r="Z36" s="1812" t="str">
        <f t="shared" si="15"/>
        <v>内部装修</v>
      </c>
      <c r="AA36" s="1809">
        <f t="shared" si="3"/>
        <v>1</v>
      </c>
      <c r="AB36" s="1809">
        <f t="shared" si="4"/>
        <v>1</v>
      </c>
      <c r="AC36" s="1809">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264"/>
      <c r="Q37" s="1808" t="str">
        <f t="shared" si="11"/>
        <v>内部装修状况</v>
      </c>
      <c r="R37" s="772" t="s">
        <v>17</v>
      </c>
      <c r="S37" s="773">
        <f t="shared" si="12"/>
        <v>100</v>
      </c>
      <c r="T37" s="772" t="s">
        <v>17</v>
      </c>
      <c r="U37" s="773">
        <f t="shared" si="13"/>
        <v>100</v>
      </c>
      <c r="V37" s="772" t="s">
        <v>17</v>
      </c>
      <c r="W37" s="773">
        <f t="shared" si="14"/>
        <v>100</v>
      </c>
      <c r="X37" s="1811"/>
      <c r="Y37" s="3264"/>
      <c r="Z37" s="1812" t="str">
        <f t="shared" si="15"/>
        <v>内部装修状况</v>
      </c>
      <c r="AA37" s="1809">
        <f t="shared" si="3"/>
        <v>1</v>
      </c>
      <c r="AB37" s="1809">
        <f t="shared" si="4"/>
        <v>1</v>
      </c>
      <c r="AC37" s="1809">
        <f t="shared" si="5"/>
        <v>1</v>
      </c>
    </row>
    <row r="38" spans="1:29" s="471" customFormat="1" ht="15">
      <c r="A38" s="468"/>
      <c r="B38" s="1387">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264"/>
      <c r="Q38" s="774">
        <f t="shared" si="11"/>
        <v>111</v>
      </c>
      <c r="R38" s="775" t="s">
        <v>17</v>
      </c>
      <c r="S38" s="776">
        <f t="shared" si="12"/>
        <v>100</v>
      </c>
      <c r="T38" s="775" t="s">
        <v>17</v>
      </c>
      <c r="U38" s="776">
        <f t="shared" si="13"/>
        <v>100</v>
      </c>
      <c r="V38" s="775" t="s">
        <v>17</v>
      </c>
      <c r="W38" s="776">
        <f t="shared" si="14"/>
        <v>100</v>
      </c>
      <c r="X38" s="777"/>
      <c r="Y38" s="3264"/>
      <c r="Z38" s="778">
        <f t="shared" si="15"/>
        <v>111</v>
      </c>
      <c r="AA38" s="1809">
        <f t="shared" si="3"/>
        <v>1</v>
      </c>
      <c r="AB38" s="1809">
        <f t="shared" si="4"/>
        <v>1</v>
      </c>
      <c r="AC38" s="1809">
        <f t="shared" si="5"/>
        <v>1</v>
      </c>
    </row>
    <row r="39" spans="1:29" ht="15">
      <c r="A39" s="472"/>
      <c r="B39" s="1387">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264"/>
      <c r="Q39" s="1808">
        <f t="shared" si="11"/>
        <v>111</v>
      </c>
      <c r="R39" s="772" t="s">
        <v>17</v>
      </c>
      <c r="S39" s="773">
        <f t="shared" si="12"/>
        <v>100</v>
      </c>
      <c r="T39" s="772" t="s">
        <v>17</v>
      </c>
      <c r="U39" s="773">
        <f t="shared" si="13"/>
        <v>100</v>
      </c>
      <c r="V39" s="772" t="s">
        <v>17</v>
      </c>
      <c r="W39" s="773">
        <f t="shared" si="14"/>
        <v>100</v>
      </c>
      <c r="X39" s="1811"/>
      <c r="Y39" s="3264"/>
      <c r="Z39" s="1812">
        <f t="shared" si="15"/>
        <v>111</v>
      </c>
      <c r="AA39" s="1809">
        <f t="shared" si="3"/>
        <v>1</v>
      </c>
      <c r="AB39" s="1809">
        <f t="shared" si="4"/>
        <v>1</v>
      </c>
      <c r="AC39" s="1809">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265"/>
      <c r="Q40" s="1808">
        <f t="shared" si="11"/>
        <v>111</v>
      </c>
      <c r="R40" s="772" t="s">
        <v>17</v>
      </c>
      <c r="S40" s="773">
        <f t="shared" si="12"/>
        <v>100</v>
      </c>
      <c r="T40" s="772" t="s">
        <v>17</v>
      </c>
      <c r="U40" s="773">
        <f t="shared" si="13"/>
        <v>100</v>
      </c>
      <c r="V40" s="772" t="s">
        <v>17</v>
      </c>
      <c r="W40" s="773">
        <f t="shared" si="14"/>
        <v>100</v>
      </c>
      <c r="X40" s="1811"/>
      <c r="Y40" s="3265"/>
      <c r="Z40" s="1812">
        <f t="shared" si="15"/>
        <v>111</v>
      </c>
      <c r="AA40" s="1809">
        <f t="shared" si="3"/>
        <v>1</v>
      </c>
      <c r="AB40" s="1809">
        <f t="shared" si="4"/>
        <v>1</v>
      </c>
      <c r="AC40" s="1809">
        <f t="shared" si="5"/>
        <v>1</v>
      </c>
    </row>
    <row r="41" spans="1:29" ht="15">
      <c r="A41" s="479" t="s">
        <v>2578</v>
      </c>
      <c r="B41" s="480"/>
      <c r="C41" s="1408" t="s">
        <v>1</v>
      </c>
      <c r="D41" s="1409"/>
      <c r="E41" s="1410"/>
      <c r="F41" s="1411"/>
      <c r="G41" s="1412"/>
      <c r="H41" s="1413"/>
      <c r="I41" s="1410"/>
      <c r="J41" s="1413"/>
      <c r="K41" s="781"/>
      <c r="L41" s="1144"/>
      <c r="M41" s="1145"/>
      <c r="N41" s="1132"/>
      <c r="O41" s="1145"/>
      <c r="P41" s="3266" t="str">
        <f>A41</f>
        <v>成交单价（元/平方米）</v>
      </c>
      <c r="Q41" s="3266"/>
      <c r="R41" s="3267">
        <f>E41</f>
        <v>0</v>
      </c>
      <c r="S41" s="3267"/>
      <c r="T41" s="3267">
        <f>G41</f>
        <v>0</v>
      </c>
      <c r="U41" s="3267"/>
      <c r="V41" s="3267">
        <f>I41</f>
        <v>0</v>
      </c>
      <c r="W41" s="3267"/>
      <c r="X41" s="757"/>
      <c r="Y41" s="779"/>
      <c r="Z41" s="757"/>
      <c r="AA41" s="757"/>
      <c r="AB41" s="757"/>
      <c r="AC41" s="757"/>
    </row>
    <row r="42" spans="1:29" ht="15.75" thickBot="1">
      <c r="A42" s="486" t="s">
        <v>2670</v>
      </c>
      <c r="B42" s="487"/>
      <c r="C42" s="1414" t="e">
        <f>R43</f>
        <v>#DIV/0!</v>
      </c>
      <c r="D42" s="1415"/>
      <c r="E42" s="1416" t="e">
        <f>R42</f>
        <v>#DIV/0!</v>
      </c>
      <c r="F42" s="1416"/>
      <c r="G42" s="1414" t="e">
        <f>T42</f>
        <v>#DIV/0!</v>
      </c>
      <c r="H42" s="1415"/>
      <c r="I42" s="1416" t="e">
        <f>V42</f>
        <v>#DIV/0!</v>
      </c>
      <c r="J42" s="1415"/>
      <c r="K42" s="782"/>
      <c r="L42" s="1144"/>
      <c r="M42" s="1145"/>
      <c r="N42" s="1132"/>
      <c r="O42" s="1145"/>
      <c r="P42" s="3266" t="str">
        <f>A42</f>
        <v>比较价值（元/平方米）</v>
      </c>
      <c r="Q42" s="3266"/>
      <c r="R42" s="3267" t="e">
        <f>IF(F1="售价",ROUND(PRODUCT(R41,AA7:AA40),0),ROUND(PRODUCT(R41,AA7:AA40),1))</f>
        <v>#DIV/0!</v>
      </c>
      <c r="S42" s="3267"/>
      <c r="T42" s="3267" t="e">
        <f>IF(F1="售价",ROUND(PRODUCT(T41,AB7:AB40),0),ROUND(PRODUCT(T41,AB7:AB40),1))</f>
        <v>#DIV/0!</v>
      </c>
      <c r="U42" s="3267"/>
      <c r="V42" s="3267" t="e">
        <f>IF(F1="售价",ROUND(PRODUCT(V41,AC7:AC40),0),ROUND(PRODUCT(V41,AC7:AC40),1))</f>
        <v>#DIV/0!</v>
      </c>
      <c r="W42" s="3267"/>
      <c r="X42" s="757"/>
      <c r="Y42" s="757"/>
      <c r="Z42" s="757"/>
      <c r="AA42" s="757"/>
      <c r="AB42" s="757"/>
      <c r="AC42" s="757"/>
    </row>
    <row r="43" spans="1:29" ht="15.75" thickBot="1">
      <c r="A43" s="492" t="s">
        <v>2671</v>
      </c>
      <c r="B43" s="493"/>
      <c r="C43" s="1418" t="e">
        <f>R43</f>
        <v>#DIV/0!</v>
      </c>
      <c r="D43" s="1418"/>
      <c r="E43" s="1418"/>
      <c r="F43" s="1418"/>
      <c r="G43" s="1418"/>
      <c r="H43" s="1418"/>
      <c r="I43" s="1418"/>
      <c r="J43" s="1418"/>
      <c r="K43" s="783"/>
      <c r="L43" s="1144"/>
      <c r="M43" s="1145"/>
      <c r="N43" s="1145"/>
      <c r="O43" s="1145"/>
      <c r="P43" s="3268" t="str">
        <f>A43</f>
        <v>估价对象XX用房的比较价值（楼面单价，元/平方米）</v>
      </c>
      <c r="Q43" s="3269"/>
      <c r="R43" s="3270" t="e">
        <f>IF(F1="售价",ROUND(AVERAGE(R42:V42),0),ROUND(AVERAGE(R42:V42),1))</f>
        <v>#DIV/0!</v>
      </c>
      <c r="S43" s="3270"/>
      <c r="T43" s="3270"/>
      <c r="U43" s="3270"/>
      <c r="V43" s="3270"/>
      <c r="W43" s="3270"/>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5"/>
      <c r="N46" s="1145"/>
      <c r="O46" s="1145"/>
    </row>
    <row r="47" spans="1:29" ht="13.5" customHeight="1">
      <c r="A47" s="1145"/>
      <c r="B47" s="1145"/>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2675</v>
      </c>
      <c r="B51" s="757"/>
      <c r="C51" s="762"/>
      <c r="D51" s="762"/>
      <c r="E51" s="762"/>
      <c r="F51" s="763"/>
      <c r="G51" s="763"/>
      <c r="H51" s="762"/>
      <c r="I51" s="762"/>
      <c r="J51" s="762"/>
      <c r="K51" s="1161"/>
      <c r="L51" s="1162"/>
      <c r="M51" s="1160"/>
      <c r="N51" s="1160"/>
      <c r="O51" s="1160"/>
      <c r="P51" s="503"/>
      <c r="Q51" s="504"/>
    </row>
    <row r="52" spans="1:17" s="508" customFormat="1" ht="15">
      <c r="A52" s="505" t="s">
        <v>2549</v>
      </c>
      <c r="B52" s="506"/>
      <c r="C52" s="1575" t="str">
        <f>YEAR(C7)&amp;"-"&amp;MONTH(C7)</f>
        <v>2019-4</v>
      </c>
      <c r="D52" s="1576">
        <f>EDATE(C52,-1)</f>
        <v>43525</v>
      </c>
      <c r="E52" s="1576">
        <f t="shared" ref="E52:O52" si="16">EDATE(D52,-1)</f>
        <v>43497</v>
      </c>
      <c r="F52" s="1576">
        <f t="shared" si="16"/>
        <v>43466</v>
      </c>
      <c r="G52" s="1576">
        <f t="shared" si="16"/>
        <v>43435</v>
      </c>
      <c r="H52" s="1576">
        <f t="shared" si="16"/>
        <v>43405</v>
      </c>
      <c r="I52" s="1576">
        <f t="shared" si="16"/>
        <v>43374</v>
      </c>
      <c r="J52" s="1576">
        <f t="shared" si="16"/>
        <v>43344</v>
      </c>
      <c r="K52" s="1576">
        <f t="shared" si="16"/>
        <v>43313</v>
      </c>
      <c r="L52" s="1576">
        <f t="shared" si="16"/>
        <v>43282</v>
      </c>
      <c r="M52" s="1576">
        <f t="shared" si="16"/>
        <v>43252</v>
      </c>
      <c r="N52" s="1576">
        <f t="shared" si="16"/>
        <v>43221</v>
      </c>
      <c r="O52" s="1576">
        <f t="shared" si="16"/>
        <v>43191</v>
      </c>
      <c r="P52" s="507"/>
    </row>
    <row r="53" spans="1:17" s="117" customFormat="1" ht="15">
      <c r="A53" s="509"/>
      <c r="B53" s="510"/>
      <c r="C53" s="1574">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2"/>
      <c r="O55" s="1152"/>
      <c r="P55" s="526"/>
      <c r="Q55" s="504"/>
    </row>
    <row r="56" spans="1:17" s="117"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2589</v>
      </c>
      <c r="B57" s="528" t="s">
        <v>2555</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3"/>
      <c r="N76" s="1154"/>
      <c r="O76" s="115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37"/>
      <c r="B87" s="569"/>
      <c r="C87" s="570"/>
      <c r="D87" s="570"/>
      <c r="E87" s="570"/>
      <c r="F87" s="570"/>
      <c r="G87" s="591"/>
      <c r="H87" s="591"/>
      <c r="I87" s="591"/>
      <c r="J87" s="591"/>
      <c r="K87" s="591"/>
      <c r="L87" s="591"/>
      <c r="M87" s="592"/>
      <c r="N87" s="1154"/>
      <c r="O87" s="1154"/>
      <c r="P87" s="45"/>
      <c r="Q87" s="504"/>
    </row>
    <row r="88" spans="1:17">
      <c r="A88" s="527" t="s">
        <v>2564</v>
      </c>
      <c r="B88" s="528" t="s">
        <v>2613</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2615</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2617</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2618</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2619</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2621</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37"/>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2" priority="16" stopIfTrue="1" operator="containsText" text="超过">
      <formula>NOT(ISERROR(SEARCH("超过",F46)))</formula>
    </cfRule>
  </conditionalFormatting>
  <conditionalFormatting sqref="H48">
    <cfRule type="containsText" dxfId="101" priority="15" stopIfTrue="1" operator="containsText" text="超过">
      <formula>NOT(ISERROR(SEARCH("超过",H48)))</formula>
    </cfRule>
  </conditionalFormatting>
  <conditionalFormatting sqref="F48">
    <cfRule type="containsText" dxfId="100" priority="14" stopIfTrue="1" operator="containsText" text="超过">
      <formula>NOT(ISERROR(SEARCH("超过",F48)))</formula>
    </cfRule>
  </conditionalFormatting>
  <conditionalFormatting sqref="F47 H47">
    <cfRule type="containsText" dxfId="99" priority="13" stopIfTrue="1" operator="containsText" text="超过">
      <formula>NOT(ISERROR(SEARCH("超过",F47)))</formula>
    </cfRule>
  </conditionalFormatting>
  <conditionalFormatting sqref="E46">
    <cfRule type="expression" dxfId="98" priority="12" stopIfTrue="1">
      <formula>$F$46="超过30%"</formula>
    </cfRule>
  </conditionalFormatting>
  <conditionalFormatting sqref="E47">
    <cfRule type="expression" dxfId="97" priority="11" stopIfTrue="1">
      <formula>$F$47="超过20%"</formula>
    </cfRule>
  </conditionalFormatting>
  <conditionalFormatting sqref="E48">
    <cfRule type="expression" dxfId="96" priority="10" stopIfTrue="1">
      <formula>$F$48="超过30%"</formula>
    </cfRule>
  </conditionalFormatting>
  <conditionalFormatting sqref="G48">
    <cfRule type="expression" dxfId="95" priority="9" stopIfTrue="1">
      <formula>$H$48="超过30%"</formula>
    </cfRule>
  </conditionalFormatting>
  <conditionalFormatting sqref="G46">
    <cfRule type="expression" dxfId="94" priority="8" stopIfTrue="1">
      <formula>$H$46="超过30%"</formula>
    </cfRule>
  </conditionalFormatting>
  <conditionalFormatting sqref="G47">
    <cfRule type="expression" dxfId="93" priority="7" stopIfTrue="1">
      <formula>$H$47="超过20%"</formula>
    </cfRule>
  </conditionalFormatting>
  <conditionalFormatting sqref="J46">
    <cfRule type="containsText" dxfId="92" priority="6" stopIfTrue="1" operator="containsText" text="超过">
      <formula>NOT(ISERROR(SEARCH("超过",J46)))</formula>
    </cfRule>
  </conditionalFormatting>
  <conditionalFormatting sqref="J48">
    <cfRule type="containsText" dxfId="91" priority="5" stopIfTrue="1" operator="containsText" text="超过">
      <formula>NOT(ISERROR(SEARCH("超过",J48)))</formula>
    </cfRule>
  </conditionalFormatting>
  <conditionalFormatting sqref="J47">
    <cfRule type="containsText" dxfId="90" priority="4" stopIfTrue="1" operator="containsText" text="超过">
      <formula>NOT(ISERROR(SEARCH("超过",J47)))</formula>
    </cfRule>
  </conditionalFormatting>
  <conditionalFormatting sqref="I46">
    <cfRule type="expression" dxfId="89" priority="3" stopIfTrue="1">
      <formula>$J$46="超过30%"</formula>
    </cfRule>
  </conditionalFormatting>
  <conditionalFormatting sqref="I47">
    <cfRule type="expression" dxfId="88" priority="2" stopIfTrue="1">
      <formula>$J$47="超过20%"</formula>
    </cfRule>
  </conditionalFormatting>
  <conditionalFormatting sqref="I48">
    <cfRule type="expression" dxfId="8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2708</v>
      </c>
      <c r="B1" s="1620"/>
      <c r="C1" s="1621" t="s">
        <v>2531</v>
      </c>
      <c r="D1" s="1622"/>
      <c r="E1" s="1623"/>
      <c r="F1" s="2585"/>
      <c r="G1" s="1624" t="s">
        <v>2644</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2328</v>
      </c>
      <c r="B2" s="1419" t="e">
        <f ca="1">IF(C2="——",IF(B37="元/平方米",ROUND(C39*D3/10000,0),ROUND(F3*C39/10000,0)),IF(B37="元/平方米",ROUND(C39*D3/10000,0),ROUND(F3*C39/10000,0))-D2)</f>
        <v>#DIV/0!</v>
      </c>
      <c r="C2" s="2587"/>
      <c r="D2" s="1125" t="e">
        <f ca="1">SUMIF(INDIRECT("'"&amp;F2&amp;"'"&amp;"!A:A"),"承租人权益价值",INDIRECT("'"&amp;F2&amp;"'"&amp;"!c:c"))</f>
        <v>#REF!</v>
      </c>
      <c r="E2" s="2588" t="s">
        <v>2329</v>
      </c>
      <c r="F2" s="2589"/>
      <c r="G2" s="1126"/>
      <c r="H2" s="1126"/>
      <c r="I2" s="1126"/>
      <c r="J2" s="1126"/>
      <c r="K2" s="1128"/>
      <c r="L2" s="1129"/>
      <c r="M2" s="1130"/>
      <c r="N2" s="1130"/>
      <c r="O2" s="1130"/>
      <c r="P2" s="1420"/>
      <c r="Q2" s="766"/>
      <c r="R2" s="766"/>
      <c r="S2" s="766"/>
      <c r="T2" s="766"/>
      <c r="U2" s="766"/>
      <c r="V2" s="766"/>
      <c r="W2" s="766"/>
      <c r="X2" s="766"/>
      <c r="Y2" s="766"/>
      <c r="Z2" s="766"/>
      <c r="AA2" s="766"/>
      <c r="AB2" s="766"/>
      <c r="AC2" s="767"/>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6"/>
      <c r="H3" s="1126"/>
      <c r="I3" s="1126"/>
      <c r="J3" s="1126"/>
      <c r="K3" s="1128"/>
      <c r="L3" s="1129"/>
      <c r="M3" s="1130"/>
      <c r="N3" s="1130"/>
      <c r="O3" s="1130"/>
      <c r="P3" s="1420"/>
      <c r="Q3" s="766"/>
      <c r="R3" s="766"/>
      <c r="S3" s="766"/>
      <c r="T3" s="766"/>
      <c r="U3" s="766"/>
      <c r="V3" s="766"/>
      <c r="W3" s="766"/>
      <c r="X3" s="766"/>
      <c r="Y3" s="766"/>
      <c r="Z3" s="766"/>
      <c r="AA3" s="766"/>
      <c r="AB3" s="784"/>
      <c r="AC3" s="780"/>
    </row>
    <row r="4" spans="1:29" ht="15">
      <c r="A4" s="401" t="s">
        <v>2646</v>
      </c>
      <c r="B4" s="402"/>
      <c r="C4" s="3244" t="s">
        <v>2647</v>
      </c>
      <c r="D4" s="3245"/>
      <c r="E4" s="3246" t="s">
        <v>2648</v>
      </c>
      <c r="F4" s="3247"/>
      <c r="G4" s="3244" t="s">
        <v>2649</v>
      </c>
      <c r="H4" s="3245"/>
      <c r="I4" s="3244" t="s">
        <v>2650</v>
      </c>
      <c r="J4" s="3245"/>
      <c r="K4" s="610" t="s">
        <v>2651</v>
      </c>
      <c r="L4" s="1131"/>
      <c r="M4" s="1132"/>
      <c r="N4" s="1132"/>
      <c r="O4" s="1132"/>
      <c r="P4" s="3248" t="s">
        <v>2652</v>
      </c>
      <c r="Q4" s="3249"/>
      <c r="R4" s="3231" t="s">
        <v>2648</v>
      </c>
      <c r="S4" s="3232"/>
      <c r="T4" s="3231" t="s">
        <v>2649</v>
      </c>
      <c r="U4" s="3232"/>
      <c r="V4" s="3228" t="s">
        <v>2650</v>
      </c>
      <c r="W4" s="3228"/>
      <c r="X4" s="1811"/>
      <c r="Y4" s="3231" t="s">
        <v>2652</v>
      </c>
      <c r="Z4" s="3232"/>
      <c r="AA4" s="3225" t="s">
        <v>2648</v>
      </c>
      <c r="AB4" s="3226" t="s">
        <v>2649</v>
      </c>
      <c r="AC4" s="3225" t="s">
        <v>2650</v>
      </c>
    </row>
    <row r="5" spans="1:29" ht="15">
      <c r="A5" s="404"/>
      <c r="B5" s="405"/>
      <c r="C5" s="3237" t="s">
        <v>2543</v>
      </c>
      <c r="D5" s="3238"/>
      <c r="E5" s="3235" t="s">
        <v>2544</v>
      </c>
      <c r="F5" s="3236"/>
      <c r="G5" s="3237" t="s">
        <v>2545</v>
      </c>
      <c r="H5" s="3238"/>
      <c r="I5" s="3237" t="s">
        <v>2546</v>
      </c>
      <c r="J5" s="3238"/>
      <c r="K5" s="610"/>
      <c r="L5" s="1131"/>
      <c r="M5" s="1132"/>
      <c r="N5" s="1132"/>
      <c r="O5" s="1132"/>
      <c r="P5" s="3250"/>
      <c r="Q5" s="3251"/>
      <c r="R5" s="3233"/>
      <c r="S5" s="3234"/>
      <c r="T5" s="3233"/>
      <c r="U5" s="3234"/>
      <c r="V5" s="3228"/>
      <c r="W5" s="3228"/>
      <c r="X5" s="1811"/>
      <c r="Y5" s="3233"/>
      <c r="Z5" s="3234"/>
      <c r="AA5" s="3226"/>
      <c r="AB5" s="3226"/>
      <c r="AC5" s="3226"/>
    </row>
    <row r="6" spans="1:29" ht="15.75" thickBot="1">
      <c r="A6" s="406"/>
      <c r="B6" s="407"/>
      <c r="C6" s="3239" t="s">
        <v>2547</v>
      </c>
      <c r="D6" s="3240"/>
      <c r="E6" s="3241" t="s">
        <v>2547</v>
      </c>
      <c r="F6" s="3242"/>
      <c r="G6" s="3239" t="s">
        <v>2547</v>
      </c>
      <c r="H6" s="3240"/>
      <c r="I6" s="3239" t="s">
        <v>2547</v>
      </c>
      <c r="J6" s="3240"/>
      <c r="K6" s="610" t="s">
        <v>2548</v>
      </c>
      <c r="L6" s="1131"/>
      <c r="M6" s="1132"/>
      <c r="N6" s="1132"/>
      <c r="O6" s="1132"/>
      <c r="P6" s="3252"/>
      <c r="Q6" s="3253"/>
      <c r="R6" s="3233"/>
      <c r="S6" s="3234"/>
      <c r="T6" s="3254"/>
      <c r="U6" s="3255"/>
      <c r="V6" s="3228"/>
      <c r="W6" s="3228"/>
      <c r="X6" s="1811"/>
      <c r="Y6" s="3254"/>
      <c r="Z6" s="3255"/>
      <c r="AA6" s="3227"/>
      <c r="AB6" s="3227"/>
      <c r="AC6" s="3227"/>
    </row>
    <row r="7" spans="1:29" s="117" customFormat="1" ht="15.75" thickBot="1">
      <c r="A7" s="408" t="s">
        <v>2549</v>
      </c>
      <c r="B7" s="409"/>
      <c r="C7" s="410">
        <f>'数据-取费表'!B2</f>
        <v>43570</v>
      </c>
      <c r="D7" s="411">
        <v>100</v>
      </c>
      <c r="E7" s="412"/>
      <c r="F7" s="413">
        <f>SUMIF(48:48,YEAR(E7)&amp;"-"&amp;MONTH(E7),49:49)</f>
        <v>0</v>
      </c>
      <c r="G7" s="412"/>
      <c r="H7" s="411">
        <f>SUMIF(48:48,YEAR(G7)&amp;"-"&amp;MONTH(G7),49:49)</f>
        <v>0</v>
      </c>
      <c r="I7" s="412"/>
      <c r="J7" s="411">
        <f>SUMIF(48:48,YEAR(I7)&amp;"-"&amp;MONTH(I7),49:49)</f>
        <v>0</v>
      </c>
      <c r="K7" s="611"/>
      <c r="L7" s="1133"/>
      <c r="M7" s="1134"/>
      <c r="N7" s="1134"/>
      <c r="O7" s="1134"/>
      <c r="P7" s="3229" t="s">
        <v>2550</v>
      </c>
      <c r="Q7" s="3256"/>
      <c r="R7" s="768" t="s">
        <v>17</v>
      </c>
      <c r="S7" s="769">
        <f t="shared" ref="S7:S14" si="0">F7</f>
        <v>0</v>
      </c>
      <c r="T7" s="768" t="s">
        <v>17</v>
      </c>
      <c r="U7" s="769">
        <f t="shared" ref="U7:U14" si="1">H7</f>
        <v>0</v>
      </c>
      <c r="V7" s="768" t="s">
        <v>17</v>
      </c>
      <c r="W7" s="769">
        <f t="shared" ref="W7:W14" si="2">J7</f>
        <v>0</v>
      </c>
      <c r="X7" s="770"/>
      <c r="Y7" s="3229" t="s">
        <v>2550</v>
      </c>
      <c r="Z7" s="3230"/>
      <c r="AA7" s="771" t="e">
        <f>D7/F7</f>
        <v>#DIV/0!</v>
      </c>
      <c r="AB7" s="771" t="e">
        <f>D7/H7</f>
        <v>#DIV/0!</v>
      </c>
      <c r="AC7" s="771"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229" t="s">
        <v>2553</v>
      </c>
      <c r="Q8" s="3230"/>
      <c r="R8" s="768" t="s">
        <v>17</v>
      </c>
      <c r="S8" s="769">
        <f t="shared" si="0"/>
        <v>0</v>
      </c>
      <c r="T8" s="768" t="s">
        <v>17</v>
      </c>
      <c r="U8" s="769">
        <f t="shared" si="1"/>
        <v>0</v>
      </c>
      <c r="V8" s="768" t="s">
        <v>17</v>
      </c>
      <c r="W8" s="769">
        <f t="shared" si="2"/>
        <v>0</v>
      </c>
      <c r="X8" s="770"/>
      <c r="Y8" s="3229" t="s">
        <v>2553</v>
      </c>
      <c r="Z8" s="3230"/>
      <c r="AA8" s="771" t="e">
        <f t="shared" ref="AA8:AA36" si="3">D8/F8</f>
        <v>#DIV/0!</v>
      </c>
      <c r="AB8" s="771" t="e">
        <f t="shared" ref="AB8:AB36" si="4">D8/H8</f>
        <v>#DIV/0!</v>
      </c>
      <c r="AC8" s="771"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266" t="s">
        <v>2556</v>
      </c>
      <c r="Q9" s="1793" t="str">
        <f t="shared" ref="Q9:Q14" si="6">B9</f>
        <v>用途</v>
      </c>
      <c r="R9" s="768" t="s">
        <v>17</v>
      </c>
      <c r="S9" s="769">
        <f t="shared" si="0"/>
        <v>100</v>
      </c>
      <c r="T9" s="768" t="s">
        <v>17</v>
      </c>
      <c r="U9" s="769">
        <f t="shared" si="1"/>
        <v>100</v>
      </c>
      <c r="V9" s="768" t="s">
        <v>17</v>
      </c>
      <c r="W9" s="769">
        <f t="shared" si="2"/>
        <v>100</v>
      </c>
      <c r="X9" s="770"/>
      <c r="Y9" s="3102" t="s">
        <v>2557</v>
      </c>
      <c r="Z9" s="55" t="str">
        <f t="shared" ref="Z9:Z14" si="7">Q9</f>
        <v>用途</v>
      </c>
      <c r="AA9" s="771">
        <f t="shared" si="3"/>
        <v>1</v>
      </c>
      <c r="AB9" s="771">
        <f t="shared" si="4"/>
        <v>1</v>
      </c>
      <c r="AC9" s="771">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266"/>
      <c r="Q10" s="1793" t="str">
        <f t="shared" si="6"/>
        <v>土地使用年限（年）</v>
      </c>
      <c r="R10" s="768" t="s">
        <v>17</v>
      </c>
      <c r="S10" s="769">
        <f t="shared" si="0"/>
        <v>100</v>
      </c>
      <c r="T10" s="768" t="s">
        <v>17</v>
      </c>
      <c r="U10" s="769">
        <f t="shared" si="1"/>
        <v>100</v>
      </c>
      <c r="V10" s="768" t="s">
        <v>17</v>
      </c>
      <c r="W10" s="769">
        <f t="shared" si="2"/>
        <v>100</v>
      </c>
      <c r="X10" s="770"/>
      <c r="Y10" s="3102"/>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266"/>
      <c r="Q11" s="1793">
        <f t="shared" si="6"/>
        <v>111</v>
      </c>
      <c r="R11" s="768" t="s">
        <v>17</v>
      </c>
      <c r="S11" s="769">
        <f t="shared" si="0"/>
        <v>100</v>
      </c>
      <c r="T11" s="768" t="s">
        <v>17</v>
      </c>
      <c r="U11" s="769">
        <f t="shared" si="1"/>
        <v>100</v>
      </c>
      <c r="V11" s="768" t="s">
        <v>17</v>
      </c>
      <c r="W11" s="769">
        <f t="shared" si="2"/>
        <v>100</v>
      </c>
      <c r="X11" s="770"/>
      <c r="Y11" s="3102"/>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266"/>
      <c r="Q12" s="1793">
        <f t="shared" si="6"/>
        <v>111</v>
      </c>
      <c r="R12" s="768" t="s">
        <v>17</v>
      </c>
      <c r="S12" s="769">
        <f t="shared" si="0"/>
        <v>100</v>
      </c>
      <c r="T12" s="768" t="s">
        <v>17</v>
      </c>
      <c r="U12" s="769">
        <f t="shared" si="1"/>
        <v>100</v>
      </c>
      <c r="V12" s="768" t="s">
        <v>17</v>
      </c>
      <c r="W12" s="769">
        <f t="shared" si="2"/>
        <v>100</v>
      </c>
      <c r="X12" s="770"/>
      <c r="Y12" s="3102"/>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266"/>
      <c r="Q13" s="1793">
        <f t="shared" si="6"/>
        <v>111</v>
      </c>
      <c r="R13" s="768" t="s">
        <v>17</v>
      </c>
      <c r="S13" s="769">
        <f t="shared" si="0"/>
        <v>100</v>
      </c>
      <c r="T13" s="768" t="s">
        <v>17</v>
      </c>
      <c r="U13" s="769">
        <f t="shared" si="1"/>
        <v>100</v>
      </c>
      <c r="V13" s="768" t="s">
        <v>17</v>
      </c>
      <c r="W13" s="769">
        <f t="shared" si="2"/>
        <v>100</v>
      </c>
      <c r="X13" s="770"/>
      <c r="Y13" s="3102"/>
      <c r="Z13" s="55">
        <f t="shared" si="7"/>
        <v>111</v>
      </c>
      <c r="AA13" s="771">
        <f t="shared" si="3"/>
        <v>1</v>
      </c>
      <c r="AB13" s="771">
        <f t="shared" si="4"/>
        <v>1</v>
      </c>
      <c r="AC13" s="771">
        <f t="shared" si="5"/>
        <v>1</v>
      </c>
    </row>
    <row r="14" spans="1:29" ht="85.5">
      <c r="A14" s="401" t="s">
        <v>2560</v>
      </c>
      <c r="B14" s="629" t="s">
        <v>2710</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259" t="s">
        <v>2561</v>
      </c>
      <c r="Q14" s="1808" t="str">
        <f t="shared" si="6"/>
        <v>交通便捷度</v>
      </c>
      <c r="R14" s="772" t="s">
        <v>17</v>
      </c>
      <c r="S14" s="773">
        <f t="shared" si="0"/>
        <v>100</v>
      </c>
      <c r="T14" s="772" t="s">
        <v>17</v>
      </c>
      <c r="U14" s="773">
        <f t="shared" si="1"/>
        <v>100</v>
      </c>
      <c r="V14" s="772" t="s">
        <v>17</v>
      </c>
      <c r="W14" s="773">
        <f t="shared" si="2"/>
        <v>100</v>
      </c>
      <c r="X14" s="1811"/>
      <c r="Y14" s="3259" t="s">
        <v>2561</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41"/>
      <c r="M15" s="1132"/>
      <c r="N15" s="1132"/>
      <c r="O15" s="1132"/>
      <c r="P15" s="3260"/>
      <c r="Q15" s="1808"/>
      <c r="R15" s="772"/>
      <c r="S15" s="773"/>
      <c r="T15" s="772"/>
      <c r="U15" s="773"/>
      <c r="V15" s="772"/>
      <c r="W15" s="773"/>
      <c r="X15" s="1811"/>
      <c r="Y15" s="3260"/>
      <c r="Z15" s="1812"/>
      <c r="AA15" s="1809">
        <v>1</v>
      </c>
      <c r="AB15" s="1809">
        <v>1</v>
      </c>
      <c r="AC15" s="1809">
        <v>1</v>
      </c>
    </row>
    <row r="16" spans="1:29" ht="42.75">
      <c r="A16" s="404"/>
      <c r="B16" s="631" t="s">
        <v>2689</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260"/>
      <c r="Q16" s="1808" t="str">
        <f>B16</f>
        <v>公共配套设施</v>
      </c>
      <c r="R16" s="772" t="s">
        <v>17</v>
      </c>
      <c r="S16" s="773">
        <f>F16</f>
        <v>100</v>
      </c>
      <c r="T16" s="772" t="s">
        <v>17</v>
      </c>
      <c r="U16" s="773">
        <f>H16</f>
        <v>100</v>
      </c>
      <c r="V16" s="772" t="s">
        <v>17</v>
      </c>
      <c r="W16" s="773">
        <f>J16</f>
        <v>100</v>
      </c>
      <c r="X16" s="1811"/>
      <c r="Y16" s="3260"/>
      <c r="Z16" s="1812" t="str">
        <f>Q16</f>
        <v>公共配套设施</v>
      </c>
      <c r="AA16" s="1809">
        <f t="shared" si="3"/>
        <v>1</v>
      </c>
      <c r="AB16" s="1809">
        <f t="shared" si="4"/>
        <v>1</v>
      </c>
      <c r="AC16" s="1809">
        <f t="shared" si="5"/>
        <v>1</v>
      </c>
    </row>
    <row r="17" spans="1:29" ht="15">
      <c r="A17" s="404"/>
      <c r="B17" s="632"/>
      <c r="C17" s="2609"/>
      <c r="D17" s="448"/>
      <c r="E17" s="447"/>
      <c r="F17" s="449"/>
      <c r="G17" s="447"/>
      <c r="H17" s="448"/>
      <c r="I17" s="447"/>
      <c r="J17" s="448"/>
      <c r="K17" s="615"/>
      <c r="L17" s="1141"/>
      <c r="M17" s="1132"/>
      <c r="N17" s="1132"/>
      <c r="O17" s="1132"/>
      <c r="P17" s="3260"/>
      <c r="Q17" s="1808"/>
      <c r="R17" s="772"/>
      <c r="S17" s="773"/>
      <c r="T17" s="772"/>
      <c r="U17" s="773"/>
      <c r="V17" s="772"/>
      <c r="W17" s="773"/>
      <c r="X17" s="1811"/>
      <c r="Y17" s="3260"/>
      <c r="Z17" s="1812"/>
      <c r="AA17" s="1809">
        <v>1</v>
      </c>
      <c r="AB17" s="1809">
        <v>1</v>
      </c>
      <c r="AC17" s="1809">
        <v>1</v>
      </c>
    </row>
    <row r="18" spans="1:29" ht="28.5">
      <c r="A18" s="404"/>
      <c r="B18" s="633" t="s">
        <v>2690</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260"/>
      <c r="Q18" s="1808" t="str">
        <f>B18</f>
        <v>基础设施水平</v>
      </c>
      <c r="R18" s="772" t="s">
        <v>17</v>
      </c>
      <c r="S18" s="773">
        <f>F18</f>
        <v>100</v>
      </c>
      <c r="T18" s="772" t="s">
        <v>17</v>
      </c>
      <c r="U18" s="773">
        <f>H18</f>
        <v>100</v>
      </c>
      <c r="V18" s="772" t="s">
        <v>17</v>
      </c>
      <c r="W18" s="773">
        <f>J18</f>
        <v>100</v>
      </c>
      <c r="X18" s="1811"/>
      <c r="Y18" s="3260"/>
      <c r="Z18" s="1812" t="str">
        <f>Q18</f>
        <v>基础设施水平</v>
      </c>
      <c r="AA18" s="1809">
        <f t="shared" ref="AA18" si="8">D18/F18</f>
        <v>1</v>
      </c>
      <c r="AB18" s="1809">
        <f t="shared" ref="AB18" si="9">D18/H18</f>
        <v>1</v>
      </c>
      <c r="AC18" s="1809">
        <f t="shared" ref="AC18" si="10">D18/J18</f>
        <v>1</v>
      </c>
    </row>
    <row r="19" spans="1:29" ht="15">
      <c r="A19" s="404"/>
      <c r="B19" s="633"/>
      <c r="C19" s="2609"/>
      <c r="D19" s="450"/>
      <c r="E19" s="2609"/>
      <c r="F19" s="453"/>
      <c r="G19" s="2609"/>
      <c r="H19" s="448"/>
      <c r="I19" s="447"/>
      <c r="J19" s="448"/>
      <c r="K19" s="1384"/>
      <c r="L19" s="1141"/>
      <c r="M19" s="1132"/>
      <c r="N19" s="1132"/>
      <c r="O19" s="1132"/>
      <c r="P19" s="3260"/>
      <c r="Q19" s="1808"/>
      <c r="R19" s="772"/>
      <c r="S19" s="773"/>
      <c r="T19" s="772"/>
      <c r="U19" s="773"/>
      <c r="V19" s="772"/>
      <c r="W19" s="773"/>
      <c r="X19" s="1811"/>
      <c r="Y19" s="3260"/>
      <c r="Z19" s="1812"/>
      <c r="AA19" s="1809">
        <v>1</v>
      </c>
      <c r="AB19" s="1809">
        <v>1</v>
      </c>
      <c r="AC19" s="1809">
        <v>1</v>
      </c>
    </row>
    <row r="20" spans="1:29" ht="57">
      <c r="A20" s="404"/>
      <c r="B20" s="631" t="s">
        <v>2711</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260"/>
      <c r="Q20" s="1808" t="str">
        <f>B20</f>
        <v>自然及人文环境</v>
      </c>
      <c r="R20" s="772" t="s">
        <v>17</v>
      </c>
      <c r="S20" s="773">
        <f>F20</f>
        <v>100</v>
      </c>
      <c r="T20" s="772" t="s">
        <v>17</v>
      </c>
      <c r="U20" s="773">
        <f>H20</f>
        <v>100</v>
      </c>
      <c r="V20" s="772" t="s">
        <v>17</v>
      </c>
      <c r="W20" s="773">
        <f>J20</f>
        <v>100</v>
      </c>
      <c r="X20" s="1811"/>
      <c r="Y20" s="3260"/>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41"/>
      <c r="M21" s="1132"/>
      <c r="N21" s="1132"/>
      <c r="O21" s="1132"/>
      <c r="P21" s="3260"/>
      <c r="Q21" s="1808"/>
      <c r="R21" s="772"/>
      <c r="S21" s="773"/>
      <c r="T21" s="772"/>
      <c r="U21" s="773"/>
      <c r="V21" s="772"/>
      <c r="W21" s="773"/>
      <c r="X21" s="1811"/>
      <c r="Y21" s="3260"/>
      <c r="Z21" s="1812"/>
      <c r="AA21" s="1809">
        <v>1</v>
      </c>
      <c r="AB21" s="1809">
        <v>1</v>
      </c>
      <c r="AC21" s="1809">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260"/>
      <c r="Q22" s="1808" t="str">
        <f>B22</f>
        <v>楼层</v>
      </c>
      <c r="R22" s="772" t="s">
        <v>17</v>
      </c>
      <c r="S22" s="773">
        <f>F22</f>
        <v>100</v>
      </c>
      <c r="T22" s="772" t="s">
        <v>17</v>
      </c>
      <c r="U22" s="773">
        <f>H22</f>
        <v>100</v>
      </c>
      <c r="V22" s="772" t="s">
        <v>17</v>
      </c>
      <c r="W22" s="773">
        <f>J22</f>
        <v>100</v>
      </c>
      <c r="X22" s="1811"/>
      <c r="Y22" s="3260"/>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260"/>
      <c r="Q23" s="1808">
        <f>B23</f>
        <v>111</v>
      </c>
      <c r="R23" s="772" t="s">
        <v>17</v>
      </c>
      <c r="S23" s="773">
        <f>F23</f>
        <v>100</v>
      </c>
      <c r="T23" s="772" t="s">
        <v>17</v>
      </c>
      <c r="U23" s="773">
        <f>H23</f>
        <v>100</v>
      </c>
      <c r="V23" s="772" t="s">
        <v>17</v>
      </c>
      <c r="W23" s="773">
        <f>J23</f>
        <v>100</v>
      </c>
      <c r="X23" s="1811"/>
      <c r="Y23" s="3260"/>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260"/>
      <c r="Q24" s="1808">
        <f t="shared" ref="Q24:Q36" si="11">B24</f>
        <v>111</v>
      </c>
      <c r="R24" s="772" t="s">
        <v>17</v>
      </c>
      <c r="S24" s="773">
        <f>F24</f>
        <v>100</v>
      </c>
      <c r="T24" s="772" t="s">
        <v>17</v>
      </c>
      <c r="U24" s="773">
        <f>H24</f>
        <v>100</v>
      </c>
      <c r="V24" s="772" t="s">
        <v>17</v>
      </c>
      <c r="W24" s="773">
        <f>J24</f>
        <v>100</v>
      </c>
      <c r="X24" s="1811"/>
      <c r="Y24" s="3260"/>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260"/>
      <c r="Q25" s="1793">
        <f t="shared" si="11"/>
        <v>111</v>
      </c>
      <c r="R25" s="768" t="s">
        <v>17</v>
      </c>
      <c r="S25" s="769">
        <f>F25</f>
        <v>100</v>
      </c>
      <c r="T25" s="768" t="s">
        <v>17</v>
      </c>
      <c r="U25" s="769">
        <f>H25</f>
        <v>100</v>
      </c>
      <c r="V25" s="768" t="s">
        <v>17</v>
      </c>
      <c r="W25" s="769">
        <f>J25</f>
        <v>100</v>
      </c>
      <c r="X25" s="770"/>
      <c r="Y25" s="3260"/>
      <c r="Z25" s="55">
        <f>Q25</f>
        <v>111</v>
      </c>
      <c r="AA25" s="1809">
        <f>D25/F25</f>
        <v>1</v>
      </c>
      <c r="AB25" s="1809">
        <f>D25/H25</f>
        <v>1</v>
      </c>
      <c r="AC25" s="1809">
        <f>D25/J25</f>
        <v>1</v>
      </c>
    </row>
    <row r="26" spans="1:29" ht="28.5">
      <c r="A26" s="652" t="s">
        <v>2564</v>
      </c>
      <c r="B26" s="70" t="s">
        <v>2713</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317" t="s">
        <v>2566</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264" t="s">
        <v>2566</v>
      </c>
      <c r="Z26" s="1812" t="str">
        <f t="shared" ref="Z26:Z36" si="15">Q26</f>
        <v>配套类型</v>
      </c>
      <c r="AA26" s="1809">
        <f t="shared" si="3"/>
        <v>1</v>
      </c>
      <c r="AB26" s="1809">
        <f t="shared" si="4"/>
        <v>1</v>
      </c>
      <c r="AC26" s="1809">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264"/>
      <c r="Q27" s="774" t="str">
        <f t="shared" si="11"/>
        <v>项目停车位配比</v>
      </c>
      <c r="R27" s="775" t="s">
        <v>17</v>
      </c>
      <c r="S27" s="776">
        <f t="shared" si="12"/>
        <v>100</v>
      </c>
      <c r="T27" s="775" t="s">
        <v>17</v>
      </c>
      <c r="U27" s="776">
        <f t="shared" si="13"/>
        <v>100</v>
      </c>
      <c r="V27" s="775" t="s">
        <v>17</v>
      </c>
      <c r="W27" s="776">
        <f t="shared" si="14"/>
        <v>100</v>
      </c>
      <c r="X27" s="777"/>
      <c r="Y27" s="3264"/>
      <c r="Z27" s="778" t="str">
        <f t="shared" si="15"/>
        <v>项目停车位配比</v>
      </c>
      <c r="AA27" s="1809">
        <f t="shared" si="3"/>
        <v>1</v>
      </c>
      <c r="AB27" s="1809">
        <f t="shared" si="4"/>
        <v>1</v>
      </c>
      <c r="AC27" s="1809">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264"/>
      <c r="Q28" s="1808" t="str">
        <f t="shared" si="11"/>
        <v>公共部分装修</v>
      </c>
      <c r="R28" s="772" t="s">
        <v>17</v>
      </c>
      <c r="S28" s="773">
        <f t="shared" si="12"/>
        <v>100</v>
      </c>
      <c r="T28" s="772" t="s">
        <v>17</v>
      </c>
      <c r="U28" s="773">
        <f t="shared" si="13"/>
        <v>100</v>
      </c>
      <c r="V28" s="772" t="s">
        <v>17</v>
      </c>
      <c r="W28" s="773">
        <f t="shared" si="14"/>
        <v>100</v>
      </c>
      <c r="X28" s="1811"/>
      <c r="Y28" s="3264"/>
      <c r="Z28" s="1812" t="str">
        <f t="shared" si="15"/>
        <v>公共部分装修</v>
      </c>
      <c r="AA28" s="1809">
        <f t="shared" si="3"/>
        <v>1</v>
      </c>
      <c r="AB28" s="1809">
        <f t="shared" si="4"/>
        <v>1</v>
      </c>
      <c r="AC28" s="1809">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264"/>
      <c r="Q29" s="1808" t="str">
        <f t="shared" si="11"/>
        <v>成新率</v>
      </c>
      <c r="R29" s="772" t="s">
        <v>17</v>
      </c>
      <c r="S29" s="773" t="e">
        <f t="shared" si="12"/>
        <v>#N/A</v>
      </c>
      <c r="T29" s="772" t="s">
        <v>17</v>
      </c>
      <c r="U29" s="773" t="e">
        <f t="shared" si="13"/>
        <v>#N/A</v>
      </c>
      <c r="V29" s="772" t="s">
        <v>17</v>
      </c>
      <c r="W29" s="773" t="e">
        <f t="shared" si="14"/>
        <v>#N/A</v>
      </c>
      <c r="X29" s="1811"/>
      <c r="Y29" s="3264"/>
      <c r="Z29" s="1812" t="str">
        <f t="shared" si="15"/>
        <v>成新率</v>
      </c>
      <c r="AA29" s="1809" t="e">
        <f t="shared" si="3"/>
        <v>#N/A</v>
      </c>
      <c r="AB29" s="1809" t="e">
        <f t="shared" si="4"/>
        <v>#N/A</v>
      </c>
      <c r="AC29" s="1809"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264"/>
      <c r="Q30" s="1808" t="str">
        <f t="shared" si="11"/>
        <v>物业等级</v>
      </c>
      <c r="R30" s="772" t="s">
        <v>17</v>
      </c>
      <c r="S30" s="773">
        <f t="shared" si="12"/>
        <v>100</v>
      </c>
      <c r="T30" s="772" t="s">
        <v>17</v>
      </c>
      <c r="U30" s="773">
        <f t="shared" si="13"/>
        <v>100</v>
      </c>
      <c r="V30" s="772" t="s">
        <v>17</v>
      </c>
      <c r="W30" s="773">
        <f t="shared" si="14"/>
        <v>100</v>
      </c>
      <c r="X30" s="1811"/>
      <c r="Y30" s="3264"/>
      <c r="Z30" s="1812" t="str">
        <f t="shared" si="15"/>
        <v>物业等级</v>
      </c>
      <c r="AA30" s="1809">
        <f t="shared" si="3"/>
        <v>1</v>
      </c>
      <c r="AB30" s="1809">
        <f t="shared" si="4"/>
        <v>1</v>
      </c>
      <c r="AC30" s="1809">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264"/>
      <c r="Q31" s="1793" t="str">
        <f t="shared" si="11"/>
        <v>停车位面积</v>
      </c>
      <c r="R31" s="768" t="s">
        <v>17</v>
      </c>
      <c r="S31" s="769" t="e">
        <f t="shared" si="12"/>
        <v>#N/A</v>
      </c>
      <c r="T31" s="768" t="s">
        <v>17</v>
      </c>
      <c r="U31" s="769" t="e">
        <f t="shared" si="13"/>
        <v>#N/A</v>
      </c>
      <c r="V31" s="768" t="s">
        <v>17</v>
      </c>
      <c r="W31" s="769" t="e">
        <f t="shared" si="14"/>
        <v>#N/A</v>
      </c>
      <c r="X31" s="770"/>
      <c r="Y31" s="3264"/>
      <c r="Z31" s="55" t="str">
        <f t="shared" si="15"/>
        <v>停车位面积</v>
      </c>
      <c r="AA31" s="771" t="e">
        <f t="shared" si="3"/>
        <v>#N/A</v>
      </c>
      <c r="AB31" s="771" t="e">
        <f t="shared" si="4"/>
        <v>#N/A</v>
      </c>
      <c r="AC31" s="771"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264" t="s">
        <v>2566</v>
      </c>
      <c r="Q32" s="1808" t="str">
        <f t="shared" si="11"/>
        <v>车位类型</v>
      </c>
      <c r="R32" s="772" t="s">
        <v>17</v>
      </c>
      <c r="S32" s="773">
        <f t="shared" si="12"/>
        <v>100</v>
      </c>
      <c r="T32" s="772" t="s">
        <v>17</v>
      </c>
      <c r="U32" s="773">
        <f t="shared" si="13"/>
        <v>100</v>
      </c>
      <c r="V32" s="772" t="s">
        <v>17</v>
      </c>
      <c r="W32" s="773">
        <f t="shared" si="14"/>
        <v>100</v>
      </c>
      <c r="X32" s="1811"/>
      <c r="Y32" s="3264" t="s">
        <v>2566</v>
      </c>
      <c r="Z32" s="1812" t="str">
        <f t="shared" si="15"/>
        <v>车位类型</v>
      </c>
      <c r="AA32" s="1809">
        <f t="shared" si="3"/>
        <v>1</v>
      </c>
      <c r="AB32" s="1809">
        <f t="shared" si="4"/>
        <v>1</v>
      </c>
      <c r="AC32" s="1809">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264"/>
      <c r="Q33" s="1808" t="str">
        <f t="shared" si="11"/>
        <v>是否直接入户</v>
      </c>
      <c r="R33" s="772" t="s">
        <v>17</v>
      </c>
      <c r="S33" s="773">
        <f t="shared" si="12"/>
        <v>100</v>
      </c>
      <c r="T33" s="772" t="s">
        <v>17</v>
      </c>
      <c r="U33" s="773">
        <f t="shared" si="13"/>
        <v>100</v>
      </c>
      <c r="V33" s="772" t="s">
        <v>17</v>
      </c>
      <c r="W33" s="773">
        <f t="shared" si="14"/>
        <v>100</v>
      </c>
      <c r="X33" s="1811"/>
      <c r="Y33" s="3264"/>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264"/>
      <c r="Q34" s="1808">
        <f t="shared" si="11"/>
        <v>111</v>
      </c>
      <c r="R34" s="772" t="s">
        <v>17</v>
      </c>
      <c r="S34" s="773">
        <f t="shared" si="12"/>
        <v>100</v>
      </c>
      <c r="T34" s="772" t="s">
        <v>17</v>
      </c>
      <c r="U34" s="773">
        <f t="shared" si="13"/>
        <v>100</v>
      </c>
      <c r="V34" s="772" t="s">
        <v>17</v>
      </c>
      <c r="W34" s="773">
        <f t="shared" si="14"/>
        <v>100</v>
      </c>
      <c r="X34" s="1811"/>
      <c r="Y34" s="3264"/>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264"/>
      <c r="Q35" s="774">
        <f t="shared" si="11"/>
        <v>111</v>
      </c>
      <c r="R35" s="775" t="s">
        <v>17</v>
      </c>
      <c r="S35" s="776">
        <f t="shared" si="12"/>
        <v>100</v>
      </c>
      <c r="T35" s="775" t="s">
        <v>17</v>
      </c>
      <c r="U35" s="776">
        <f t="shared" si="13"/>
        <v>100</v>
      </c>
      <c r="V35" s="775" t="s">
        <v>17</v>
      </c>
      <c r="W35" s="776">
        <f t="shared" si="14"/>
        <v>100</v>
      </c>
      <c r="X35" s="777"/>
      <c r="Y35" s="3264"/>
      <c r="Z35" s="778">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264"/>
      <c r="Q36" s="1808">
        <f t="shared" si="11"/>
        <v>111</v>
      </c>
      <c r="R36" s="772" t="s">
        <v>17</v>
      </c>
      <c r="S36" s="773">
        <f t="shared" si="12"/>
        <v>100</v>
      </c>
      <c r="T36" s="772" t="s">
        <v>17</v>
      </c>
      <c r="U36" s="773">
        <f t="shared" si="13"/>
        <v>100</v>
      </c>
      <c r="V36" s="772" t="s">
        <v>17</v>
      </c>
      <c r="W36" s="773">
        <f t="shared" si="14"/>
        <v>100</v>
      </c>
      <c r="X36" s="1811"/>
      <c r="Y36" s="3264"/>
      <c r="Z36" s="1812">
        <f t="shared" si="15"/>
        <v>111</v>
      </c>
      <c r="AA36" s="1809">
        <f t="shared" si="3"/>
        <v>1</v>
      </c>
      <c r="AB36" s="1809">
        <f t="shared" si="4"/>
        <v>1</v>
      </c>
      <c r="AC36" s="1809">
        <f t="shared" si="5"/>
        <v>1</v>
      </c>
    </row>
    <row r="37" spans="1:29" ht="15">
      <c r="A37" s="479" t="s">
        <v>2721</v>
      </c>
      <c r="B37" s="2695" t="s">
        <v>2722</v>
      </c>
      <c r="C37" s="1408" t="s">
        <v>1</v>
      </c>
      <c r="D37" s="1409"/>
      <c r="E37" s="1410"/>
      <c r="F37" s="1411"/>
      <c r="G37" s="1412"/>
      <c r="H37" s="1413"/>
      <c r="I37" s="1410"/>
      <c r="J37" s="1413"/>
      <c r="K37" s="619"/>
      <c r="L37" s="1144"/>
      <c r="M37" s="1145"/>
      <c r="N37" s="1132"/>
      <c r="O37" s="1145"/>
      <c r="P37" s="3266" t="str">
        <f>A37</f>
        <v>成交单价</v>
      </c>
      <c r="Q37" s="3266"/>
      <c r="R37" s="3267">
        <f>E37</f>
        <v>0</v>
      </c>
      <c r="S37" s="3267"/>
      <c r="T37" s="3267">
        <f>G37</f>
        <v>0</v>
      </c>
      <c r="U37" s="3267"/>
      <c r="V37" s="3267">
        <f>I37</f>
        <v>0</v>
      </c>
      <c r="W37" s="3267"/>
      <c r="X37" s="757"/>
      <c r="Y37" s="779"/>
      <c r="Z37" s="757"/>
      <c r="AA37" s="757"/>
      <c r="AB37" s="757"/>
      <c r="AC37" s="757"/>
    </row>
    <row r="38" spans="1:29" ht="15.75" thickBot="1">
      <c r="A38" s="486" t="s">
        <v>2723</v>
      </c>
      <c r="B38" s="487" t="str">
        <f>B37</f>
        <v>元/车位</v>
      </c>
      <c r="C38" s="1414" t="e">
        <f>R39</f>
        <v>#DIV/0!</v>
      </c>
      <c r="D38" s="1415"/>
      <c r="E38" s="1416" t="e">
        <f>R38</f>
        <v>#DIV/0!</v>
      </c>
      <c r="F38" s="1416"/>
      <c r="G38" s="1414" t="e">
        <f>T38</f>
        <v>#DIV/0!</v>
      </c>
      <c r="H38" s="1415"/>
      <c r="I38" s="1416" t="e">
        <f>V38</f>
        <v>#DIV/0!</v>
      </c>
      <c r="J38" s="1415"/>
      <c r="K38" s="620"/>
      <c r="L38" s="1144"/>
      <c r="M38" s="1145"/>
      <c r="N38" s="1145"/>
      <c r="O38" s="1145"/>
      <c r="P38" s="3266" t="str">
        <f>A38</f>
        <v>比较价值（元/平方米）</v>
      </c>
      <c r="Q38" s="3266"/>
      <c r="R38" s="3267" t="e">
        <f>IF(F1="售价",ROUND(PRODUCT(R37,AA7:AA36),0),ROUND(PRODUCT(R37,AA7:AA36),1))</f>
        <v>#DIV/0!</v>
      </c>
      <c r="S38" s="3267"/>
      <c r="T38" s="3267" t="e">
        <f>IF(F1="售价",ROUND(PRODUCT(T37,AB7:AB36),0),ROUND(PRODUCT(T37,AB7:AB36),1))</f>
        <v>#DIV/0!</v>
      </c>
      <c r="U38" s="3267"/>
      <c r="V38" s="3267" t="e">
        <f>IF(F1="售价",ROUND(PRODUCT(V37,AC7:AC36),0),ROUND(PRODUCT(V37,AC7:AC36),1))</f>
        <v>#DIV/0!</v>
      </c>
      <c r="W38" s="3267"/>
      <c r="X38" s="757"/>
      <c r="Y38" s="757"/>
      <c r="Z38" s="757"/>
      <c r="AA38" s="757"/>
      <c r="AB38" s="757"/>
      <c r="AC38" s="757"/>
    </row>
    <row r="39" spans="1:29" ht="15.75" thickBot="1">
      <c r="A39" s="492" t="s">
        <v>2724</v>
      </c>
      <c r="B39" s="493"/>
      <c r="C39" s="1418" t="e">
        <f>R39</f>
        <v>#DIV/0!</v>
      </c>
      <c r="D39" s="1418"/>
      <c r="E39" s="1418"/>
      <c r="F39" s="1418"/>
      <c r="G39" s="1418"/>
      <c r="H39" s="1418"/>
      <c r="I39" s="1418"/>
      <c r="J39" s="1418"/>
      <c r="K39" s="621"/>
      <c r="L39" s="1144"/>
      <c r="M39" s="1145"/>
      <c r="N39" s="1145"/>
      <c r="O39" s="1145"/>
      <c r="P39" s="3268" t="str">
        <f>A39</f>
        <v>估价对象XX用房的比较价值（楼面单价，元/平方米）</v>
      </c>
      <c r="Q39" s="3269"/>
      <c r="R39" s="3270" t="e">
        <f>IF(F1="售价",ROUND(AVERAGE(R38:V38),0),ROUND(AVERAGE(R38:V38),1))</f>
        <v>#DIV/0!</v>
      </c>
      <c r="S39" s="3270"/>
      <c r="T39" s="3270"/>
      <c r="U39" s="3270"/>
      <c r="V39" s="3270"/>
      <c r="W39" s="3270"/>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2" customFormat="1" ht="13.5" customHeight="1">
      <c r="A44" s="1146"/>
      <c r="B44" s="1146"/>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2728</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8" customFormat="1" ht="15">
      <c r="A48" s="505" t="s">
        <v>2729</v>
      </c>
      <c r="B48" s="506"/>
      <c r="C48" s="1575" t="str">
        <f>YEAR(C7)&amp;"-"&amp;MONTH(C7)</f>
        <v>2019-4</v>
      </c>
      <c r="D48" s="1576">
        <f>EDATE(C48,-1)</f>
        <v>43525</v>
      </c>
      <c r="E48" s="1576">
        <f t="shared" ref="E48:O48" si="16">EDATE(D48,-1)</f>
        <v>43497</v>
      </c>
      <c r="F48" s="1576">
        <f t="shared" si="16"/>
        <v>43466</v>
      </c>
      <c r="G48" s="1576">
        <f t="shared" si="16"/>
        <v>43435</v>
      </c>
      <c r="H48" s="1576">
        <f t="shared" si="16"/>
        <v>43405</v>
      </c>
      <c r="I48" s="1576">
        <f t="shared" si="16"/>
        <v>43374</v>
      </c>
      <c r="J48" s="1576">
        <f t="shared" si="16"/>
        <v>43344</v>
      </c>
      <c r="K48" s="1576">
        <f t="shared" si="16"/>
        <v>43313</v>
      </c>
      <c r="L48" s="1576">
        <f t="shared" si="16"/>
        <v>43282</v>
      </c>
      <c r="M48" s="1576">
        <f t="shared" si="16"/>
        <v>43252</v>
      </c>
      <c r="N48" s="1576">
        <f t="shared" si="16"/>
        <v>43221</v>
      </c>
      <c r="O48" s="1576">
        <f t="shared" si="16"/>
        <v>43191</v>
      </c>
      <c r="P48" s="1439"/>
      <c r="Q48" s="1440"/>
      <c r="R48" s="1440"/>
      <c r="S48" s="1440"/>
      <c r="T48" s="1440"/>
      <c r="U48" s="1440"/>
      <c r="V48" s="1440"/>
      <c r="W48" s="1440"/>
      <c r="X48" s="1440"/>
      <c r="Y48" s="1440"/>
      <c r="Z48" s="1440"/>
      <c r="AA48" s="1440"/>
      <c r="AB48" s="1440"/>
      <c r="AC48" s="1440"/>
    </row>
    <row r="49" spans="1:29" s="117" customFormat="1" ht="15">
      <c r="A49" s="509"/>
      <c r="B49" s="510"/>
      <c r="C49" s="1567">
        <v>100</v>
      </c>
      <c r="D49" s="512"/>
      <c r="E49" s="512"/>
      <c r="F49" s="512"/>
      <c r="G49" s="512"/>
      <c r="H49" s="512"/>
      <c r="I49" s="512"/>
      <c r="J49" s="512"/>
      <c r="K49" s="512"/>
      <c r="L49" s="512"/>
      <c r="M49" s="513"/>
      <c r="N49" s="512"/>
      <c r="O49" s="513"/>
      <c r="P49" s="1429"/>
      <c r="Q49" s="1428"/>
      <c r="R49" s="1428"/>
      <c r="S49" s="1428"/>
      <c r="T49" s="1428"/>
      <c r="U49" s="1428"/>
      <c r="V49" s="1428"/>
      <c r="W49" s="1428"/>
      <c r="X49" s="1428"/>
      <c r="Y49" s="1428"/>
      <c r="Z49" s="1428"/>
      <c r="AA49" s="1428"/>
      <c r="AB49" s="1428"/>
      <c r="AC49" s="1428"/>
    </row>
    <row r="50" spans="1:29" s="117" customFormat="1" ht="15.75" thickBot="1">
      <c r="A50" s="515" t="s">
        <v>2586</v>
      </c>
      <c r="B50" s="516"/>
      <c r="C50" s="517"/>
      <c r="D50" s="518"/>
      <c r="E50" s="518"/>
      <c r="F50" s="518"/>
      <c r="G50" s="518"/>
      <c r="H50" s="518"/>
      <c r="I50" s="518"/>
      <c r="J50" s="518"/>
      <c r="K50" s="518"/>
      <c r="L50" s="518"/>
      <c r="M50" s="519"/>
      <c r="N50" s="518"/>
      <c r="O50" s="519"/>
      <c r="P50" s="1429"/>
      <c r="Q50" s="1424"/>
      <c r="R50" s="1428"/>
      <c r="S50" s="1428"/>
      <c r="T50" s="1428"/>
      <c r="U50" s="1428"/>
      <c r="V50" s="1428"/>
      <c r="W50" s="1428"/>
      <c r="X50" s="1428"/>
      <c r="Y50" s="1428"/>
      <c r="Z50" s="1428"/>
      <c r="AA50" s="1428"/>
      <c r="AB50" s="1428"/>
      <c r="AC50" s="1428"/>
    </row>
    <row r="51" spans="1:29" s="117" customFormat="1" ht="15">
      <c r="A51" s="521" t="s">
        <v>2551</v>
      </c>
      <c r="B51" s="510"/>
      <c r="C51" s="522" t="s">
        <v>2653</v>
      </c>
      <c r="D51" s="523"/>
      <c r="E51" s="523"/>
      <c r="F51" s="523"/>
      <c r="G51" s="523"/>
      <c r="H51" s="523"/>
      <c r="I51" s="523"/>
      <c r="J51" s="523"/>
      <c r="K51" s="523"/>
      <c r="L51" s="524"/>
      <c r="M51" s="525"/>
      <c r="N51" s="1152"/>
      <c r="O51" s="1152"/>
      <c r="P51" s="1427"/>
      <c r="Q51" s="1424"/>
      <c r="R51" s="1428"/>
      <c r="S51" s="1428"/>
      <c r="T51" s="1428"/>
      <c r="U51" s="1428"/>
      <c r="V51" s="1428"/>
      <c r="W51" s="1428"/>
      <c r="X51" s="1428"/>
      <c r="Y51" s="1428"/>
      <c r="Z51" s="1428"/>
      <c r="AA51" s="1428"/>
      <c r="AB51" s="1428"/>
      <c r="AC51" s="1428"/>
    </row>
    <row r="52" spans="1:29" s="117" customFormat="1" ht="15.75" thickBot="1">
      <c r="A52" s="521"/>
      <c r="B52" s="510"/>
      <c r="C52" s="639">
        <v>100</v>
      </c>
      <c r="D52" s="512"/>
      <c r="E52" s="512"/>
      <c r="F52" s="512"/>
      <c r="G52" s="512"/>
      <c r="H52" s="512"/>
      <c r="I52" s="512"/>
      <c r="J52" s="512"/>
      <c r="K52" s="512"/>
      <c r="L52" s="512"/>
      <c r="M52" s="514"/>
      <c r="N52" s="1152"/>
      <c r="O52" s="1152"/>
      <c r="P52" s="1429"/>
      <c r="Q52" s="1424"/>
      <c r="R52" s="1428"/>
      <c r="S52" s="1428"/>
      <c r="T52" s="1428"/>
      <c r="U52" s="1428"/>
      <c r="V52" s="1428"/>
      <c r="W52" s="1428"/>
      <c r="X52" s="1428"/>
      <c r="Y52" s="1428"/>
      <c r="Z52" s="1428"/>
      <c r="AA52" s="1428"/>
      <c r="AB52" s="1428"/>
      <c r="AC52" s="1428"/>
    </row>
    <row r="53" spans="1:29">
      <c r="A53" s="527" t="s">
        <v>2589</v>
      </c>
      <c r="B53" s="528" t="s">
        <v>2555</v>
      </c>
      <c r="C53" s="529">
        <f>C9</f>
        <v>0</v>
      </c>
      <c r="D53" s="530"/>
      <c r="E53" s="530"/>
      <c r="F53" s="530"/>
      <c r="G53" s="530"/>
      <c r="H53" s="530"/>
      <c r="I53" s="530"/>
      <c r="J53" s="530"/>
      <c r="K53" s="531"/>
      <c r="L53" s="532"/>
      <c r="M53" s="533"/>
      <c r="N53" s="1153"/>
      <c r="O53" s="1153"/>
      <c r="P53" s="1430"/>
      <c r="Q53" s="1424"/>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30"/>
      <c r="Q54" s="1424"/>
      <c r="R54" s="1145"/>
      <c r="S54" s="1145"/>
      <c r="T54" s="1145"/>
      <c r="U54" s="1145"/>
      <c r="V54" s="1145"/>
      <c r="W54" s="1145"/>
      <c r="X54" s="1145"/>
      <c r="Y54" s="1145"/>
      <c r="Z54" s="1145"/>
      <c r="AA54" s="1145"/>
      <c r="AB54" s="1145"/>
      <c r="AC54" s="1145"/>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3"/>
      <c r="O55" s="1153"/>
      <c r="P55" s="1430"/>
      <c r="Q55" s="1424"/>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30"/>
      <c r="Q56" s="1424"/>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30"/>
      <c r="Q57" s="1424"/>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30"/>
      <c r="Q58" s="1424"/>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31"/>
      <c r="Q59" s="1432"/>
      <c r="R59" s="1433"/>
      <c r="S59" s="1433"/>
      <c r="T59" s="1433"/>
      <c r="U59" s="1433"/>
      <c r="V59" s="1433"/>
      <c r="W59" s="1433"/>
      <c r="X59" s="1433"/>
      <c r="Y59" s="1433"/>
      <c r="Z59" s="1433"/>
      <c r="AA59" s="1433"/>
      <c r="AB59" s="1433"/>
      <c r="AC59" s="1433"/>
    </row>
    <row r="60" spans="1:29" s="471" customFormat="1" ht="15.75" thickBot="1">
      <c r="A60" s="553"/>
      <c r="B60" s="543"/>
      <c r="C60" s="560"/>
      <c r="D60" s="536"/>
      <c r="E60" s="536"/>
      <c r="F60" s="536"/>
      <c r="G60" s="536"/>
      <c r="H60" s="536"/>
      <c r="I60" s="536"/>
      <c r="J60" s="536"/>
      <c r="K60" s="536"/>
      <c r="L60" s="536"/>
      <c r="M60" s="537"/>
      <c r="N60" s="1154"/>
      <c r="O60" s="1154"/>
      <c r="P60" s="1431"/>
      <c r="Q60" s="1432"/>
      <c r="R60" s="1433"/>
      <c r="S60" s="1433"/>
      <c r="T60" s="1433"/>
      <c r="U60" s="1433"/>
      <c r="V60" s="1433"/>
      <c r="W60" s="1433"/>
      <c r="X60" s="1433"/>
      <c r="Y60" s="1433"/>
      <c r="Z60" s="1433"/>
      <c r="AA60" s="1433"/>
      <c r="AB60" s="1433"/>
      <c r="AC60" s="1433"/>
    </row>
    <row r="61" spans="1:29" s="471" customFormat="1" ht="15.75" thickTop="1">
      <c r="A61" s="553"/>
      <c r="B61" s="538">
        <f>B13</f>
        <v>111</v>
      </c>
      <c r="C61" s="554"/>
      <c r="D61" s="554"/>
      <c r="E61" s="554"/>
      <c r="F61" s="554"/>
      <c r="G61" s="554"/>
      <c r="H61" s="555"/>
      <c r="I61" s="555"/>
      <c r="J61" s="555"/>
      <c r="K61" s="555"/>
      <c r="L61" s="556"/>
      <c r="M61" s="557"/>
      <c r="N61" s="1155"/>
      <c r="O61" s="1155"/>
      <c r="P61" s="1434"/>
      <c r="Q61" s="1435"/>
      <c r="R61" s="1433"/>
      <c r="S61" s="1433"/>
      <c r="T61" s="1433"/>
      <c r="U61" s="1433"/>
      <c r="V61" s="1433"/>
      <c r="W61" s="1433"/>
      <c r="X61" s="1433"/>
      <c r="Y61" s="1433"/>
      <c r="Z61" s="1433"/>
      <c r="AA61" s="1433"/>
      <c r="AB61" s="1433"/>
      <c r="AC61" s="1433"/>
    </row>
    <row r="62" spans="1:29" s="471" customFormat="1" ht="15.75" thickBot="1">
      <c r="A62" s="553"/>
      <c r="B62" s="543"/>
      <c r="C62" s="560"/>
      <c r="D62" s="560"/>
      <c r="E62" s="560"/>
      <c r="F62" s="560"/>
      <c r="G62" s="560"/>
      <c r="H62" s="562"/>
      <c r="I62" s="562"/>
      <c r="J62" s="562"/>
      <c r="K62" s="562"/>
      <c r="L62" s="562"/>
      <c r="M62" s="563"/>
      <c r="N62" s="1155"/>
      <c r="O62" s="1155"/>
      <c r="P62" s="1431"/>
      <c r="Q62" s="1432"/>
      <c r="R62" s="1433"/>
      <c r="S62" s="1433"/>
      <c r="T62" s="1433"/>
      <c r="U62" s="1433"/>
      <c r="V62" s="1433"/>
      <c r="W62" s="1433"/>
      <c r="X62" s="1433"/>
      <c r="Y62" s="1433"/>
      <c r="Z62" s="1433"/>
      <c r="AA62" s="1433"/>
      <c r="AB62" s="1433"/>
      <c r="AC62" s="1433"/>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3"/>
      <c r="O63" s="1153"/>
      <c r="P63" s="1436"/>
      <c r="Q63" s="1424"/>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30"/>
      <c r="Q64" s="1424"/>
      <c r="R64" s="1145"/>
      <c r="S64" s="1145"/>
      <c r="T64" s="1145"/>
      <c r="U64" s="1145"/>
      <c r="V64" s="1145"/>
      <c r="W64" s="1145"/>
      <c r="X64" s="1145"/>
      <c r="Y64" s="1145"/>
      <c r="Z64" s="1145"/>
      <c r="AA64" s="1145"/>
      <c r="AB64" s="1145"/>
      <c r="AC64" s="1145"/>
    </row>
    <row r="65" spans="1:29" ht="15.75" thickTop="1">
      <c r="A65" s="534"/>
      <c r="B65" s="538" t="s">
        <v>2604</v>
      </c>
      <c r="C65" s="578" t="s">
        <v>2598</v>
      </c>
      <c r="D65" s="578" t="s">
        <v>2599</v>
      </c>
      <c r="E65" s="578" t="s">
        <v>2600</v>
      </c>
      <c r="F65" s="578" t="s">
        <v>2601</v>
      </c>
      <c r="G65" s="578" t="s">
        <v>2602</v>
      </c>
      <c r="H65" s="539"/>
      <c r="I65" s="539"/>
      <c r="J65" s="539"/>
      <c r="K65" s="540"/>
      <c r="L65" s="541"/>
      <c r="M65" s="542"/>
      <c r="N65" s="1153"/>
      <c r="O65" s="1153"/>
      <c r="P65" s="1430"/>
      <c r="Q65" s="1424"/>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30"/>
      <c r="Q66" s="1424"/>
      <c r="R66" s="1145"/>
      <c r="S66" s="1145"/>
      <c r="T66" s="1145"/>
      <c r="U66" s="1145"/>
      <c r="V66" s="1145"/>
      <c r="W66" s="1145"/>
      <c r="X66" s="1145"/>
      <c r="Y66" s="1145"/>
      <c r="Z66" s="1145"/>
      <c r="AA66" s="1145"/>
      <c r="AB66" s="1145"/>
      <c r="AC66" s="1145"/>
    </row>
    <row r="67" spans="1:29" ht="15.75" thickTop="1">
      <c r="A67" s="534"/>
      <c r="B67" s="546" t="s">
        <v>2690</v>
      </c>
      <c r="C67" s="660" t="s">
        <v>2676</v>
      </c>
      <c r="D67" s="660" t="s">
        <v>2677</v>
      </c>
      <c r="E67" s="660" t="s">
        <v>2678</v>
      </c>
      <c r="F67" s="660" t="s">
        <v>2679</v>
      </c>
      <c r="G67" s="660" t="s">
        <v>2680</v>
      </c>
      <c r="H67" s="539"/>
      <c r="I67" s="539"/>
      <c r="J67" s="539"/>
      <c r="K67" s="539"/>
      <c r="L67" s="539"/>
      <c r="M67" s="1383"/>
      <c r="N67" s="1154"/>
      <c r="O67" s="1154"/>
      <c r="P67" s="1430"/>
      <c r="Q67" s="1424"/>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30"/>
      <c r="Q68" s="1424"/>
      <c r="R68" s="1145"/>
      <c r="S68" s="1145"/>
      <c r="T68" s="1145"/>
      <c r="U68" s="1145"/>
      <c r="V68" s="1145"/>
      <c r="W68" s="1145"/>
      <c r="X68" s="1145"/>
      <c r="Y68" s="1145"/>
      <c r="Z68" s="1145"/>
      <c r="AA68" s="1145"/>
      <c r="AB68" s="1145"/>
      <c r="AC68" s="1145"/>
    </row>
    <row r="69" spans="1:29" ht="15.75" thickTop="1">
      <c r="A69" s="534"/>
      <c r="B69" s="538" t="s">
        <v>2610</v>
      </c>
      <c r="C69" s="578" t="s">
        <v>2598</v>
      </c>
      <c r="D69" s="578" t="s">
        <v>2599</v>
      </c>
      <c r="E69" s="578" t="s">
        <v>2600</v>
      </c>
      <c r="F69" s="578" t="s">
        <v>2601</v>
      </c>
      <c r="G69" s="578" t="s">
        <v>2602</v>
      </c>
      <c r="H69" s="539"/>
      <c r="I69" s="539"/>
      <c r="J69" s="539"/>
      <c r="K69" s="540"/>
      <c r="L69" s="541"/>
      <c r="M69" s="542"/>
      <c r="N69" s="1153"/>
      <c r="O69" s="1153"/>
      <c r="P69" s="1430"/>
      <c r="Q69" s="1424"/>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30"/>
      <c r="Q70" s="1424"/>
      <c r="R70" s="1145"/>
      <c r="S70" s="1145"/>
      <c r="T70" s="1145"/>
      <c r="U70" s="1145"/>
      <c r="V70" s="1145"/>
      <c r="W70" s="1145"/>
      <c r="X70" s="1145"/>
      <c r="Y70" s="1145"/>
      <c r="Z70" s="1145"/>
      <c r="AA70" s="1145"/>
      <c r="AB70" s="1145"/>
      <c r="AC70" s="1145"/>
    </row>
    <row r="71" spans="1:29" ht="15.75" thickTop="1">
      <c r="A71" s="534"/>
      <c r="B71" s="538" t="s">
        <v>2730</v>
      </c>
      <c r="C71" s="554"/>
      <c r="D71" s="554"/>
      <c r="E71" s="554"/>
      <c r="F71" s="554"/>
      <c r="G71" s="554"/>
      <c r="H71" s="583"/>
      <c r="I71" s="583"/>
      <c r="J71" s="583"/>
      <c r="K71" s="584"/>
      <c r="L71" s="585"/>
      <c r="M71" s="586"/>
      <c r="N71" s="1153"/>
      <c r="O71" s="1153"/>
      <c r="P71" s="1430"/>
      <c r="Q71" s="1424"/>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30"/>
      <c r="Q72" s="1424"/>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30"/>
      <c r="Q73" s="1424"/>
      <c r="R73" s="1428"/>
      <c r="S73" s="1428"/>
      <c r="T73" s="1428"/>
      <c r="U73" s="1428"/>
      <c r="V73" s="1428"/>
      <c r="W73" s="1428"/>
      <c r="X73" s="1428"/>
      <c r="Y73" s="1428"/>
      <c r="Z73" s="1428"/>
      <c r="AA73" s="1428"/>
      <c r="AB73" s="1428"/>
      <c r="AC73" s="1428"/>
    </row>
    <row r="74" spans="1:29" s="117" customFormat="1" ht="15.75" thickBot="1">
      <c r="A74" s="579"/>
      <c r="B74" s="543"/>
      <c r="C74" s="560"/>
      <c r="D74" s="536"/>
      <c r="E74" s="536"/>
      <c r="F74" s="536"/>
      <c r="G74" s="536"/>
      <c r="H74" s="536"/>
      <c r="I74" s="536"/>
      <c r="J74" s="536"/>
      <c r="K74" s="536"/>
      <c r="L74" s="536"/>
      <c r="M74" s="537"/>
      <c r="N74" s="1154"/>
      <c r="O74" s="1154"/>
      <c r="P74" s="1430"/>
      <c r="Q74" s="1424"/>
      <c r="R74" s="1428"/>
      <c r="S74" s="1428"/>
      <c r="T74" s="1428"/>
      <c r="U74" s="1428"/>
      <c r="V74" s="1428"/>
      <c r="W74" s="1428"/>
      <c r="X74" s="1428"/>
      <c r="Y74" s="1428"/>
      <c r="Z74" s="1428"/>
      <c r="AA74" s="1428"/>
      <c r="AB74" s="1428"/>
      <c r="AC74" s="1428"/>
    </row>
    <row r="75" spans="1:29" s="117" customFormat="1" ht="15.75" thickTop="1">
      <c r="A75" s="579"/>
      <c r="B75" s="538">
        <f>B24</f>
        <v>111</v>
      </c>
      <c r="C75" s="549"/>
      <c r="D75" s="549"/>
      <c r="E75" s="549"/>
      <c r="F75" s="549"/>
      <c r="G75" s="554"/>
      <c r="H75" s="554"/>
      <c r="I75" s="554"/>
      <c r="J75" s="554"/>
      <c r="K75" s="554"/>
      <c r="L75" s="554"/>
      <c r="M75" s="581"/>
      <c r="N75" s="1152"/>
      <c r="O75" s="1152"/>
      <c r="P75" s="1430"/>
      <c r="Q75" s="1424"/>
      <c r="R75" s="1428"/>
      <c r="S75" s="1428"/>
      <c r="T75" s="1428"/>
      <c r="U75" s="1428"/>
      <c r="V75" s="1428"/>
      <c r="W75" s="1428"/>
      <c r="X75" s="1428"/>
      <c r="Y75" s="1428"/>
      <c r="Z75" s="1428"/>
      <c r="AA75" s="1428"/>
      <c r="AB75" s="1428"/>
      <c r="AC75" s="1428"/>
    </row>
    <row r="76" spans="1:29" s="117" customFormat="1" ht="15.75" thickBot="1">
      <c r="A76" s="579"/>
      <c r="B76" s="543"/>
      <c r="C76" s="560"/>
      <c r="D76" s="536"/>
      <c r="E76" s="536"/>
      <c r="F76" s="536"/>
      <c r="G76" s="536"/>
      <c r="H76" s="536"/>
      <c r="I76" s="536"/>
      <c r="J76" s="536"/>
      <c r="K76" s="536"/>
      <c r="L76" s="536"/>
      <c r="M76" s="537"/>
      <c r="N76" s="1154"/>
      <c r="O76" s="1154"/>
      <c r="P76" s="1430"/>
      <c r="Q76" s="1424"/>
      <c r="R76" s="1428"/>
      <c r="S76" s="1428"/>
      <c r="T76" s="1428"/>
      <c r="U76" s="1428"/>
      <c r="V76" s="1428"/>
      <c r="W76" s="1428"/>
      <c r="X76" s="1428"/>
      <c r="Y76" s="1428"/>
      <c r="Z76" s="1428"/>
      <c r="AA76" s="1428"/>
      <c r="AB76" s="1428"/>
      <c r="AC76" s="1428"/>
    </row>
    <row r="77" spans="1:29" s="471" customFormat="1" ht="15.75" thickTop="1">
      <c r="A77" s="553"/>
      <c r="B77" s="538">
        <f>B25</f>
        <v>111</v>
      </c>
      <c r="C77" s="554"/>
      <c r="D77" s="554"/>
      <c r="E77" s="554"/>
      <c r="F77" s="554"/>
      <c r="G77" s="554"/>
      <c r="H77" s="555"/>
      <c r="I77" s="555"/>
      <c r="J77" s="555"/>
      <c r="K77" s="555"/>
      <c r="L77" s="556"/>
      <c r="M77" s="557"/>
      <c r="N77" s="1155"/>
      <c r="O77" s="1155"/>
      <c r="P77" s="1431"/>
      <c r="Q77" s="1432"/>
      <c r="R77" s="1433"/>
      <c r="S77" s="1433"/>
      <c r="T77" s="1433"/>
      <c r="U77" s="1433"/>
      <c r="V77" s="1433"/>
      <c r="W77" s="1433"/>
      <c r="X77" s="1433"/>
      <c r="Y77" s="1433"/>
      <c r="Z77" s="1433"/>
      <c r="AA77" s="1433"/>
      <c r="AB77" s="1433"/>
      <c r="AC77" s="1433"/>
    </row>
    <row r="78" spans="1:29" s="471" customFormat="1" ht="15.75" thickBot="1">
      <c r="A78" s="553"/>
      <c r="B78" s="543"/>
      <c r="C78" s="560"/>
      <c r="D78" s="560"/>
      <c r="E78" s="560"/>
      <c r="F78" s="560"/>
      <c r="G78" s="536"/>
      <c r="H78" s="536"/>
      <c r="I78" s="536"/>
      <c r="J78" s="536"/>
      <c r="K78" s="536"/>
      <c r="L78" s="536"/>
      <c r="M78" s="537"/>
      <c r="N78" s="1155"/>
      <c r="O78" s="1155"/>
      <c r="P78" s="1431"/>
      <c r="Q78" s="1432"/>
      <c r="R78" s="1433"/>
      <c r="S78" s="1433"/>
      <c r="T78" s="1433"/>
      <c r="U78" s="1433"/>
      <c r="V78" s="1433"/>
      <c r="W78" s="1433"/>
      <c r="X78" s="1433"/>
      <c r="Y78" s="1433"/>
      <c r="Z78" s="1433"/>
      <c r="AA78" s="1433"/>
      <c r="AB78" s="1433"/>
      <c r="AC78" s="1433"/>
    </row>
    <row r="79" spans="1:29" ht="27.75" thickTop="1">
      <c r="A79" s="527" t="s">
        <v>2564</v>
      </c>
      <c r="B79" s="528" t="s">
        <v>2731</v>
      </c>
      <c r="C79" s="529">
        <f>C26</f>
        <v>0</v>
      </c>
      <c r="D79" s="530"/>
      <c r="E79" s="530"/>
      <c r="F79" s="530"/>
      <c r="G79" s="530"/>
      <c r="H79" s="530"/>
      <c r="I79" s="530"/>
      <c r="J79" s="530"/>
      <c r="K79" s="531"/>
      <c r="L79" s="532"/>
      <c r="M79" s="533"/>
      <c r="N79" s="1153"/>
      <c r="O79" s="1153"/>
      <c r="P79" s="1430"/>
      <c r="Q79" s="1424"/>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4"/>
      <c r="B81" s="538" t="s">
        <v>2732</v>
      </c>
      <c r="C81" s="661"/>
      <c r="D81" s="661"/>
      <c r="E81" s="661"/>
      <c r="F81" s="661"/>
      <c r="G81" s="661"/>
      <c r="H81" s="661"/>
      <c r="I81" s="661"/>
      <c r="J81" s="661"/>
      <c r="K81" s="662"/>
      <c r="L81" s="663"/>
      <c r="M81" s="664"/>
      <c r="N81" s="1152"/>
      <c r="O81" s="1152"/>
      <c r="P81" s="1430"/>
      <c r="Q81" s="1424"/>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31"/>
      <c r="Q82" s="1432"/>
      <c r="R82" s="1433"/>
      <c r="S82" s="1433"/>
      <c r="T82" s="1433"/>
      <c r="U82" s="1433"/>
      <c r="V82" s="1433"/>
      <c r="W82" s="1433"/>
      <c r="X82" s="1433"/>
      <c r="Y82" s="1433"/>
      <c r="Z82" s="1433"/>
      <c r="AA82" s="1433"/>
      <c r="AB82" s="1433"/>
      <c r="AC82" s="1433"/>
    </row>
    <row r="83" spans="1:29" ht="15" thickTop="1">
      <c r="A83" s="599"/>
      <c r="B83" s="538" t="s">
        <v>2617</v>
      </c>
      <c r="C83" s="554"/>
      <c r="D83" s="554"/>
      <c r="E83" s="583"/>
      <c r="F83" s="583"/>
      <c r="G83" s="583"/>
      <c r="H83" s="583"/>
      <c r="I83" s="583"/>
      <c r="J83" s="583"/>
      <c r="K83" s="584"/>
      <c r="L83" s="585"/>
      <c r="M83" s="586"/>
      <c r="N83" s="1153"/>
      <c r="O83" s="1153"/>
      <c r="P83" s="1430"/>
      <c r="Q83" s="1424"/>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30"/>
      <c r="Q85" s="1424"/>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30"/>
      <c r="Q86" s="1424"/>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9"/>
      <c r="B88" s="546" t="s">
        <v>2734</v>
      </c>
      <c r="C88" s="530"/>
      <c r="D88" s="530"/>
      <c r="E88" s="530"/>
      <c r="F88" s="530"/>
      <c r="G88" s="530"/>
      <c r="H88" s="530"/>
      <c r="I88" s="530"/>
      <c r="J88" s="530"/>
      <c r="K88" s="531"/>
      <c r="L88" s="532"/>
      <c r="M88" s="533"/>
      <c r="N88" s="1153"/>
      <c r="O88" s="1153"/>
      <c r="P88" s="1430"/>
      <c r="Q88" s="1424"/>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30"/>
      <c r="Q89" s="1424"/>
      <c r="R89" s="1145"/>
      <c r="S89" s="1145"/>
      <c r="T89" s="1145"/>
      <c r="U89" s="1145"/>
      <c r="V89" s="1145"/>
      <c r="W89" s="1145"/>
      <c r="X89" s="1145"/>
      <c r="Y89" s="1145"/>
      <c r="Z89" s="1145"/>
      <c r="AA89" s="1145"/>
      <c r="AB89" s="1145"/>
      <c r="AC89" s="1145"/>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31"/>
      <c r="Q90" s="1432"/>
      <c r="R90" s="1433"/>
      <c r="S90" s="1433"/>
      <c r="T90" s="1433"/>
      <c r="U90" s="1433"/>
      <c r="V90" s="1433"/>
      <c r="W90" s="1433"/>
      <c r="X90" s="1433"/>
      <c r="Y90" s="1433"/>
      <c r="Z90" s="1433"/>
      <c r="AA90" s="1433"/>
      <c r="AB90" s="1433"/>
      <c r="AC90" s="1433"/>
    </row>
    <row r="91" spans="1:29" s="471" customFormat="1">
      <c r="A91" s="593"/>
      <c r="B91" s="546"/>
      <c r="C91" s="595"/>
      <c r="D91" s="595"/>
      <c r="E91" s="595"/>
      <c r="F91" s="595"/>
      <c r="G91" s="595"/>
      <c r="H91" s="595"/>
      <c r="I91" s="595"/>
      <c r="J91" s="596"/>
      <c r="K91" s="596"/>
      <c r="L91" s="597"/>
      <c r="M91" s="598"/>
      <c r="N91" s="1155"/>
      <c r="O91" s="1155"/>
      <c r="P91" s="1431"/>
      <c r="Q91" s="1432"/>
      <c r="R91" s="1433"/>
      <c r="S91" s="1433"/>
      <c r="T91" s="1433"/>
      <c r="U91" s="1433"/>
      <c r="V91" s="1433"/>
      <c r="W91" s="1433"/>
      <c r="X91" s="1433"/>
      <c r="Y91" s="1433"/>
      <c r="Z91" s="1433"/>
      <c r="AA91" s="1433"/>
      <c r="AB91" s="1433"/>
      <c r="AC91" s="1433"/>
    </row>
    <row r="92" spans="1:29" s="471" customFormat="1" ht="15.75" thickBot="1">
      <c r="A92" s="553"/>
      <c r="B92" s="543"/>
      <c r="C92" s="560"/>
      <c r="D92" s="536"/>
      <c r="E92" s="536"/>
      <c r="F92" s="536"/>
      <c r="G92" s="536"/>
      <c r="H92" s="536"/>
      <c r="I92" s="536"/>
      <c r="J92" s="536"/>
      <c r="K92" s="536"/>
      <c r="L92" s="536"/>
      <c r="M92" s="537"/>
      <c r="N92" s="1155"/>
      <c r="O92" s="1155"/>
      <c r="P92" s="1431"/>
      <c r="Q92" s="1432"/>
      <c r="R92" s="1433"/>
      <c r="S92" s="1433"/>
      <c r="T92" s="1433"/>
      <c r="U92" s="1433"/>
      <c r="V92" s="1433"/>
      <c r="W92" s="1433"/>
      <c r="X92" s="1433"/>
      <c r="Y92" s="1433"/>
      <c r="Z92" s="1433"/>
      <c r="AA92" s="1433"/>
      <c r="AB92" s="1433"/>
      <c r="AC92" s="1433"/>
    </row>
    <row r="93" spans="1:29" ht="15" thickTop="1">
      <c r="A93" s="599"/>
      <c r="B93" s="538" t="s">
        <v>2736</v>
      </c>
      <c r="C93" s="554"/>
      <c r="D93" s="554"/>
      <c r="E93" s="583"/>
      <c r="F93" s="583"/>
      <c r="G93" s="583"/>
      <c r="H93" s="583"/>
      <c r="I93" s="583"/>
      <c r="J93" s="583"/>
      <c r="K93" s="584"/>
      <c r="L93" s="585"/>
      <c r="M93" s="586"/>
      <c r="N93" s="1153"/>
      <c r="O93" s="1153"/>
      <c r="P93" s="1430"/>
      <c r="Q93" s="1424"/>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9"/>
      <c r="B95" s="538" t="s">
        <v>2737</v>
      </c>
      <c r="C95" s="530"/>
      <c r="D95" s="530"/>
      <c r="E95" s="530"/>
      <c r="F95" s="530"/>
      <c r="G95" s="530"/>
      <c r="H95" s="530"/>
      <c r="I95" s="530"/>
      <c r="J95" s="530"/>
      <c r="K95" s="531"/>
      <c r="L95" s="532"/>
      <c r="M95" s="533"/>
      <c r="N95" s="1153"/>
      <c r="O95" s="1153"/>
      <c r="P95" s="1430"/>
      <c r="Q95" s="1424"/>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30"/>
      <c r="Q96" s="1424"/>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7"/>
      <c r="Q97" s="1438"/>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30"/>
      <c r="Q98" s="1424"/>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31"/>
      <c r="Q99" s="1432"/>
      <c r="R99" s="1433"/>
      <c r="S99" s="1433"/>
      <c r="T99" s="1433"/>
      <c r="U99" s="1433"/>
      <c r="V99" s="1433"/>
      <c r="W99" s="1433"/>
      <c r="X99" s="1433"/>
      <c r="Y99" s="1433"/>
      <c r="Z99" s="1433"/>
      <c r="AA99" s="1433"/>
      <c r="AB99" s="1433"/>
      <c r="AC99" s="1433"/>
    </row>
    <row r="100" spans="1:29" s="471" customFormat="1" ht="15.75" thickBot="1">
      <c r="A100" s="553"/>
      <c r="B100" s="535"/>
      <c r="C100" s="560"/>
      <c r="D100" s="536"/>
      <c r="E100" s="536"/>
      <c r="F100" s="536"/>
      <c r="G100" s="560"/>
      <c r="H100" s="562"/>
      <c r="I100" s="562"/>
      <c r="J100" s="562"/>
      <c r="K100" s="562"/>
      <c r="L100" s="562"/>
      <c r="M100" s="563"/>
      <c r="N100" s="1155"/>
      <c r="O100" s="1155"/>
      <c r="P100" s="1431"/>
      <c r="Q100" s="1432"/>
      <c r="R100" s="1433"/>
      <c r="S100" s="1433"/>
      <c r="T100" s="1433"/>
      <c r="U100" s="1433"/>
      <c r="V100" s="1433"/>
      <c r="W100" s="1433"/>
      <c r="X100" s="1433"/>
      <c r="Y100" s="1433"/>
      <c r="Z100" s="1433"/>
      <c r="AA100" s="1433"/>
      <c r="AB100" s="1433"/>
      <c r="AC100" s="1433"/>
    </row>
    <row r="101" spans="1:29" ht="15" thickTop="1">
      <c r="A101" s="599"/>
      <c r="B101" s="538">
        <f>B36</f>
        <v>111</v>
      </c>
      <c r="C101" s="554"/>
      <c r="D101" s="554"/>
      <c r="E101" s="554"/>
      <c r="F101" s="554"/>
      <c r="G101" s="554"/>
      <c r="H101" s="555"/>
      <c r="I101" s="555"/>
      <c r="J101" s="555"/>
      <c r="K101" s="555"/>
      <c r="L101" s="556"/>
      <c r="M101" s="557"/>
      <c r="N101" s="1153"/>
      <c r="O101" s="1153"/>
      <c r="P101" s="1430"/>
      <c r="Q101" s="1424"/>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6" priority="14" stopIfTrue="1" operator="containsText" text="超过">
      <formula>NOT(ISERROR(SEARCH("超过",F42)))</formula>
    </cfRule>
  </conditionalFormatting>
  <conditionalFormatting sqref="J44">
    <cfRule type="containsText" dxfId="85" priority="13" stopIfTrue="1" operator="containsText" text="超过">
      <formula>NOT(ISERROR(SEARCH("超过",J44)))</formula>
    </cfRule>
  </conditionalFormatting>
  <conditionalFormatting sqref="H44">
    <cfRule type="containsText" dxfId="84" priority="12" stopIfTrue="1" operator="containsText" text="超过">
      <formula>NOT(ISERROR(SEARCH("超过",H44)))</formula>
    </cfRule>
  </conditionalFormatting>
  <conditionalFormatting sqref="F44">
    <cfRule type="containsText" dxfId="83" priority="11" stopIfTrue="1" operator="containsText" text="超过">
      <formula>NOT(ISERROR(SEARCH("超过",F44)))</formula>
    </cfRule>
  </conditionalFormatting>
  <conditionalFormatting sqref="F43 H43 J43">
    <cfRule type="containsText" dxfId="82" priority="10" stopIfTrue="1" operator="containsText" text="超过">
      <formula>NOT(ISERROR(SEARCH("超过",F43)))</formula>
    </cfRule>
  </conditionalFormatting>
  <conditionalFormatting sqref="E42">
    <cfRule type="expression" dxfId="81" priority="9" stopIfTrue="1">
      <formula>$F$42="超过30%"</formula>
    </cfRule>
  </conditionalFormatting>
  <conditionalFormatting sqref="G44">
    <cfRule type="expression" dxfId="80" priority="8" stopIfTrue="1">
      <formula>$H$54+$H$44="超过30%"</formula>
    </cfRule>
  </conditionalFormatting>
  <conditionalFormatting sqref="E43">
    <cfRule type="expression" dxfId="79" priority="7" stopIfTrue="1">
      <formula>$F$43="超过20%"</formula>
    </cfRule>
  </conditionalFormatting>
  <conditionalFormatting sqref="E44">
    <cfRule type="expression" dxfId="78" priority="6" stopIfTrue="1">
      <formula>$F$44="超过30%"</formula>
    </cfRule>
  </conditionalFormatting>
  <conditionalFormatting sqref="G42">
    <cfRule type="expression" dxfId="77" priority="5" stopIfTrue="1">
      <formula>$H$52+$H$42="超过30%"</formula>
    </cfRule>
  </conditionalFormatting>
  <conditionalFormatting sqref="G43">
    <cfRule type="expression" dxfId="76" priority="4" stopIfTrue="1">
      <formula>$H$43="超过20%"</formula>
    </cfRule>
  </conditionalFormatting>
  <conditionalFormatting sqref="I42">
    <cfRule type="expression" dxfId="75" priority="3" stopIfTrue="1">
      <formula>$J$52+$J$42="超过30%"</formula>
    </cfRule>
  </conditionalFormatting>
  <conditionalFormatting sqref="I43">
    <cfRule type="expression" dxfId="74" priority="2" stopIfTrue="1">
      <formula>$J$53+$J$43="超过20%"</formula>
    </cfRule>
  </conditionalFormatting>
  <conditionalFormatting sqref="I44">
    <cfRule type="expression" dxfId="7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2708</v>
      </c>
      <c r="B1" s="1620"/>
      <c r="C1" s="1621" t="s">
        <v>2531</v>
      </c>
      <c r="D1" s="1622"/>
      <c r="E1" s="1631"/>
      <c r="F1" s="2585"/>
      <c r="G1" s="1632" t="s">
        <v>2644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2328</v>
      </c>
      <c r="B2" s="1419" t="e">
        <f ca="1">IF(C2="——",ROUND(C37*D3/10000,0),ROUND(C37*D3/10000,0)-D2)</f>
        <v>#DIV/0!</v>
      </c>
      <c r="C2" s="2587"/>
      <c r="D2" s="1125" t="e">
        <f ca="1">SUMIF(INDIRECT("'"&amp;F2&amp;"'"&amp;"!A:A"),"承租人权益价值",INDIRECT("'"&amp;F2&amp;"'"&amp;"!c:c"))</f>
        <v>#REF!</v>
      </c>
      <c r="E2" s="2588" t="s">
        <v>2329</v>
      </c>
      <c r="F2" s="2589"/>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2330</v>
      </c>
      <c r="B3" s="609" t="e">
        <f ca="1">IF(C2="——",C37,ROUND(B2*10000/D3,0))</f>
        <v>#DIV/0!</v>
      </c>
      <c r="C3" s="400" t="s">
        <v>2645</v>
      </c>
      <c r="D3" s="399">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2646</v>
      </c>
      <c r="B4" s="402"/>
      <c r="C4" s="3244" t="s">
        <v>2647</v>
      </c>
      <c r="D4" s="3245"/>
      <c r="E4" s="3246" t="s">
        <v>2648</v>
      </c>
      <c r="F4" s="3247"/>
      <c r="G4" s="3244" t="s">
        <v>2649</v>
      </c>
      <c r="H4" s="3245"/>
      <c r="I4" s="3244" t="s">
        <v>2650</v>
      </c>
      <c r="J4" s="3245"/>
      <c r="K4" s="610" t="s">
        <v>2651</v>
      </c>
      <c r="L4" s="1131"/>
      <c r="M4" s="1132"/>
      <c r="N4" s="1132"/>
      <c r="O4" s="1132"/>
      <c r="P4" s="3248" t="s">
        <v>2652</v>
      </c>
      <c r="Q4" s="3249"/>
      <c r="R4" s="3231" t="s">
        <v>2648</v>
      </c>
      <c r="S4" s="3232"/>
      <c r="T4" s="3231" t="s">
        <v>2649</v>
      </c>
      <c r="U4" s="3232"/>
      <c r="V4" s="3228" t="s">
        <v>2650</v>
      </c>
      <c r="W4" s="3228"/>
      <c r="X4" s="1811"/>
      <c r="Y4" s="3231" t="s">
        <v>2652</v>
      </c>
      <c r="Z4" s="3232"/>
      <c r="AA4" s="3225" t="s">
        <v>2648</v>
      </c>
      <c r="AB4" s="3226" t="s">
        <v>2649</v>
      </c>
      <c r="AC4" s="3225" t="s">
        <v>2650</v>
      </c>
    </row>
    <row r="5" spans="1:29" ht="15">
      <c r="A5" s="404"/>
      <c r="B5" s="405"/>
      <c r="C5" s="3237" t="s">
        <v>2543</v>
      </c>
      <c r="D5" s="3238"/>
      <c r="E5" s="3235" t="s">
        <v>2544</v>
      </c>
      <c r="F5" s="3236"/>
      <c r="G5" s="3237" t="s">
        <v>2545</v>
      </c>
      <c r="H5" s="3238"/>
      <c r="I5" s="3237" t="s">
        <v>2546</v>
      </c>
      <c r="J5" s="3238"/>
      <c r="K5" s="610"/>
      <c r="L5" s="1131"/>
      <c r="M5" s="1132"/>
      <c r="N5" s="1132"/>
      <c r="O5" s="1132"/>
      <c r="P5" s="3250"/>
      <c r="Q5" s="3251"/>
      <c r="R5" s="3233"/>
      <c r="S5" s="3234"/>
      <c r="T5" s="3233"/>
      <c r="U5" s="3234"/>
      <c r="V5" s="3228"/>
      <c r="W5" s="3228"/>
      <c r="X5" s="1811"/>
      <c r="Y5" s="3233"/>
      <c r="Z5" s="3234"/>
      <c r="AA5" s="3226"/>
      <c r="AB5" s="3226"/>
      <c r="AC5" s="3226"/>
    </row>
    <row r="6" spans="1:29" ht="15.75" thickBot="1">
      <c r="A6" s="406"/>
      <c r="B6" s="407"/>
      <c r="C6" s="3239" t="s">
        <v>2547</v>
      </c>
      <c r="D6" s="3240"/>
      <c r="E6" s="3241" t="s">
        <v>2547</v>
      </c>
      <c r="F6" s="3242"/>
      <c r="G6" s="3239" t="s">
        <v>2547</v>
      </c>
      <c r="H6" s="3240"/>
      <c r="I6" s="3239" t="s">
        <v>2547</v>
      </c>
      <c r="J6" s="3240"/>
      <c r="K6" s="610" t="s">
        <v>2548</v>
      </c>
      <c r="L6" s="1131"/>
      <c r="M6" s="1132"/>
      <c r="N6" s="1132"/>
      <c r="O6" s="1132"/>
      <c r="P6" s="3252"/>
      <c r="Q6" s="3253"/>
      <c r="R6" s="3233"/>
      <c r="S6" s="3234"/>
      <c r="T6" s="3254"/>
      <c r="U6" s="3255"/>
      <c r="V6" s="3228"/>
      <c r="W6" s="3228"/>
      <c r="X6" s="1811"/>
      <c r="Y6" s="3254"/>
      <c r="Z6" s="3255"/>
      <c r="AA6" s="3227"/>
      <c r="AB6" s="3227"/>
      <c r="AC6" s="3227"/>
    </row>
    <row r="7" spans="1:29" s="117" customFormat="1" ht="15.75" thickBot="1">
      <c r="A7" s="408" t="s">
        <v>2549</v>
      </c>
      <c r="B7" s="409"/>
      <c r="C7" s="410">
        <f>'数据-取费表'!B2</f>
        <v>43570</v>
      </c>
      <c r="D7" s="411">
        <v>100</v>
      </c>
      <c r="E7" s="412"/>
      <c r="F7" s="413">
        <f>SUMIF(46:46,YEAR(E7)&amp;"-"&amp;MONTH(E7),47:47)</f>
        <v>0</v>
      </c>
      <c r="G7" s="2696"/>
      <c r="H7" s="411">
        <f>SUMIF(46:46,YEAR(G7)&amp;"-"&amp;MONTH(G7),47:47)</f>
        <v>0</v>
      </c>
      <c r="I7" s="412"/>
      <c r="J7" s="411">
        <f>SUMIF(46:46,YEAR(I7)&amp;"-"&amp;MONTH(I7),47:47)</f>
        <v>0</v>
      </c>
      <c r="K7" s="611"/>
      <c r="L7" s="1133"/>
      <c r="M7" s="1134"/>
      <c r="N7" s="1134"/>
      <c r="O7" s="1134"/>
      <c r="P7" s="3229" t="s">
        <v>2550</v>
      </c>
      <c r="Q7" s="3256"/>
      <c r="R7" s="768" t="s">
        <v>17</v>
      </c>
      <c r="S7" s="769">
        <f t="shared" ref="S7:S14" si="0">F7</f>
        <v>0</v>
      </c>
      <c r="T7" s="768" t="s">
        <v>17</v>
      </c>
      <c r="U7" s="769">
        <f t="shared" ref="U7:U14" si="1">H7</f>
        <v>0</v>
      </c>
      <c r="V7" s="768" t="s">
        <v>17</v>
      </c>
      <c r="W7" s="769">
        <f t="shared" ref="W7:W14" si="2">J7</f>
        <v>0</v>
      </c>
      <c r="X7" s="770"/>
      <c r="Y7" s="3229" t="s">
        <v>2550</v>
      </c>
      <c r="Z7" s="3230"/>
      <c r="AA7" s="771" t="e">
        <f>D7/F7</f>
        <v>#DIV/0!</v>
      </c>
      <c r="AB7" s="771" t="e">
        <f>D7/H7</f>
        <v>#DIV/0!</v>
      </c>
      <c r="AC7" s="771"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229" t="s">
        <v>2553</v>
      </c>
      <c r="Q8" s="3230"/>
      <c r="R8" s="768" t="s">
        <v>17</v>
      </c>
      <c r="S8" s="769">
        <f t="shared" si="0"/>
        <v>0</v>
      </c>
      <c r="T8" s="768" t="s">
        <v>17</v>
      </c>
      <c r="U8" s="769">
        <f t="shared" si="1"/>
        <v>0</v>
      </c>
      <c r="V8" s="768" t="s">
        <v>17</v>
      </c>
      <c r="W8" s="769">
        <f t="shared" si="2"/>
        <v>0</v>
      </c>
      <c r="X8" s="770"/>
      <c r="Y8" s="3229" t="s">
        <v>2553</v>
      </c>
      <c r="Z8" s="3230"/>
      <c r="AA8" s="771" t="e">
        <f t="shared" ref="AA8:AA34" si="3">D8/F8</f>
        <v>#DIV/0!</v>
      </c>
      <c r="AB8" s="771" t="e">
        <f t="shared" ref="AB8:AB34" si="4">D8/H8</f>
        <v>#DIV/0!</v>
      </c>
      <c r="AC8" s="771"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266" t="s">
        <v>2556</v>
      </c>
      <c r="Q9" s="1793" t="str">
        <f t="shared" ref="Q9:Q14" si="6">B9</f>
        <v>用途</v>
      </c>
      <c r="R9" s="768" t="s">
        <v>17</v>
      </c>
      <c r="S9" s="769">
        <f t="shared" si="0"/>
        <v>100</v>
      </c>
      <c r="T9" s="768" t="s">
        <v>17</v>
      </c>
      <c r="U9" s="769">
        <f t="shared" si="1"/>
        <v>100</v>
      </c>
      <c r="V9" s="768" t="s">
        <v>17</v>
      </c>
      <c r="W9" s="769">
        <f t="shared" si="2"/>
        <v>100</v>
      </c>
      <c r="X9" s="770"/>
      <c r="Y9" s="3102" t="s">
        <v>2557</v>
      </c>
      <c r="Z9" s="55" t="str">
        <f t="shared" ref="Z9:Z14" si="7">Q9</f>
        <v>用途</v>
      </c>
      <c r="AA9" s="771">
        <f t="shared" si="3"/>
        <v>1</v>
      </c>
      <c r="AB9" s="771">
        <f t="shared" si="4"/>
        <v>1</v>
      </c>
      <c r="AC9" s="771">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266"/>
      <c r="Q10" s="1793" t="str">
        <f t="shared" si="6"/>
        <v>土地使用年限（年）</v>
      </c>
      <c r="R10" s="768" t="s">
        <v>17</v>
      </c>
      <c r="S10" s="769">
        <f t="shared" si="0"/>
        <v>100</v>
      </c>
      <c r="T10" s="768" t="s">
        <v>17</v>
      </c>
      <c r="U10" s="769">
        <f t="shared" si="1"/>
        <v>100</v>
      </c>
      <c r="V10" s="768" t="s">
        <v>17</v>
      </c>
      <c r="W10" s="769">
        <f t="shared" si="2"/>
        <v>100</v>
      </c>
      <c r="X10" s="770"/>
      <c r="Y10" s="3102"/>
      <c r="Z10" s="55" t="str">
        <f t="shared" si="7"/>
        <v>土地使用年限（年）</v>
      </c>
      <c r="AA10" s="771">
        <f t="shared" si="3"/>
        <v>1</v>
      </c>
      <c r="AB10" s="771">
        <f t="shared" si="4"/>
        <v>1</v>
      </c>
      <c r="AC10" s="771">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266"/>
      <c r="Q11" s="1793">
        <f t="shared" si="6"/>
        <v>111</v>
      </c>
      <c r="R11" s="768" t="s">
        <v>17</v>
      </c>
      <c r="S11" s="769">
        <f t="shared" si="0"/>
        <v>100</v>
      </c>
      <c r="T11" s="768" t="s">
        <v>17</v>
      </c>
      <c r="U11" s="769">
        <f t="shared" si="1"/>
        <v>100</v>
      </c>
      <c r="V11" s="768" t="s">
        <v>17</v>
      </c>
      <c r="W11" s="769">
        <f t="shared" si="2"/>
        <v>100</v>
      </c>
      <c r="X11" s="770"/>
      <c r="Y11" s="3102"/>
      <c r="Z11" s="55">
        <f t="shared" si="7"/>
        <v>111</v>
      </c>
      <c r="AA11" s="771">
        <f t="shared" si="3"/>
        <v>1</v>
      </c>
      <c r="AB11" s="771">
        <f t="shared" si="4"/>
        <v>1</v>
      </c>
      <c r="AC11" s="771">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266"/>
      <c r="Q12" s="1793">
        <f t="shared" si="6"/>
        <v>111</v>
      </c>
      <c r="R12" s="768" t="s">
        <v>17</v>
      </c>
      <c r="S12" s="769">
        <f t="shared" si="0"/>
        <v>100</v>
      </c>
      <c r="T12" s="768" t="s">
        <v>17</v>
      </c>
      <c r="U12" s="769">
        <f t="shared" si="1"/>
        <v>100</v>
      </c>
      <c r="V12" s="768" t="s">
        <v>17</v>
      </c>
      <c r="W12" s="769">
        <f t="shared" si="2"/>
        <v>100</v>
      </c>
      <c r="X12" s="770"/>
      <c r="Y12" s="3102"/>
      <c r="Z12" s="55">
        <f t="shared" si="7"/>
        <v>111</v>
      </c>
      <c r="AA12" s="771">
        <f>D12/F12</f>
        <v>1</v>
      </c>
      <c r="AB12" s="771">
        <f>D12/H12</f>
        <v>1</v>
      </c>
      <c r="AC12" s="771">
        <f>D12/J12</f>
        <v>1</v>
      </c>
    </row>
    <row r="13" spans="1:29" ht="15.75" thickBot="1">
      <c r="A13" s="428"/>
      <c r="B13" s="2601">
        <v>111</v>
      </c>
      <c r="C13" s="434"/>
      <c r="D13" s="435">
        <v>100</v>
      </c>
      <c r="E13" s="469"/>
      <c r="F13" s="425">
        <f>SUMIF(59:59,E13,60:60)-SUMIF(59:59,C13,60:60)+100</f>
        <v>100</v>
      </c>
      <c r="G13" s="2697"/>
      <c r="H13" s="438">
        <f>SUMIF(59:59,G13,60:60)-SUMIF(59:59,C13,60:60)+100</f>
        <v>100</v>
      </c>
      <c r="I13" s="469"/>
      <c r="J13" s="435">
        <f>SUMIF(59:59,I13,60:60)-SUMIF(59:59,C13,60:60)+100</f>
        <v>100</v>
      </c>
      <c r="K13" s="613"/>
      <c r="L13" s="1141"/>
      <c r="M13" s="1132"/>
      <c r="N13" s="1132"/>
      <c r="O13" s="1140"/>
      <c r="P13" s="3266"/>
      <c r="Q13" s="1793">
        <f t="shared" si="6"/>
        <v>111</v>
      </c>
      <c r="R13" s="768" t="s">
        <v>17</v>
      </c>
      <c r="S13" s="769">
        <f t="shared" si="0"/>
        <v>100</v>
      </c>
      <c r="T13" s="768" t="s">
        <v>17</v>
      </c>
      <c r="U13" s="769">
        <f t="shared" si="1"/>
        <v>100</v>
      </c>
      <c r="V13" s="768" t="s">
        <v>17</v>
      </c>
      <c r="W13" s="769">
        <f t="shared" si="2"/>
        <v>100</v>
      </c>
      <c r="X13" s="770"/>
      <c r="Y13" s="3102"/>
      <c r="Z13" s="55">
        <f t="shared" si="7"/>
        <v>111</v>
      </c>
      <c r="AA13" s="771">
        <f t="shared" si="3"/>
        <v>1</v>
      </c>
      <c r="AB13" s="771">
        <f t="shared" si="4"/>
        <v>1</v>
      </c>
      <c r="AC13" s="771">
        <f t="shared" si="5"/>
        <v>1</v>
      </c>
    </row>
    <row r="14" spans="1:29" ht="85.5">
      <c r="A14" s="440" t="s">
        <v>2560</v>
      </c>
      <c r="B14" s="69" t="s">
        <v>2710</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259" t="s">
        <v>2561</v>
      </c>
      <c r="Q14" s="1808" t="str">
        <f t="shared" si="6"/>
        <v>交通便捷度</v>
      </c>
      <c r="R14" s="772" t="s">
        <v>17</v>
      </c>
      <c r="S14" s="773">
        <f t="shared" si="0"/>
        <v>100</v>
      </c>
      <c r="T14" s="772" t="s">
        <v>17</v>
      </c>
      <c r="U14" s="773">
        <f t="shared" si="1"/>
        <v>100</v>
      </c>
      <c r="V14" s="772" t="s">
        <v>17</v>
      </c>
      <c r="W14" s="773">
        <f t="shared" si="2"/>
        <v>100</v>
      </c>
      <c r="X14" s="1811"/>
      <c r="Y14" s="3259" t="s">
        <v>2561</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41"/>
      <c r="M15" s="1132"/>
      <c r="N15" s="1132"/>
      <c r="O15" s="1140"/>
      <c r="P15" s="3260"/>
      <c r="Q15" s="1808"/>
      <c r="R15" s="772"/>
      <c r="S15" s="773"/>
      <c r="T15" s="772"/>
      <c r="U15" s="773"/>
      <c r="V15" s="772"/>
      <c r="W15" s="773"/>
      <c r="X15" s="1811"/>
      <c r="Y15" s="3260"/>
      <c r="Z15" s="1812"/>
      <c r="AA15" s="1809">
        <v>1</v>
      </c>
      <c r="AB15" s="1809">
        <v>1</v>
      </c>
      <c r="AC15" s="1809">
        <v>1</v>
      </c>
    </row>
    <row r="16" spans="1:29" ht="42.75">
      <c r="A16" s="428"/>
      <c r="B16" s="451" t="s">
        <v>2689</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260"/>
      <c r="Q16" s="1808" t="str">
        <f>B16</f>
        <v>公共配套设施</v>
      </c>
      <c r="R16" s="772" t="s">
        <v>17</v>
      </c>
      <c r="S16" s="773">
        <f>F16</f>
        <v>100</v>
      </c>
      <c r="T16" s="772" t="s">
        <v>17</v>
      </c>
      <c r="U16" s="773">
        <f>H16</f>
        <v>100</v>
      </c>
      <c r="V16" s="772" t="s">
        <v>17</v>
      </c>
      <c r="W16" s="773">
        <f>J16</f>
        <v>100</v>
      </c>
      <c r="X16" s="1811"/>
      <c r="Y16" s="3260"/>
      <c r="Z16" s="1812" t="str">
        <f>Q16</f>
        <v>公共配套设施</v>
      </c>
      <c r="AA16" s="1809">
        <f t="shared" si="3"/>
        <v>1</v>
      </c>
      <c r="AB16" s="1809">
        <f t="shared" si="4"/>
        <v>1</v>
      </c>
      <c r="AC16" s="1809">
        <f t="shared" si="5"/>
        <v>1</v>
      </c>
    </row>
    <row r="17" spans="1:29" ht="15">
      <c r="A17" s="428"/>
      <c r="B17" s="456"/>
      <c r="C17" s="2609"/>
      <c r="D17" s="448"/>
      <c r="E17" s="447"/>
      <c r="F17" s="449"/>
      <c r="G17" s="447"/>
      <c r="H17" s="448"/>
      <c r="I17" s="447"/>
      <c r="J17" s="448"/>
      <c r="K17" s="615"/>
      <c r="L17" s="1141"/>
      <c r="M17" s="1132"/>
      <c r="N17" s="1132"/>
      <c r="O17" s="1140"/>
      <c r="P17" s="3260"/>
      <c r="Q17" s="1808"/>
      <c r="R17" s="772"/>
      <c r="S17" s="773"/>
      <c r="T17" s="772"/>
      <c r="U17" s="773"/>
      <c r="V17" s="772"/>
      <c r="W17" s="773"/>
      <c r="X17" s="1811"/>
      <c r="Y17" s="3260"/>
      <c r="Z17" s="1812"/>
      <c r="AA17" s="1809">
        <v>1</v>
      </c>
      <c r="AB17" s="1809">
        <v>1</v>
      </c>
      <c r="AC17" s="1809">
        <v>1</v>
      </c>
    </row>
    <row r="18" spans="1:29" ht="28.5">
      <c r="A18" s="428"/>
      <c r="B18" s="1385" t="s">
        <v>2690</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260"/>
      <c r="Q18" s="1808" t="str">
        <f>B18</f>
        <v>基础设施水平</v>
      </c>
      <c r="R18" s="772" t="s">
        <v>17</v>
      </c>
      <c r="S18" s="773">
        <f>F18</f>
        <v>100</v>
      </c>
      <c r="T18" s="772" t="s">
        <v>17</v>
      </c>
      <c r="U18" s="773">
        <f>H18</f>
        <v>100</v>
      </c>
      <c r="V18" s="772" t="s">
        <v>17</v>
      </c>
      <c r="W18" s="773">
        <f>J18</f>
        <v>100</v>
      </c>
      <c r="X18" s="1811"/>
      <c r="Y18" s="3260"/>
      <c r="Z18" s="1812" t="str">
        <f>Q18</f>
        <v>基础设施水平</v>
      </c>
      <c r="AA18" s="1809">
        <f t="shared" ref="AA18" si="8">D18/F18</f>
        <v>1</v>
      </c>
      <c r="AB18" s="1809">
        <f t="shared" ref="AB18" si="9">D18/H18</f>
        <v>1</v>
      </c>
      <c r="AC18" s="1809">
        <f t="shared" ref="AC18" si="10">D18/J18</f>
        <v>1</v>
      </c>
    </row>
    <row r="19" spans="1:29" ht="15">
      <c r="A19" s="428"/>
      <c r="B19" s="1385"/>
      <c r="C19" s="2609"/>
      <c r="D19" s="450"/>
      <c r="E19" s="2609"/>
      <c r="F19" s="453"/>
      <c r="G19" s="2609"/>
      <c r="H19" s="448"/>
      <c r="I19" s="447"/>
      <c r="J19" s="448"/>
      <c r="K19" s="1384"/>
      <c r="L19" s="1141"/>
      <c r="M19" s="1132"/>
      <c r="N19" s="1132"/>
      <c r="O19" s="1140"/>
      <c r="P19" s="3260"/>
      <c r="Q19" s="1808"/>
      <c r="R19" s="772"/>
      <c r="S19" s="773"/>
      <c r="T19" s="772"/>
      <c r="U19" s="773"/>
      <c r="V19" s="772"/>
      <c r="W19" s="773"/>
      <c r="X19" s="1811"/>
      <c r="Y19" s="3260"/>
      <c r="Z19" s="1812"/>
      <c r="AA19" s="1809">
        <v>1</v>
      </c>
      <c r="AB19" s="1809">
        <v>1</v>
      </c>
      <c r="AC19" s="1809">
        <v>1</v>
      </c>
    </row>
    <row r="20" spans="1:29" ht="57">
      <c r="A20" s="428"/>
      <c r="B20" s="451" t="s">
        <v>2711</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260"/>
      <c r="Q20" s="1808" t="str">
        <f>B20</f>
        <v>自然及人文环境</v>
      </c>
      <c r="R20" s="772" t="s">
        <v>17</v>
      </c>
      <c r="S20" s="773">
        <f>F20</f>
        <v>100</v>
      </c>
      <c r="T20" s="772" t="s">
        <v>17</v>
      </c>
      <c r="U20" s="773">
        <f>H20</f>
        <v>100</v>
      </c>
      <c r="V20" s="772" t="s">
        <v>17</v>
      </c>
      <c r="W20" s="773">
        <f>J20</f>
        <v>100</v>
      </c>
      <c r="X20" s="1811"/>
      <c r="Y20" s="3260"/>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41"/>
      <c r="M21" s="1132"/>
      <c r="N21" s="1132"/>
      <c r="O21" s="1140"/>
      <c r="P21" s="3260"/>
      <c r="Q21" s="1808"/>
      <c r="R21" s="772"/>
      <c r="S21" s="773"/>
      <c r="T21" s="772"/>
      <c r="U21" s="773"/>
      <c r="V21" s="772"/>
      <c r="W21" s="773"/>
      <c r="X21" s="1811"/>
      <c r="Y21" s="3260"/>
      <c r="Z21" s="1812"/>
      <c r="AA21" s="1809">
        <v>1</v>
      </c>
      <c r="AB21" s="1809">
        <v>1</v>
      </c>
      <c r="AC21" s="1809">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260"/>
      <c r="Q22" s="1808" t="str">
        <f>B22</f>
        <v>楼层</v>
      </c>
      <c r="R22" s="772" t="s">
        <v>17</v>
      </c>
      <c r="S22" s="773">
        <f>F22</f>
        <v>100</v>
      </c>
      <c r="T22" s="772" t="s">
        <v>17</v>
      </c>
      <c r="U22" s="773">
        <f>H22</f>
        <v>100</v>
      </c>
      <c r="V22" s="772" t="s">
        <v>17</v>
      </c>
      <c r="W22" s="773">
        <f>J22</f>
        <v>100</v>
      </c>
      <c r="X22" s="1811"/>
      <c r="Y22" s="3260"/>
      <c r="Z22" s="1812" t="str">
        <f>Q22</f>
        <v>楼层</v>
      </c>
      <c r="AA22" s="1809">
        <f t="shared" si="3"/>
        <v>1</v>
      </c>
      <c r="AB22" s="1809">
        <f t="shared" si="4"/>
        <v>1</v>
      </c>
      <c r="AC22" s="1809">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260"/>
      <c r="Q23" s="1808">
        <f>B23</f>
        <v>111</v>
      </c>
      <c r="R23" s="772" t="s">
        <v>17</v>
      </c>
      <c r="S23" s="773">
        <f>F23</f>
        <v>100</v>
      </c>
      <c r="T23" s="772" t="s">
        <v>17</v>
      </c>
      <c r="U23" s="773">
        <f>H23</f>
        <v>100</v>
      </c>
      <c r="V23" s="772" t="s">
        <v>17</v>
      </c>
      <c r="W23" s="773">
        <f>J23</f>
        <v>100</v>
      </c>
      <c r="X23" s="1811"/>
      <c r="Y23" s="3260"/>
      <c r="Z23" s="1812">
        <f>Q23</f>
        <v>111</v>
      </c>
      <c r="AA23" s="1809">
        <f t="shared" si="3"/>
        <v>1</v>
      </c>
      <c r="AB23" s="1809">
        <f t="shared" si="4"/>
        <v>1</v>
      </c>
      <c r="AC23" s="1809">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260"/>
      <c r="Q24" s="1808">
        <f t="shared" ref="Q24:Q34" si="11">B24</f>
        <v>111</v>
      </c>
      <c r="R24" s="772" t="s">
        <v>17</v>
      </c>
      <c r="S24" s="773">
        <f>F24</f>
        <v>100</v>
      </c>
      <c r="T24" s="772" t="s">
        <v>17</v>
      </c>
      <c r="U24" s="773">
        <f>H24</f>
        <v>100</v>
      </c>
      <c r="V24" s="772" t="s">
        <v>17</v>
      </c>
      <c r="W24" s="773">
        <f>J24</f>
        <v>100</v>
      </c>
      <c r="X24" s="1811"/>
      <c r="Y24" s="3260"/>
      <c r="Z24" s="1812">
        <f>Q24</f>
        <v>111</v>
      </c>
      <c r="AA24" s="1809">
        <f t="shared" si="3"/>
        <v>1</v>
      </c>
      <c r="AB24" s="1809">
        <f t="shared" si="4"/>
        <v>1</v>
      </c>
      <c r="AC24" s="1809">
        <f t="shared" si="5"/>
        <v>1</v>
      </c>
    </row>
    <row r="25" spans="1:29" s="117" customFormat="1" ht="15.75" thickBot="1">
      <c r="A25" s="431"/>
      <c r="B25" s="2601">
        <v>111</v>
      </c>
      <c r="C25" s="2698"/>
      <c r="D25" s="665">
        <v>100</v>
      </c>
      <c r="E25" s="2698"/>
      <c r="F25" s="666">
        <f>SUMIF(75:75,E25,76:76)-SUMIF(75:75,C25,76:76)+100</f>
        <v>100</v>
      </c>
      <c r="G25" s="2698"/>
      <c r="H25" s="665">
        <f>SUMIF(75:75,G25,76:76)-SUMIF(75:75,C25,76:76)+100</f>
        <v>100</v>
      </c>
      <c r="I25" s="2698"/>
      <c r="J25" s="665">
        <f>SUMIF(75:75,I25,76:76)-SUMIF(75:75,C25,76:76)+100</f>
        <v>100</v>
      </c>
      <c r="K25" s="613"/>
      <c r="L25" s="1133"/>
      <c r="M25" s="1134"/>
      <c r="N25" s="1134"/>
      <c r="O25" s="1135"/>
      <c r="P25" s="3260"/>
      <c r="Q25" s="1793">
        <f t="shared" si="11"/>
        <v>111</v>
      </c>
      <c r="R25" s="768" t="s">
        <v>17</v>
      </c>
      <c r="S25" s="769">
        <f>F25</f>
        <v>100</v>
      </c>
      <c r="T25" s="768" t="s">
        <v>17</v>
      </c>
      <c r="U25" s="769">
        <f>H25</f>
        <v>100</v>
      </c>
      <c r="V25" s="768" t="s">
        <v>17</v>
      </c>
      <c r="W25" s="769">
        <f>J25</f>
        <v>100</v>
      </c>
      <c r="X25" s="770"/>
      <c r="Y25" s="3260"/>
      <c r="Z25" s="55">
        <f>Q25</f>
        <v>111</v>
      </c>
      <c r="AA25" s="1809">
        <f>D25/F25</f>
        <v>1</v>
      </c>
      <c r="AB25" s="1809">
        <f>D25/H25</f>
        <v>1</v>
      </c>
      <c r="AC25" s="1809">
        <f>D25/J25</f>
        <v>1</v>
      </c>
    </row>
    <row r="26" spans="1:29" ht="28.5">
      <c r="A26" s="466" t="s">
        <v>2564</v>
      </c>
      <c r="B26" s="71" t="s">
        <v>2715</v>
      </c>
      <c r="C26" s="2679"/>
      <c r="D26" s="467">
        <v>100</v>
      </c>
      <c r="E26" s="2679"/>
      <c r="F26" s="667">
        <f>SUMIF(77:77,E26,78:78)-SUMIF(77:77,C26,78:78)+100</f>
        <v>100</v>
      </c>
      <c r="G26" s="2679"/>
      <c r="H26" s="467">
        <f>SUMIF(77:77,G26,78:78)-SUMIF(77:77,C26,78:78)+100</f>
        <v>100</v>
      </c>
      <c r="I26" s="2679"/>
      <c r="J26" s="467">
        <f>SUMIF(77:77,I26,78:78)-SUMIF(77:77,C26,78:78)+100</f>
        <v>100</v>
      </c>
      <c r="K26" s="612"/>
      <c r="L26" s="1141"/>
      <c r="M26" s="1132"/>
      <c r="N26" s="1132"/>
      <c r="O26" s="1140"/>
      <c r="P26" s="3317" t="s">
        <v>2566</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264" t="s">
        <v>2566</v>
      </c>
      <c r="Z26" s="1812" t="str">
        <f t="shared" ref="Z26:Z34" si="15">Q26</f>
        <v>公共部分装修</v>
      </c>
      <c r="AA26" s="1809">
        <f t="shared" si="3"/>
        <v>1</v>
      </c>
      <c r="AB26" s="1809">
        <f t="shared" si="4"/>
        <v>1</v>
      </c>
      <c r="AC26" s="1809">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264"/>
      <c r="Q27" s="774" t="str">
        <f t="shared" si="11"/>
        <v>成新率</v>
      </c>
      <c r="R27" s="775" t="s">
        <v>17</v>
      </c>
      <c r="S27" s="776" t="e">
        <f t="shared" si="12"/>
        <v>#N/A</v>
      </c>
      <c r="T27" s="775" t="s">
        <v>17</v>
      </c>
      <c r="U27" s="776" t="e">
        <f t="shared" si="13"/>
        <v>#N/A</v>
      </c>
      <c r="V27" s="775" t="s">
        <v>17</v>
      </c>
      <c r="W27" s="776" t="e">
        <f t="shared" si="14"/>
        <v>#N/A</v>
      </c>
      <c r="X27" s="777"/>
      <c r="Y27" s="3264"/>
      <c r="Z27" s="778" t="str">
        <f t="shared" si="15"/>
        <v>成新率</v>
      </c>
      <c r="AA27" s="1809" t="e">
        <f t="shared" si="3"/>
        <v>#N/A</v>
      </c>
      <c r="AB27" s="1809" t="e">
        <f t="shared" si="4"/>
        <v>#N/A</v>
      </c>
      <c r="AC27" s="1809"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264"/>
      <c r="Q28" s="1808" t="str">
        <f t="shared" si="11"/>
        <v>物业等级</v>
      </c>
      <c r="R28" s="772" t="s">
        <v>17</v>
      </c>
      <c r="S28" s="773">
        <f t="shared" si="12"/>
        <v>100</v>
      </c>
      <c r="T28" s="772" t="s">
        <v>17</v>
      </c>
      <c r="U28" s="773">
        <f t="shared" si="13"/>
        <v>100</v>
      </c>
      <c r="V28" s="772" t="s">
        <v>17</v>
      </c>
      <c r="W28" s="773">
        <f t="shared" si="14"/>
        <v>100</v>
      </c>
      <c r="X28" s="1811"/>
      <c r="Y28" s="3264"/>
      <c r="Z28" s="1812" t="str">
        <f t="shared" si="15"/>
        <v>物业等级</v>
      </c>
      <c r="AA28" s="1809">
        <f t="shared" si="3"/>
        <v>1</v>
      </c>
      <c r="AB28" s="1809">
        <f t="shared" si="4"/>
        <v>1</v>
      </c>
      <c r="AC28" s="1809">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264"/>
      <c r="Q29" s="1808" t="str">
        <f t="shared" si="11"/>
        <v>有无电梯</v>
      </c>
      <c r="R29" s="772" t="s">
        <v>17</v>
      </c>
      <c r="S29" s="773">
        <f t="shared" si="12"/>
        <v>100</v>
      </c>
      <c r="T29" s="772" t="s">
        <v>17</v>
      </c>
      <c r="U29" s="773">
        <f t="shared" si="13"/>
        <v>100</v>
      </c>
      <c r="V29" s="772" t="s">
        <v>17</v>
      </c>
      <c r="W29" s="773">
        <f t="shared" si="14"/>
        <v>100</v>
      </c>
      <c r="X29" s="1811"/>
      <c r="Y29" s="3264"/>
      <c r="Z29" s="1812" t="str">
        <f t="shared" si="15"/>
        <v>有无电梯</v>
      </c>
      <c r="AA29" s="1809">
        <f t="shared" si="3"/>
        <v>1</v>
      </c>
      <c r="AB29" s="1809">
        <f t="shared" si="4"/>
        <v>1</v>
      </c>
      <c r="AC29" s="1809">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264"/>
      <c r="Q30" s="1808" t="str">
        <f t="shared" si="11"/>
        <v>建筑面积</v>
      </c>
      <c r="R30" s="772" t="s">
        <v>17</v>
      </c>
      <c r="S30" s="773" t="e">
        <f t="shared" si="12"/>
        <v>#N/A</v>
      </c>
      <c r="T30" s="772" t="s">
        <v>17</v>
      </c>
      <c r="U30" s="773" t="e">
        <f t="shared" si="13"/>
        <v>#N/A</v>
      </c>
      <c r="V30" s="772" t="s">
        <v>17</v>
      </c>
      <c r="W30" s="773" t="e">
        <f t="shared" si="14"/>
        <v>#N/A</v>
      </c>
      <c r="X30" s="1811"/>
      <c r="Y30" s="3264"/>
      <c r="Z30" s="1812" t="str">
        <f t="shared" si="15"/>
        <v>建筑面积</v>
      </c>
      <c r="AA30" s="1809" t="e">
        <f t="shared" si="3"/>
        <v>#N/A</v>
      </c>
      <c r="AB30" s="1809" t="e">
        <f t="shared" si="4"/>
        <v>#N/A</v>
      </c>
      <c r="AC30" s="1809"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264"/>
      <c r="Q31" s="1793" t="str">
        <f t="shared" si="11"/>
        <v>是否封闭</v>
      </c>
      <c r="R31" s="768" t="s">
        <v>17</v>
      </c>
      <c r="S31" s="769">
        <f t="shared" si="12"/>
        <v>100</v>
      </c>
      <c r="T31" s="768" t="s">
        <v>17</v>
      </c>
      <c r="U31" s="769">
        <f t="shared" si="13"/>
        <v>100</v>
      </c>
      <c r="V31" s="768" t="s">
        <v>17</v>
      </c>
      <c r="W31" s="769">
        <f t="shared" si="14"/>
        <v>100</v>
      </c>
      <c r="X31" s="770"/>
      <c r="Y31" s="3264"/>
      <c r="Z31" s="55" t="str">
        <f t="shared" si="15"/>
        <v>是否封闭</v>
      </c>
      <c r="AA31" s="771">
        <f t="shared" si="3"/>
        <v>1</v>
      </c>
      <c r="AB31" s="771">
        <f t="shared" si="4"/>
        <v>1</v>
      </c>
      <c r="AC31" s="771">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264" t="s">
        <v>2566</v>
      </c>
      <c r="Q32" s="1808">
        <f t="shared" si="11"/>
        <v>111</v>
      </c>
      <c r="R32" s="772" t="s">
        <v>17</v>
      </c>
      <c r="S32" s="773">
        <f t="shared" si="12"/>
        <v>100</v>
      </c>
      <c r="T32" s="772" t="s">
        <v>17</v>
      </c>
      <c r="U32" s="773">
        <f t="shared" si="13"/>
        <v>100</v>
      </c>
      <c r="V32" s="772" t="s">
        <v>17</v>
      </c>
      <c r="W32" s="773">
        <f t="shared" si="14"/>
        <v>100</v>
      </c>
      <c r="X32" s="1811"/>
      <c r="Y32" s="3264" t="s">
        <v>2566</v>
      </c>
      <c r="Z32" s="1812">
        <f t="shared" si="15"/>
        <v>111</v>
      </c>
      <c r="AA32" s="1809">
        <f t="shared" si="3"/>
        <v>1</v>
      </c>
      <c r="AB32" s="1809">
        <f t="shared" si="4"/>
        <v>1</v>
      </c>
      <c r="AC32" s="1809">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264"/>
      <c r="Q33" s="1808">
        <f t="shared" si="11"/>
        <v>111</v>
      </c>
      <c r="R33" s="772" t="s">
        <v>17</v>
      </c>
      <c r="S33" s="773">
        <f t="shared" si="12"/>
        <v>100</v>
      </c>
      <c r="T33" s="772" t="s">
        <v>17</v>
      </c>
      <c r="U33" s="773">
        <f t="shared" si="13"/>
        <v>100</v>
      </c>
      <c r="V33" s="772" t="s">
        <v>17</v>
      </c>
      <c r="W33" s="773">
        <f t="shared" si="14"/>
        <v>100</v>
      </c>
      <c r="X33" s="1811"/>
      <c r="Y33" s="3264"/>
      <c r="Z33" s="1812">
        <f t="shared" si="15"/>
        <v>111</v>
      </c>
      <c r="AA33" s="1809">
        <f t="shared" si="3"/>
        <v>1</v>
      </c>
      <c r="AB33" s="1809">
        <f t="shared" si="4"/>
        <v>1</v>
      </c>
      <c r="AC33" s="1809">
        <f t="shared" si="5"/>
        <v>1</v>
      </c>
    </row>
    <row r="34" spans="1:29" ht="15.75" thickBot="1">
      <c r="A34" s="478"/>
      <c r="B34" s="2603">
        <v>111</v>
      </c>
      <c r="C34" s="437"/>
      <c r="D34" s="438">
        <v>100</v>
      </c>
      <c r="E34" s="2697"/>
      <c r="F34" s="439">
        <f>SUMIF(95:95,E34,96:96)-SUMIF(95:95,C34,96:96)+100</f>
        <v>100</v>
      </c>
      <c r="G34" s="2697"/>
      <c r="H34" s="438">
        <f>SUMIF(95:95,G34,96:96)-SUMIF(95:95,C34,96:96)+100</f>
        <v>100</v>
      </c>
      <c r="I34" s="2697"/>
      <c r="J34" s="438">
        <f>SUMIF(95:95,I34,96:96)-SUMIF(95:95,C34,96:96)+100</f>
        <v>100</v>
      </c>
      <c r="K34" s="613"/>
      <c r="L34" s="1141"/>
      <c r="M34" s="1132"/>
      <c r="N34" s="1132"/>
      <c r="O34" s="1140"/>
      <c r="P34" s="3264"/>
      <c r="Q34" s="1808">
        <f t="shared" si="11"/>
        <v>111</v>
      </c>
      <c r="R34" s="772" t="s">
        <v>17</v>
      </c>
      <c r="S34" s="773">
        <f t="shared" si="12"/>
        <v>100</v>
      </c>
      <c r="T34" s="772" t="s">
        <v>17</v>
      </c>
      <c r="U34" s="773">
        <f t="shared" si="13"/>
        <v>100</v>
      </c>
      <c r="V34" s="772" t="s">
        <v>17</v>
      </c>
      <c r="W34" s="773">
        <f t="shared" si="14"/>
        <v>100</v>
      </c>
      <c r="X34" s="1811"/>
      <c r="Y34" s="3264"/>
      <c r="Z34" s="1812">
        <f t="shared" si="15"/>
        <v>111</v>
      </c>
      <c r="AA34" s="1809">
        <f t="shared" si="3"/>
        <v>1</v>
      </c>
      <c r="AB34" s="1809">
        <f t="shared" si="4"/>
        <v>1</v>
      </c>
      <c r="AC34" s="1809">
        <f t="shared" si="5"/>
        <v>1</v>
      </c>
    </row>
    <row r="35" spans="1:29" ht="15">
      <c r="A35" s="479" t="s">
        <v>2578</v>
      </c>
      <c r="B35" s="480"/>
      <c r="C35" s="1408" t="s">
        <v>1</v>
      </c>
      <c r="D35" s="1409"/>
      <c r="E35" s="1410"/>
      <c r="F35" s="1411"/>
      <c r="G35" s="1412"/>
      <c r="H35" s="1413"/>
      <c r="I35" s="1410"/>
      <c r="J35" s="1413"/>
      <c r="K35" s="781"/>
      <c r="L35" s="1144"/>
      <c r="M35" s="1145"/>
      <c r="N35" s="1132"/>
      <c r="O35" s="1145"/>
      <c r="P35" s="3266" t="str">
        <f>A35</f>
        <v>成交单价（元/平方米）</v>
      </c>
      <c r="Q35" s="3266"/>
      <c r="R35" s="3267">
        <f>E35</f>
        <v>0</v>
      </c>
      <c r="S35" s="3267"/>
      <c r="T35" s="3267">
        <f>G35</f>
        <v>0</v>
      </c>
      <c r="U35" s="3267"/>
      <c r="V35" s="3267">
        <f>I35</f>
        <v>0</v>
      </c>
      <c r="W35" s="3267"/>
      <c r="X35" s="757"/>
      <c r="Y35" s="779"/>
      <c r="Z35" s="757"/>
      <c r="AA35" s="757"/>
      <c r="AB35" s="757"/>
      <c r="AC35" s="757"/>
    </row>
    <row r="36" spans="1:29" ht="15.75" thickBot="1">
      <c r="A36" s="486" t="s">
        <v>2670</v>
      </c>
      <c r="B36" s="487"/>
      <c r="C36" s="1414" t="e">
        <f>R37</f>
        <v>#DIV/0!</v>
      </c>
      <c r="D36" s="1415"/>
      <c r="E36" s="1416" t="e">
        <f>R36</f>
        <v>#DIV/0!</v>
      </c>
      <c r="F36" s="1416"/>
      <c r="G36" s="1414" t="e">
        <f>T36</f>
        <v>#DIV/0!</v>
      </c>
      <c r="H36" s="1415"/>
      <c r="I36" s="1416" t="e">
        <f>V36</f>
        <v>#DIV/0!</v>
      </c>
      <c r="J36" s="1415"/>
      <c r="K36" s="782"/>
      <c r="L36" s="1144"/>
      <c r="M36" s="1145"/>
      <c r="N36" s="1132"/>
      <c r="O36" s="1145"/>
      <c r="P36" s="3266" t="str">
        <f>A36</f>
        <v>比较价值（元/平方米）</v>
      </c>
      <c r="Q36" s="3266"/>
      <c r="R36" s="3267" t="e">
        <f>IF(F1="售价",ROUND(PRODUCT(R35,AA7:AA34),0),ROUND(PRODUCT(R35,AA7:AA34),1))</f>
        <v>#DIV/0!</v>
      </c>
      <c r="S36" s="3267"/>
      <c r="T36" s="3267" t="e">
        <f>IF(F1="售价",ROUND(PRODUCT(T35,AB7:AB34),0),ROUND(PRODUCT(T35,AB7:AB34),1))</f>
        <v>#DIV/0!</v>
      </c>
      <c r="U36" s="3267"/>
      <c r="V36" s="3267" t="e">
        <f>IF(F1="售价",ROUND(PRODUCT(V35,AC7:AC34),0),ROUND(PRODUCT(V35,AC7:AC34),1))</f>
        <v>#DIV/0!</v>
      </c>
      <c r="W36" s="3267"/>
      <c r="X36" s="757"/>
      <c r="Y36" s="757"/>
      <c r="Z36" s="757"/>
      <c r="AA36" s="757"/>
      <c r="AB36" s="757"/>
      <c r="AC36" s="757"/>
    </row>
    <row r="37" spans="1:29" ht="15.75" thickBot="1">
      <c r="A37" s="492" t="s">
        <v>2671</v>
      </c>
      <c r="B37" s="493"/>
      <c r="C37" s="1418" t="e">
        <f>R37</f>
        <v>#DIV/0!</v>
      </c>
      <c r="D37" s="1418"/>
      <c r="E37" s="1418"/>
      <c r="F37" s="1418"/>
      <c r="G37" s="1418"/>
      <c r="H37" s="1418"/>
      <c r="I37" s="1418"/>
      <c r="J37" s="1418"/>
      <c r="K37" s="783"/>
      <c r="L37" s="1144"/>
      <c r="M37" s="1145"/>
      <c r="N37" s="1145"/>
      <c r="O37" s="1145"/>
      <c r="P37" s="3268" t="str">
        <f>A37</f>
        <v>估价对象XX用房的比较价值（楼面单价，元/平方米）</v>
      </c>
      <c r="Q37" s="3269"/>
      <c r="R37" s="3270" t="e">
        <f>IF(F1="售价",ROUND(AVERAGE(R36:V36),0),ROUND(AVERAGE(R36:V36),1))</f>
        <v>#DIV/0!</v>
      </c>
      <c r="S37" s="3270"/>
      <c r="T37" s="3270"/>
      <c r="U37" s="3270"/>
      <c r="V37" s="3270"/>
      <c r="W37" s="3270"/>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5"/>
      <c r="N40" s="1145"/>
      <c r="O40" s="1145"/>
    </row>
    <row r="41" spans="1:29" ht="13.5" customHeight="1">
      <c r="A41" s="1145"/>
      <c r="B41" s="1145"/>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5"/>
      <c r="N41" s="1145"/>
      <c r="O41" s="1145"/>
    </row>
    <row r="42" spans="1:29" s="502" customFormat="1" ht="13.5" customHeight="1">
      <c r="A42" s="1146"/>
      <c r="B42" s="1146"/>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2675</v>
      </c>
      <c r="B45" s="757"/>
      <c r="C45" s="762"/>
      <c r="D45" s="762"/>
      <c r="E45" s="762"/>
      <c r="F45" s="763"/>
      <c r="G45" s="763"/>
      <c r="H45" s="762"/>
      <c r="I45" s="762"/>
      <c r="J45" s="762"/>
      <c r="K45" s="764"/>
      <c r="L45" s="765"/>
      <c r="M45" s="762"/>
      <c r="N45" s="762"/>
      <c r="O45" s="762"/>
      <c r="P45" s="503"/>
      <c r="Q45" s="504"/>
    </row>
    <row r="46" spans="1:29" s="508" customFormat="1" ht="15">
      <c r="A46" s="505" t="s">
        <v>2549</v>
      </c>
      <c r="B46" s="506"/>
      <c r="C46" s="1575" t="str">
        <f>YEAR(C7)&amp;"-"&amp;MONTH(C7)</f>
        <v>2019-4</v>
      </c>
      <c r="D46" s="1576">
        <f>EDATE(C46,-1)</f>
        <v>43525</v>
      </c>
      <c r="E46" s="1576">
        <f t="shared" ref="E46:O46" si="16">EDATE(D46,-1)</f>
        <v>43497</v>
      </c>
      <c r="F46" s="1576">
        <f t="shared" si="16"/>
        <v>43466</v>
      </c>
      <c r="G46" s="1576">
        <f t="shared" si="16"/>
        <v>43435</v>
      </c>
      <c r="H46" s="1576">
        <f t="shared" si="16"/>
        <v>43405</v>
      </c>
      <c r="I46" s="1576">
        <f t="shared" si="16"/>
        <v>43374</v>
      </c>
      <c r="J46" s="1576">
        <f t="shared" si="16"/>
        <v>43344</v>
      </c>
      <c r="K46" s="1576">
        <f t="shared" si="16"/>
        <v>43313</v>
      </c>
      <c r="L46" s="1576">
        <f t="shared" si="16"/>
        <v>43282</v>
      </c>
      <c r="M46" s="1576">
        <f t="shared" si="16"/>
        <v>43252</v>
      </c>
      <c r="N46" s="1576">
        <f t="shared" si="16"/>
        <v>43221</v>
      </c>
      <c r="O46" s="1576">
        <f t="shared" si="16"/>
        <v>43191</v>
      </c>
      <c r="P46" s="507"/>
    </row>
    <row r="47" spans="1:29" s="117" customFormat="1" ht="15">
      <c r="A47" s="509"/>
      <c r="B47" s="510"/>
      <c r="C47" s="1574">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2"/>
      <c r="O49" s="1152"/>
      <c r="P49" s="526"/>
      <c r="Q49" s="504"/>
    </row>
    <row r="50" spans="1:17" s="117"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2589</v>
      </c>
      <c r="B51" s="528" t="s">
        <v>2555</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60">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3"/>
      <c r="N65" s="1154"/>
      <c r="O65" s="115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2730</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2564</v>
      </c>
      <c r="B77" s="528" t="s">
        <v>2617</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2734</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2742</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2744</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72" priority="14" stopIfTrue="1" operator="containsText" text="超过">
      <formula>NOT(ISERROR(SEARCH("超过",F40)))</formula>
    </cfRule>
  </conditionalFormatting>
  <conditionalFormatting sqref="J42">
    <cfRule type="containsText" dxfId="71" priority="13" stopIfTrue="1" operator="containsText" text="超过">
      <formula>NOT(ISERROR(SEARCH("超过",J42)))</formula>
    </cfRule>
  </conditionalFormatting>
  <conditionalFormatting sqref="H42">
    <cfRule type="containsText" dxfId="70" priority="12" stopIfTrue="1" operator="containsText" text="超过">
      <formula>NOT(ISERROR(SEARCH("超过",H42)))</formula>
    </cfRule>
  </conditionalFormatting>
  <conditionalFormatting sqref="F42">
    <cfRule type="containsText" dxfId="69" priority="11" stopIfTrue="1" operator="containsText" text="超过">
      <formula>NOT(ISERROR(SEARCH("超过",F42)))</formula>
    </cfRule>
  </conditionalFormatting>
  <conditionalFormatting sqref="F41 H41 J41">
    <cfRule type="containsText" dxfId="68" priority="10" stopIfTrue="1" operator="containsText" text="超过">
      <formula>NOT(ISERROR(SEARCH("超过",F41)))</formula>
    </cfRule>
  </conditionalFormatting>
  <conditionalFormatting sqref="E40">
    <cfRule type="expression" dxfId="67" priority="9" stopIfTrue="1">
      <formula>$F$40="超过30%"</formula>
    </cfRule>
  </conditionalFormatting>
  <conditionalFormatting sqref="G42">
    <cfRule type="expression" dxfId="66" priority="8" stopIfTrue="1">
      <formula>$H$54+$H$42="超过30%"</formula>
    </cfRule>
  </conditionalFormatting>
  <conditionalFormatting sqref="E41">
    <cfRule type="expression" dxfId="65" priority="7" stopIfTrue="1">
      <formula>$F$41="超过20%"</formula>
    </cfRule>
  </conditionalFormatting>
  <conditionalFormatting sqref="E42">
    <cfRule type="expression" dxfId="64" priority="6" stopIfTrue="1">
      <formula>$F$42="超过30%"</formula>
    </cfRule>
  </conditionalFormatting>
  <conditionalFormatting sqref="G40">
    <cfRule type="expression" dxfId="63" priority="5" stopIfTrue="1">
      <formula>$H$52+$H$40="超过30%"</formula>
    </cfRule>
  </conditionalFormatting>
  <conditionalFormatting sqref="G41">
    <cfRule type="expression" dxfId="62" priority="4" stopIfTrue="1">
      <formula>$H$53+$H$41="超过20%"</formula>
    </cfRule>
  </conditionalFormatting>
  <conditionalFormatting sqref="I40">
    <cfRule type="expression" dxfId="61" priority="3" stopIfTrue="1">
      <formula>$J$40="超过30%"</formula>
    </cfRule>
  </conditionalFormatting>
  <conditionalFormatting sqref="I41">
    <cfRule type="expression" dxfId="60" priority="2" stopIfTrue="1">
      <formula>$J$41="超过20%"</formula>
    </cfRule>
  </conditionalFormatting>
  <conditionalFormatting sqref="I42">
    <cfRule type="expression" dxfId="5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3"/>
      <c r="E1" s="753"/>
      <c r="F1" s="752" t="s">
        <v>2644</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2328</v>
      </c>
      <c r="B2" s="671" t="e">
        <f>F66</f>
        <v>#DIV/0!</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7"/>
    </row>
    <row r="3" spans="1:30" s="398" customFormat="1" ht="28.5" customHeight="1" thickBot="1">
      <c r="A3" s="247" t="s">
        <v>2330</v>
      </c>
      <c r="B3" s="609" t="e">
        <f>ROUND(IF(D3="",B2*10000/'数据-汇总表'!E3,B2*10000/D3),0)</f>
        <v>#DIV/0!</v>
      </c>
      <c r="C3" s="247" t="s">
        <v>2747</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401" t="s">
        <v>2646</v>
      </c>
      <c r="B4" s="402"/>
      <c r="C4" s="3244" t="s">
        <v>2647</v>
      </c>
      <c r="D4" s="3245"/>
      <c r="E4" s="3246" t="s">
        <v>2648</v>
      </c>
      <c r="F4" s="3247"/>
      <c r="G4" s="3244" t="s">
        <v>2649</v>
      </c>
      <c r="H4" s="3245"/>
      <c r="I4" s="3244" t="s">
        <v>2650</v>
      </c>
      <c r="J4" s="3245"/>
      <c r="K4" s="610" t="s">
        <v>2651</v>
      </c>
      <c r="L4" s="1131"/>
      <c r="M4" s="1132"/>
      <c r="N4" s="1132"/>
      <c r="O4" s="1132"/>
      <c r="P4" s="3248" t="s">
        <v>2652</v>
      </c>
      <c r="Q4" s="3249"/>
      <c r="R4" s="3231" t="s">
        <v>2648</v>
      </c>
      <c r="S4" s="3232"/>
      <c r="T4" s="3231" t="s">
        <v>2649</v>
      </c>
      <c r="U4" s="3232"/>
      <c r="V4" s="3228" t="s">
        <v>2650</v>
      </c>
      <c r="W4" s="3228"/>
      <c r="X4" s="1811"/>
      <c r="Y4" s="3231" t="s">
        <v>2652</v>
      </c>
      <c r="Z4" s="3232"/>
      <c r="AA4" s="3225" t="s">
        <v>2648</v>
      </c>
      <c r="AB4" s="3226" t="s">
        <v>2649</v>
      </c>
      <c r="AC4" s="3225" t="s">
        <v>2650</v>
      </c>
    </row>
    <row r="5" spans="1:30" ht="15">
      <c r="A5" s="404"/>
      <c r="B5" s="405"/>
      <c r="C5" s="3237" t="s">
        <v>2543</v>
      </c>
      <c r="D5" s="3238"/>
      <c r="E5" s="3235" t="s">
        <v>2544</v>
      </c>
      <c r="F5" s="3236"/>
      <c r="G5" s="3237" t="s">
        <v>2545</v>
      </c>
      <c r="H5" s="3238"/>
      <c r="I5" s="3237" t="s">
        <v>2546</v>
      </c>
      <c r="J5" s="3238"/>
      <c r="K5" s="610"/>
      <c r="L5" s="1131"/>
      <c r="M5" s="1132"/>
      <c r="N5" s="1132"/>
      <c r="O5" s="1132"/>
      <c r="P5" s="3250"/>
      <c r="Q5" s="3251"/>
      <c r="R5" s="3233"/>
      <c r="S5" s="3234"/>
      <c r="T5" s="3233"/>
      <c r="U5" s="3234"/>
      <c r="V5" s="3228"/>
      <c r="W5" s="3228"/>
      <c r="X5" s="1811"/>
      <c r="Y5" s="3233"/>
      <c r="Z5" s="3234"/>
      <c r="AA5" s="3226"/>
      <c r="AB5" s="3226"/>
      <c r="AC5" s="3226"/>
    </row>
    <row r="6" spans="1:30" ht="15.75" thickBot="1">
      <c r="A6" s="406"/>
      <c r="B6" s="407"/>
      <c r="C6" s="3239" t="s">
        <v>2547</v>
      </c>
      <c r="D6" s="3240"/>
      <c r="E6" s="3241" t="s">
        <v>2547</v>
      </c>
      <c r="F6" s="3242"/>
      <c r="G6" s="3239" t="s">
        <v>2547</v>
      </c>
      <c r="H6" s="3240"/>
      <c r="I6" s="3239" t="s">
        <v>2547</v>
      </c>
      <c r="J6" s="3240"/>
      <c r="K6" s="610" t="s">
        <v>2548</v>
      </c>
      <c r="L6" s="1131"/>
      <c r="M6" s="1132"/>
      <c r="N6" s="1132"/>
      <c r="O6" s="1132"/>
      <c r="P6" s="3252"/>
      <c r="Q6" s="3253"/>
      <c r="R6" s="3233"/>
      <c r="S6" s="3234"/>
      <c r="T6" s="3254"/>
      <c r="U6" s="3255"/>
      <c r="V6" s="3228"/>
      <c r="W6" s="3228"/>
      <c r="X6" s="1811"/>
      <c r="Y6" s="3254"/>
      <c r="Z6" s="3255"/>
      <c r="AA6" s="3227"/>
      <c r="AB6" s="3227"/>
      <c r="AC6" s="3227"/>
    </row>
    <row r="7" spans="1:30" s="117" customFormat="1" ht="15.75" thickBot="1">
      <c r="A7" s="408" t="s">
        <v>2549</v>
      </c>
      <c r="B7" s="409"/>
      <c r="C7" s="410">
        <f>'数据-取费表'!B2</f>
        <v>43570</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3"/>
      <c r="M7" s="1134"/>
      <c r="N7" s="1134"/>
      <c r="O7" s="1134"/>
      <c r="P7" s="3229" t="s">
        <v>2550</v>
      </c>
      <c r="Q7" s="3256"/>
      <c r="R7" s="768" t="s">
        <v>17</v>
      </c>
      <c r="S7" s="769">
        <f t="shared" ref="S7:S15" si="0">F7</f>
        <v>0</v>
      </c>
      <c r="T7" s="768" t="s">
        <v>17</v>
      </c>
      <c r="U7" s="769">
        <f t="shared" ref="U7:U15" si="1">H7</f>
        <v>0</v>
      </c>
      <c r="V7" s="768" t="s">
        <v>17</v>
      </c>
      <c r="W7" s="769">
        <f t="shared" ref="W7:W15" si="2">J7</f>
        <v>0</v>
      </c>
      <c r="X7" s="770"/>
      <c r="Y7" s="3229" t="s">
        <v>2550</v>
      </c>
      <c r="Z7" s="3230"/>
      <c r="AA7" s="771" t="e">
        <f>D7/F7</f>
        <v>#DIV/0!</v>
      </c>
      <c r="AB7" s="771" t="e">
        <f>D7/H7</f>
        <v>#DIV/0!</v>
      </c>
      <c r="AC7" s="771"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3"/>
      <c r="M8" s="1134"/>
      <c r="N8" s="1134"/>
      <c r="O8" s="1134"/>
      <c r="P8" s="3229" t="s">
        <v>2553</v>
      </c>
      <c r="Q8" s="3230"/>
      <c r="R8" s="768" t="s">
        <v>17</v>
      </c>
      <c r="S8" s="769">
        <f t="shared" si="0"/>
        <v>0</v>
      </c>
      <c r="T8" s="768" t="s">
        <v>17</v>
      </c>
      <c r="U8" s="769">
        <f t="shared" si="1"/>
        <v>0</v>
      </c>
      <c r="V8" s="768" t="s">
        <v>17</v>
      </c>
      <c r="W8" s="769">
        <f t="shared" si="2"/>
        <v>0</v>
      </c>
      <c r="X8" s="770"/>
      <c r="Y8" s="3229" t="s">
        <v>2553</v>
      </c>
      <c r="Z8" s="3230"/>
      <c r="AA8" s="771" t="e">
        <f t="shared" ref="AA8:AA45" si="3">D8/F8</f>
        <v>#DIV/0!</v>
      </c>
      <c r="AB8" s="771" t="e">
        <f t="shared" ref="AB8:AB45" si="4">D8/H8</f>
        <v>#DIV/0!</v>
      </c>
      <c r="AC8" s="771" t="e">
        <f t="shared" ref="AC8:AC45" si="5">D8/J8</f>
        <v>#DIV/0!</v>
      </c>
    </row>
    <row r="9" spans="1:30" s="117" customFormat="1">
      <c r="A9" s="415" t="s">
        <v>2554</v>
      </c>
      <c r="B9" s="71" t="s">
        <v>2555</v>
      </c>
      <c r="C9" s="2699"/>
      <c r="D9" s="135">
        <v>100</v>
      </c>
      <c r="E9" s="2699"/>
      <c r="F9" s="135">
        <f>SUMIF(75:75,E9,76:76)-SUMIF(75:75,C9,76:76)+100</f>
        <v>100</v>
      </c>
      <c r="G9" s="2699"/>
      <c r="H9" s="135">
        <f>SUMIF(75:75,G9,76:76)-SUMIF(75:75,C9,76:76)+100</f>
        <v>100</v>
      </c>
      <c r="I9" s="2699"/>
      <c r="J9" s="135">
        <f>SUMIF(75:75,I9,76:76)-SUMIF(75:75,C9,76:76)+100</f>
        <v>100</v>
      </c>
      <c r="K9" s="611"/>
      <c r="L9" s="1133"/>
      <c r="M9" s="1134"/>
      <c r="N9" s="1134"/>
      <c r="O9" s="1135"/>
      <c r="P9" s="3266" t="s">
        <v>2556</v>
      </c>
      <c r="Q9" s="1793" t="str">
        <f t="shared" ref="Q9:Q15" si="6">B9</f>
        <v>用途</v>
      </c>
      <c r="R9" s="768" t="s">
        <v>17</v>
      </c>
      <c r="S9" s="769">
        <f t="shared" si="0"/>
        <v>100</v>
      </c>
      <c r="T9" s="768" t="s">
        <v>17</v>
      </c>
      <c r="U9" s="769">
        <f t="shared" si="1"/>
        <v>100</v>
      </c>
      <c r="V9" s="768" t="s">
        <v>17</v>
      </c>
      <c r="W9" s="769">
        <f t="shared" si="2"/>
        <v>100</v>
      </c>
      <c r="X9" s="770"/>
      <c r="Y9" s="3102" t="s">
        <v>2557</v>
      </c>
      <c r="Z9" s="55" t="str">
        <f t="shared" ref="Z9:Z15" si="7">Q9</f>
        <v>用途</v>
      </c>
      <c r="AA9" s="771">
        <f t="shared" si="3"/>
        <v>1</v>
      </c>
      <c r="AB9" s="771">
        <f t="shared" si="4"/>
        <v>1</v>
      </c>
      <c r="AC9" s="771">
        <f t="shared" si="5"/>
        <v>1</v>
      </c>
    </row>
    <row r="10" spans="1:30" s="427" customFormat="1" ht="27">
      <c r="A10" s="421"/>
      <c r="B10" s="422" t="s">
        <v>2558</v>
      </c>
      <c r="C10" s="432"/>
      <c r="D10" s="136">
        <v>100</v>
      </c>
      <c r="E10" s="465"/>
      <c r="F10" s="136">
        <f>ROUND(100/'数据-取费表'!G16,0)</f>
        <v>104</v>
      </c>
      <c r="G10" s="463"/>
      <c r="H10" s="136">
        <f>ROUND(100/'数据-取费表'!G16,0)</f>
        <v>104</v>
      </c>
      <c r="I10" s="463"/>
      <c r="J10" s="136">
        <f>ROUND(100/'数据-取费表'!G16,0)</f>
        <v>104</v>
      </c>
      <c r="K10" s="672"/>
      <c r="L10" s="1136"/>
      <c r="M10" s="1137"/>
      <c r="N10" s="1137"/>
      <c r="O10" s="1138"/>
      <c r="P10" s="3266"/>
      <c r="Q10" s="1793" t="str">
        <f t="shared" si="6"/>
        <v>土地使用年限（年）</v>
      </c>
      <c r="R10" s="768" t="s">
        <v>17</v>
      </c>
      <c r="S10" s="769">
        <f t="shared" si="0"/>
        <v>104</v>
      </c>
      <c r="T10" s="768" t="s">
        <v>17</v>
      </c>
      <c r="U10" s="769">
        <f t="shared" si="1"/>
        <v>104</v>
      </c>
      <c r="V10" s="768" t="s">
        <v>17</v>
      </c>
      <c r="W10" s="769">
        <f t="shared" si="2"/>
        <v>104</v>
      </c>
      <c r="X10" s="770"/>
      <c r="Y10" s="3102"/>
      <c r="Z10" s="55" t="str">
        <f t="shared" si="7"/>
        <v>土地使用年限（年）</v>
      </c>
      <c r="AA10" s="771">
        <f t="shared" si="3"/>
        <v>0.96153846153846156</v>
      </c>
      <c r="AB10" s="771">
        <f t="shared" si="4"/>
        <v>0.96153846153846156</v>
      </c>
      <c r="AC10" s="771">
        <f t="shared" si="5"/>
        <v>0.96153846153846156</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9"/>
      <c r="M11" s="1132"/>
      <c r="N11" s="1132"/>
      <c r="O11" s="1140"/>
      <c r="P11" s="3266"/>
      <c r="Q11" s="1793" t="str">
        <f t="shared" si="6"/>
        <v>容积率</v>
      </c>
      <c r="R11" s="768" t="s">
        <v>17</v>
      </c>
      <c r="S11" s="769" t="e">
        <f t="shared" si="0"/>
        <v>#N/A</v>
      </c>
      <c r="T11" s="768" t="s">
        <v>17</v>
      </c>
      <c r="U11" s="769" t="e">
        <f t="shared" si="1"/>
        <v>#N/A</v>
      </c>
      <c r="V11" s="768" t="s">
        <v>17</v>
      </c>
      <c r="W11" s="769" t="e">
        <f t="shared" si="2"/>
        <v>#N/A</v>
      </c>
      <c r="X11" s="770"/>
      <c r="Y11" s="3102"/>
      <c r="Z11" s="55" t="str">
        <f t="shared" si="7"/>
        <v>容积率</v>
      </c>
      <c r="AA11" s="771" t="e">
        <f t="shared" si="3"/>
        <v>#N/A</v>
      </c>
      <c r="AB11" s="771" t="e">
        <f t="shared" si="4"/>
        <v>#N/A</v>
      </c>
      <c r="AC11" s="771" t="e">
        <f t="shared" si="5"/>
        <v>#N/A</v>
      </c>
    </row>
    <row r="12" spans="1:30" s="117" customFormat="1" ht="15">
      <c r="A12" s="431"/>
      <c r="B12" s="2601" t="s">
        <v>2748</v>
      </c>
      <c r="C12" s="432"/>
      <c r="D12" s="433">
        <v>100</v>
      </c>
      <c r="E12" s="465"/>
      <c r="F12" s="136">
        <f>SUMIF(82:82,E12,83:83)-SUMIF(82:82,C12,83:83)+100</f>
        <v>100</v>
      </c>
      <c r="G12" s="463"/>
      <c r="H12" s="136">
        <f>SUMIF(82:82,G12,83:83)-SUMIF(82:82,C12,83:83)+100</f>
        <v>100</v>
      </c>
      <c r="I12" s="465"/>
      <c r="J12" s="136">
        <f>SUMIF(82:82,I12,83:83)-SUMIF(82:82,C12,83:83)+100</f>
        <v>100</v>
      </c>
      <c r="K12" s="672"/>
      <c r="L12" s="1133"/>
      <c r="M12" s="1134"/>
      <c r="N12" s="1134"/>
      <c r="O12" s="1135"/>
      <c r="P12" s="3266"/>
      <c r="Q12" s="1793" t="str">
        <f t="shared" si="6"/>
        <v>配建</v>
      </c>
      <c r="R12" s="768" t="s">
        <v>17</v>
      </c>
      <c r="S12" s="769">
        <f t="shared" si="0"/>
        <v>100</v>
      </c>
      <c r="T12" s="768" t="s">
        <v>17</v>
      </c>
      <c r="U12" s="769">
        <f t="shared" si="1"/>
        <v>100</v>
      </c>
      <c r="V12" s="768" t="s">
        <v>17</v>
      </c>
      <c r="W12" s="769">
        <f t="shared" si="2"/>
        <v>100</v>
      </c>
      <c r="X12" s="770"/>
      <c r="Y12" s="3102"/>
      <c r="Z12" s="55" t="str">
        <f t="shared" si="7"/>
        <v>配建</v>
      </c>
      <c r="AA12" s="771">
        <f>D12/F12</f>
        <v>1</v>
      </c>
      <c r="AB12" s="771">
        <f>D12/H12</f>
        <v>1</v>
      </c>
      <c r="AC12" s="771">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266"/>
      <c r="Q13" s="1793">
        <f t="shared" si="6"/>
        <v>111</v>
      </c>
      <c r="R13" s="768" t="s">
        <v>17</v>
      </c>
      <c r="S13" s="769">
        <f t="shared" si="0"/>
        <v>100</v>
      </c>
      <c r="T13" s="768" t="s">
        <v>17</v>
      </c>
      <c r="U13" s="769">
        <f t="shared" si="1"/>
        <v>100</v>
      </c>
      <c r="V13" s="768" t="s">
        <v>17</v>
      </c>
      <c r="W13" s="769">
        <f t="shared" si="2"/>
        <v>100</v>
      </c>
      <c r="X13" s="770"/>
      <c r="Y13" s="3102"/>
      <c r="Z13" s="55">
        <f t="shared" si="7"/>
        <v>111</v>
      </c>
      <c r="AA13" s="771">
        <f>D13/F13</f>
        <v>1</v>
      </c>
      <c r="AB13" s="771">
        <f>D13/H13</f>
        <v>1</v>
      </c>
      <c r="AC13" s="771">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266"/>
      <c r="Q14" s="1793">
        <f t="shared" si="6"/>
        <v>111</v>
      </c>
      <c r="R14" s="768" t="s">
        <v>17</v>
      </c>
      <c r="S14" s="769">
        <f t="shared" si="0"/>
        <v>100</v>
      </c>
      <c r="T14" s="768" t="s">
        <v>17</v>
      </c>
      <c r="U14" s="769">
        <f t="shared" si="1"/>
        <v>100</v>
      </c>
      <c r="V14" s="768" t="s">
        <v>17</v>
      </c>
      <c r="W14" s="769">
        <f t="shared" si="2"/>
        <v>100</v>
      </c>
      <c r="X14" s="770"/>
      <c r="Y14" s="3102"/>
      <c r="Z14" s="55">
        <f t="shared" si="7"/>
        <v>111</v>
      </c>
      <c r="AA14" s="771">
        <f>D14/F14</f>
        <v>1</v>
      </c>
      <c r="AB14" s="771">
        <f>D14/H14</f>
        <v>1</v>
      </c>
      <c r="AC14" s="771">
        <f>D14/J14</f>
        <v>1</v>
      </c>
    </row>
    <row r="15" spans="1:30" ht="99.75">
      <c r="A15" s="440" t="s">
        <v>2560</v>
      </c>
      <c r="B15" s="69" t="s">
        <v>2085</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1"/>
      <c r="M15" s="1132"/>
      <c r="N15" s="1132"/>
      <c r="O15" s="1140"/>
      <c r="P15" s="3259" t="s">
        <v>2561</v>
      </c>
      <c r="Q15" s="1808" t="str">
        <f t="shared" si="6"/>
        <v>居住社区成熟度</v>
      </c>
      <c r="R15" s="772" t="s">
        <v>17</v>
      </c>
      <c r="S15" s="773">
        <f t="shared" si="0"/>
        <v>100</v>
      </c>
      <c r="T15" s="772" t="s">
        <v>17</v>
      </c>
      <c r="U15" s="773">
        <f t="shared" si="1"/>
        <v>100</v>
      </c>
      <c r="V15" s="772" t="s">
        <v>17</v>
      </c>
      <c r="W15" s="773">
        <f t="shared" si="2"/>
        <v>100</v>
      </c>
      <c r="X15" s="1811"/>
      <c r="Y15" s="3259" t="s">
        <v>2561</v>
      </c>
      <c r="Z15" s="1812" t="str">
        <f t="shared" si="7"/>
        <v>居住社区成熟度</v>
      </c>
      <c r="AA15" s="1809">
        <f t="shared" si="3"/>
        <v>1</v>
      </c>
      <c r="AB15" s="1809">
        <f t="shared" si="4"/>
        <v>1</v>
      </c>
      <c r="AC15" s="1809">
        <f t="shared" si="5"/>
        <v>1</v>
      </c>
    </row>
    <row r="16" spans="1:30" ht="15">
      <c r="A16" s="428"/>
      <c r="B16" s="446"/>
      <c r="C16" s="447"/>
      <c r="D16" s="448"/>
      <c r="E16" s="2606"/>
      <c r="F16" s="448"/>
      <c r="G16" s="2606"/>
      <c r="H16" s="450"/>
      <c r="I16" s="2605"/>
      <c r="J16" s="448"/>
      <c r="K16" s="672"/>
      <c r="L16" s="1141"/>
      <c r="M16" s="1132"/>
      <c r="N16" s="1132"/>
      <c r="O16" s="1140"/>
      <c r="P16" s="3260"/>
      <c r="Q16" s="1808"/>
      <c r="R16" s="772"/>
      <c r="S16" s="773"/>
      <c r="T16" s="772"/>
      <c r="U16" s="773"/>
      <c r="V16" s="772"/>
      <c r="W16" s="773"/>
      <c r="X16" s="1811"/>
      <c r="Y16" s="3260"/>
      <c r="Z16" s="1812"/>
      <c r="AA16" s="1809">
        <v>1</v>
      </c>
      <c r="AB16" s="1809">
        <v>1</v>
      </c>
      <c r="AC16" s="1809">
        <v>1</v>
      </c>
    </row>
    <row r="17" spans="1:29" ht="71.25">
      <c r="A17" s="428"/>
      <c r="B17" s="451" t="s">
        <v>2654</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1"/>
      <c r="M17" s="1132"/>
      <c r="N17" s="1132"/>
      <c r="O17" s="1140"/>
      <c r="P17" s="3260"/>
      <c r="Q17" s="1808" t="str">
        <f>B17</f>
        <v>商业繁华度</v>
      </c>
      <c r="R17" s="772" t="s">
        <v>17</v>
      </c>
      <c r="S17" s="773">
        <f>F17</f>
        <v>100</v>
      </c>
      <c r="T17" s="772" t="s">
        <v>17</v>
      </c>
      <c r="U17" s="773">
        <f>H17</f>
        <v>100</v>
      </c>
      <c r="V17" s="772" t="s">
        <v>17</v>
      </c>
      <c r="W17" s="773">
        <f>J17</f>
        <v>100</v>
      </c>
      <c r="X17" s="1811"/>
      <c r="Y17" s="3260"/>
      <c r="Z17" s="1812" t="str">
        <f>Q17</f>
        <v>商业繁华度</v>
      </c>
      <c r="AA17" s="1809">
        <f t="shared" si="3"/>
        <v>1</v>
      </c>
      <c r="AB17" s="1809">
        <f t="shared" si="4"/>
        <v>1</v>
      </c>
      <c r="AC17" s="1809">
        <f t="shared" si="5"/>
        <v>1</v>
      </c>
    </row>
    <row r="18" spans="1:29" ht="15">
      <c r="A18" s="428"/>
      <c r="B18" s="456"/>
      <c r="C18" s="2609"/>
      <c r="D18" s="450"/>
      <c r="E18" s="2611"/>
      <c r="F18" s="450"/>
      <c r="G18" s="2611"/>
      <c r="H18" s="448"/>
      <c r="I18" s="2610"/>
      <c r="J18" s="448"/>
      <c r="K18" s="672"/>
      <c r="L18" s="1141"/>
      <c r="M18" s="1132"/>
      <c r="N18" s="1132"/>
      <c r="O18" s="1140"/>
      <c r="P18" s="3260"/>
      <c r="Q18" s="1808"/>
      <c r="R18" s="772"/>
      <c r="S18" s="773"/>
      <c r="T18" s="772"/>
      <c r="U18" s="773"/>
      <c r="V18" s="772"/>
      <c r="W18" s="773"/>
      <c r="X18" s="1811"/>
      <c r="Y18" s="3260"/>
      <c r="Z18" s="1812"/>
      <c r="AA18" s="1809">
        <v>1</v>
      </c>
      <c r="AB18" s="1809">
        <v>1</v>
      </c>
      <c r="AC18" s="1809">
        <v>1</v>
      </c>
    </row>
    <row r="19" spans="1:29" ht="71.25">
      <c r="A19" s="428"/>
      <c r="B19" s="451" t="s">
        <v>2688</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1"/>
      <c r="M19" s="1132"/>
      <c r="N19" s="1132"/>
      <c r="O19" s="1140"/>
      <c r="P19" s="3260"/>
      <c r="Q19" s="1808" t="str">
        <f>B19</f>
        <v>办公集聚程度</v>
      </c>
      <c r="R19" s="772" t="s">
        <v>17</v>
      </c>
      <c r="S19" s="773">
        <f>F19</f>
        <v>100</v>
      </c>
      <c r="T19" s="772" t="s">
        <v>17</v>
      </c>
      <c r="U19" s="773">
        <f>H19</f>
        <v>100</v>
      </c>
      <c r="V19" s="772" t="s">
        <v>17</v>
      </c>
      <c r="W19" s="773">
        <f>J19</f>
        <v>100</v>
      </c>
      <c r="X19" s="1811"/>
      <c r="Y19" s="3260"/>
      <c r="Z19" s="1812" t="str">
        <f>Q19</f>
        <v>办公集聚程度</v>
      </c>
      <c r="AA19" s="1809">
        <f t="shared" si="3"/>
        <v>1</v>
      </c>
      <c r="AB19" s="1809">
        <f t="shared" si="4"/>
        <v>1</v>
      </c>
      <c r="AC19" s="1809">
        <f t="shared" si="5"/>
        <v>1</v>
      </c>
    </row>
    <row r="20" spans="1:29" ht="15">
      <c r="A20" s="428"/>
      <c r="B20" s="456"/>
      <c r="C20" s="447"/>
      <c r="D20" s="448"/>
      <c r="E20" s="2606"/>
      <c r="F20" s="448"/>
      <c r="G20" s="2606"/>
      <c r="H20" s="448"/>
      <c r="I20" s="2605"/>
      <c r="J20" s="448"/>
      <c r="K20" s="672"/>
      <c r="L20" s="1141"/>
      <c r="M20" s="1132"/>
      <c r="N20" s="1132"/>
      <c r="O20" s="1140"/>
      <c r="P20" s="3260"/>
      <c r="Q20" s="1808"/>
      <c r="R20" s="772"/>
      <c r="S20" s="773"/>
      <c r="T20" s="772"/>
      <c r="U20" s="773"/>
      <c r="V20" s="772"/>
      <c r="W20" s="773"/>
      <c r="X20" s="1811"/>
      <c r="Y20" s="3260"/>
      <c r="Z20" s="1812"/>
      <c r="AA20" s="1809">
        <v>1</v>
      </c>
      <c r="AB20" s="1809">
        <v>1</v>
      </c>
      <c r="AC20" s="1809">
        <v>1</v>
      </c>
    </row>
    <row r="21" spans="1:29" ht="85.5">
      <c r="A21" s="428"/>
      <c r="B21" s="451" t="s">
        <v>2710</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1"/>
      <c r="M21" s="1132"/>
      <c r="N21" s="1132"/>
      <c r="O21" s="1140"/>
      <c r="P21" s="3260"/>
      <c r="Q21" s="1808" t="str">
        <f>B21</f>
        <v>交通便捷度</v>
      </c>
      <c r="R21" s="772" t="s">
        <v>17</v>
      </c>
      <c r="S21" s="773">
        <f>F21</f>
        <v>100</v>
      </c>
      <c r="T21" s="772" t="s">
        <v>17</v>
      </c>
      <c r="U21" s="773">
        <f>H21</f>
        <v>100</v>
      </c>
      <c r="V21" s="772" t="s">
        <v>17</v>
      </c>
      <c r="W21" s="773">
        <f>J21</f>
        <v>100</v>
      </c>
      <c r="X21" s="1811"/>
      <c r="Y21" s="3260"/>
      <c r="Z21" s="1812" t="str">
        <f>Q21</f>
        <v>交通便捷度</v>
      </c>
      <c r="AA21" s="1809">
        <f t="shared" si="3"/>
        <v>1</v>
      </c>
      <c r="AB21" s="1809">
        <f t="shared" si="4"/>
        <v>1</v>
      </c>
      <c r="AC21" s="1809">
        <f t="shared" si="5"/>
        <v>1</v>
      </c>
    </row>
    <row r="22" spans="1:29" ht="15">
      <c r="A22" s="428"/>
      <c r="B22" s="1385"/>
      <c r="C22" s="447"/>
      <c r="D22" s="450"/>
      <c r="E22" s="2606"/>
      <c r="F22" s="448"/>
      <c r="G22" s="2606"/>
      <c r="H22" s="448"/>
      <c r="I22" s="2605"/>
      <c r="J22" s="448"/>
      <c r="K22" s="672"/>
      <c r="L22" s="1141"/>
      <c r="M22" s="1132"/>
      <c r="N22" s="1132"/>
      <c r="O22" s="1140"/>
      <c r="P22" s="3260"/>
      <c r="Q22" s="1808"/>
      <c r="R22" s="772"/>
      <c r="S22" s="773"/>
      <c r="T22" s="772"/>
      <c r="U22" s="773"/>
      <c r="V22" s="772"/>
      <c r="W22" s="773"/>
      <c r="X22" s="1811"/>
      <c r="Y22" s="3260"/>
      <c r="Z22" s="1812"/>
      <c r="AA22" s="1809">
        <v>1</v>
      </c>
      <c r="AB22" s="1809">
        <v>1</v>
      </c>
      <c r="AC22" s="1809">
        <v>1</v>
      </c>
    </row>
    <row r="23" spans="1:29" ht="15">
      <c r="A23" s="404"/>
      <c r="B23" s="451" t="s">
        <v>2749</v>
      </c>
      <c r="C23" s="1390">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1"/>
      <c r="M23" s="1132"/>
      <c r="N23" s="1132"/>
      <c r="O23" s="1140"/>
      <c r="P23" s="3260"/>
      <c r="Q23" s="1808" t="str">
        <f t="shared" ref="Q23:Q37" si="8">B23</f>
        <v>区域土地利用方向</v>
      </c>
      <c r="R23" s="772" t="s">
        <v>17</v>
      </c>
      <c r="S23" s="773">
        <f>F23</f>
        <v>100</v>
      </c>
      <c r="T23" s="772" t="s">
        <v>17</v>
      </c>
      <c r="U23" s="773">
        <f>H23</f>
        <v>100</v>
      </c>
      <c r="V23" s="772" t="s">
        <v>17</v>
      </c>
      <c r="W23" s="773">
        <f>J23</f>
        <v>100</v>
      </c>
      <c r="X23" s="1811"/>
      <c r="Y23" s="3260"/>
      <c r="Z23" s="1812" t="str">
        <f>Q23</f>
        <v>区域土地利用方向</v>
      </c>
      <c r="AA23" s="1809">
        <f t="shared" si="3"/>
        <v>1</v>
      </c>
      <c r="AB23" s="1809">
        <f t="shared" si="4"/>
        <v>1</v>
      </c>
      <c r="AC23" s="1809">
        <f t="shared" si="5"/>
        <v>1</v>
      </c>
    </row>
    <row r="24" spans="1:29" ht="15">
      <c r="A24" s="404"/>
      <c r="B24" s="456"/>
      <c r="C24" s="616"/>
      <c r="D24" s="448"/>
      <c r="E24" s="2606"/>
      <c r="F24" s="448"/>
      <c r="G24" s="2605"/>
      <c r="H24" s="448"/>
      <c r="I24" s="2605"/>
      <c r="J24" s="448"/>
      <c r="K24" s="810"/>
      <c r="L24" s="1141"/>
      <c r="M24" s="1132"/>
      <c r="N24" s="1132"/>
      <c r="O24" s="1140"/>
      <c r="P24" s="3260"/>
      <c r="Q24" s="1808"/>
      <c r="R24" s="772"/>
      <c r="S24" s="773"/>
      <c r="T24" s="772"/>
      <c r="U24" s="773"/>
      <c r="V24" s="772"/>
      <c r="W24" s="773"/>
      <c r="X24" s="1811"/>
      <c r="Y24" s="3260"/>
      <c r="Z24" s="1812"/>
      <c r="AA24" s="1809"/>
      <c r="AB24" s="1809"/>
      <c r="AC24" s="1809"/>
    </row>
    <row r="25" spans="1:29" ht="57">
      <c r="A25" s="404"/>
      <c r="B25" s="1385" t="s">
        <v>2750</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1"/>
      <c r="M25" s="1132"/>
      <c r="N25" s="1132"/>
      <c r="O25" s="1140"/>
      <c r="P25" s="3260"/>
      <c r="Q25" s="1808" t="str">
        <f t="shared" si="8"/>
        <v>自然及人文环境状况</v>
      </c>
      <c r="R25" s="772" t="s">
        <v>17</v>
      </c>
      <c r="S25" s="773">
        <f>F25</f>
        <v>100</v>
      </c>
      <c r="T25" s="772" t="s">
        <v>17</v>
      </c>
      <c r="U25" s="773">
        <f>H25</f>
        <v>100</v>
      </c>
      <c r="V25" s="772" t="s">
        <v>17</v>
      </c>
      <c r="W25" s="773">
        <f>J25</f>
        <v>100</v>
      </c>
      <c r="X25" s="1811"/>
      <c r="Y25" s="3260"/>
      <c r="Z25" s="1812" t="str">
        <f>Q25</f>
        <v>自然及人文环境状况</v>
      </c>
      <c r="AA25" s="1809">
        <f t="shared" si="3"/>
        <v>1</v>
      </c>
      <c r="AB25" s="1809">
        <f t="shared" si="4"/>
        <v>1</v>
      </c>
      <c r="AC25" s="1809">
        <f t="shared" si="5"/>
        <v>1</v>
      </c>
    </row>
    <row r="26" spans="1:29" ht="15">
      <c r="A26" s="404"/>
      <c r="B26" s="456"/>
      <c r="C26" s="447"/>
      <c r="D26" s="448"/>
      <c r="E26" s="2612"/>
      <c r="F26" s="448"/>
      <c r="G26" s="2612"/>
      <c r="H26" s="448"/>
      <c r="I26" s="447"/>
      <c r="J26" s="448"/>
      <c r="K26" s="672"/>
      <c r="L26" s="1141"/>
      <c r="M26" s="1132"/>
      <c r="N26" s="1132"/>
      <c r="O26" s="1140"/>
      <c r="P26" s="3260"/>
      <c r="Q26" s="1808"/>
      <c r="R26" s="772"/>
      <c r="S26" s="773"/>
      <c r="T26" s="772"/>
      <c r="U26" s="773"/>
      <c r="V26" s="772"/>
      <c r="W26" s="773"/>
      <c r="X26" s="1811"/>
      <c r="Y26" s="3260"/>
      <c r="Z26" s="1812"/>
      <c r="AA26" s="1809">
        <v>1</v>
      </c>
      <c r="AB26" s="1809">
        <v>1</v>
      </c>
      <c r="AC26" s="1809">
        <v>1</v>
      </c>
    </row>
    <row r="27" spans="1:29" s="117" customFormat="1" ht="42.75">
      <c r="A27" s="649"/>
      <c r="B27" s="1385" t="s">
        <v>2655</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3"/>
      <c r="M27" s="1134"/>
      <c r="N27" s="1134"/>
      <c r="O27" s="1135"/>
      <c r="P27" s="3260"/>
      <c r="Q27" s="1793" t="str">
        <f t="shared" si="8"/>
        <v>公共配套设施</v>
      </c>
      <c r="R27" s="768" t="s">
        <v>17</v>
      </c>
      <c r="S27" s="769">
        <f>F27</f>
        <v>100</v>
      </c>
      <c r="T27" s="768" t="s">
        <v>17</v>
      </c>
      <c r="U27" s="769">
        <f>H27</f>
        <v>100</v>
      </c>
      <c r="V27" s="768" t="s">
        <v>17</v>
      </c>
      <c r="W27" s="769">
        <f>J27</f>
        <v>100</v>
      </c>
      <c r="X27" s="770"/>
      <c r="Y27" s="3260"/>
      <c r="Z27" s="55" t="str">
        <f>Q27</f>
        <v>公共配套设施</v>
      </c>
      <c r="AA27" s="1809">
        <f>D27/F27</f>
        <v>1</v>
      </c>
      <c r="AB27" s="1809">
        <f>D27/H27</f>
        <v>1</v>
      </c>
      <c r="AC27" s="1809">
        <f>D27/J27</f>
        <v>1</v>
      </c>
    </row>
    <row r="28" spans="1:29" s="117" customFormat="1" ht="15">
      <c r="A28" s="649"/>
      <c r="B28" s="456"/>
      <c r="C28" s="2700"/>
      <c r="D28" s="448"/>
      <c r="E28" s="2612"/>
      <c r="F28" s="448"/>
      <c r="G28" s="2612"/>
      <c r="H28" s="448"/>
      <c r="I28" s="447"/>
      <c r="J28" s="448"/>
      <c r="K28" s="672"/>
      <c r="L28" s="1133"/>
      <c r="M28" s="1134"/>
      <c r="N28" s="1134"/>
      <c r="O28" s="1135"/>
      <c r="P28" s="3260"/>
      <c r="Q28" s="1793"/>
      <c r="R28" s="768"/>
      <c r="S28" s="769"/>
      <c r="T28" s="768"/>
      <c r="U28" s="769"/>
      <c r="V28" s="768"/>
      <c r="W28" s="769"/>
      <c r="X28" s="770"/>
      <c r="Y28" s="3260"/>
      <c r="Z28" s="55"/>
      <c r="AA28" s="1809">
        <v>1</v>
      </c>
      <c r="AB28" s="1809">
        <v>1</v>
      </c>
      <c r="AC28" s="1809">
        <v>1</v>
      </c>
    </row>
    <row r="29" spans="1:29" s="117" customFormat="1" ht="28.5">
      <c r="A29" s="649"/>
      <c r="B29" s="1385" t="s">
        <v>2656</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3"/>
      <c r="M29" s="1134"/>
      <c r="N29" s="1134"/>
      <c r="O29" s="1135"/>
      <c r="P29" s="3260"/>
      <c r="Q29" s="1793" t="str">
        <f t="shared" ref="Q29" si="9">B29</f>
        <v>基础设施水平</v>
      </c>
      <c r="R29" s="768" t="s">
        <v>17</v>
      </c>
      <c r="S29" s="769">
        <f>F29</f>
        <v>100</v>
      </c>
      <c r="T29" s="768" t="s">
        <v>17</v>
      </c>
      <c r="U29" s="769">
        <f>H29</f>
        <v>100</v>
      </c>
      <c r="V29" s="768" t="s">
        <v>17</v>
      </c>
      <c r="W29" s="769">
        <f>J29</f>
        <v>100</v>
      </c>
      <c r="X29" s="770"/>
      <c r="Y29" s="3260"/>
      <c r="Z29" s="55" t="str">
        <f>Q29</f>
        <v>基础设施水平</v>
      </c>
      <c r="AA29" s="1809">
        <f>D29/F29</f>
        <v>1</v>
      </c>
      <c r="AB29" s="1809">
        <f>D29/H29</f>
        <v>1</v>
      </c>
      <c r="AC29" s="1809">
        <f>D29/J29</f>
        <v>1</v>
      </c>
    </row>
    <row r="30" spans="1:29" s="117" customFormat="1" ht="15">
      <c r="A30" s="649"/>
      <c r="B30" s="456"/>
      <c r="C30" s="2700"/>
      <c r="D30" s="448"/>
      <c r="E30" s="2701"/>
      <c r="F30" s="448"/>
      <c r="G30" s="2701"/>
      <c r="H30" s="448"/>
      <c r="I30" s="2701"/>
      <c r="J30" s="448"/>
      <c r="K30" s="672"/>
      <c r="L30" s="1133"/>
      <c r="M30" s="1134"/>
      <c r="N30" s="1134"/>
      <c r="O30" s="1135"/>
      <c r="P30" s="3260"/>
      <c r="Q30" s="1793"/>
      <c r="R30" s="768"/>
      <c r="S30" s="769"/>
      <c r="T30" s="768"/>
      <c r="U30" s="769"/>
      <c r="V30" s="768"/>
      <c r="W30" s="769"/>
      <c r="X30" s="770"/>
      <c r="Y30" s="3260"/>
      <c r="Z30" s="55"/>
      <c r="AA30" s="1809">
        <v>1</v>
      </c>
      <c r="AB30" s="1809">
        <v>1</v>
      </c>
      <c r="AC30" s="1809">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1"/>
      <c r="M31" s="1132"/>
      <c r="N31" s="1132"/>
      <c r="O31" s="1140"/>
      <c r="P31" s="3260"/>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260"/>
      <c r="Z31" s="1812" t="str">
        <f t="shared" ref="Z31:Z45" si="13">Q31</f>
        <v>临街状况</v>
      </c>
      <c r="AA31" s="1809">
        <f t="shared" si="3"/>
        <v>1</v>
      </c>
      <c r="AB31" s="1809">
        <f t="shared" si="4"/>
        <v>1</v>
      </c>
      <c r="AC31" s="1809">
        <f t="shared" si="5"/>
        <v>1</v>
      </c>
    </row>
    <row r="32" spans="1:29" ht="27">
      <c r="A32" s="428"/>
      <c r="B32" s="1385"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1"/>
      <c r="M32" s="1132"/>
      <c r="N32" s="1132"/>
      <c r="O32" s="1140"/>
      <c r="P32" s="3260"/>
      <c r="Q32" s="1808" t="str">
        <f t="shared" si="8"/>
        <v>毗邻道路的类型与等级</v>
      </c>
      <c r="R32" s="772" t="s">
        <v>17</v>
      </c>
      <c r="S32" s="773">
        <f t="shared" si="10"/>
        <v>100</v>
      </c>
      <c r="T32" s="772" t="s">
        <v>17</v>
      </c>
      <c r="U32" s="773">
        <f t="shared" si="11"/>
        <v>100</v>
      </c>
      <c r="V32" s="772" t="s">
        <v>17</v>
      </c>
      <c r="W32" s="773">
        <f t="shared" si="12"/>
        <v>100</v>
      </c>
      <c r="X32" s="1811"/>
      <c r="Y32" s="3260"/>
      <c r="Z32" s="1812" t="str">
        <f t="shared" si="13"/>
        <v>毗邻道路的类型与等级</v>
      </c>
      <c r="AA32" s="1809">
        <f t="shared" si="3"/>
        <v>1</v>
      </c>
      <c r="AB32" s="1809">
        <f t="shared" si="4"/>
        <v>1</v>
      </c>
      <c r="AC32" s="1809">
        <f t="shared" si="5"/>
        <v>1</v>
      </c>
    </row>
    <row r="33" spans="1:29" ht="15">
      <c r="A33" s="428"/>
      <c r="B33" s="456"/>
      <c r="C33" s="447"/>
      <c r="D33" s="448"/>
      <c r="E33" s="2612"/>
      <c r="F33" s="448"/>
      <c r="G33" s="2612"/>
      <c r="H33" s="448"/>
      <c r="I33" s="447"/>
      <c r="J33" s="448"/>
      <c r="K33" s="613"/>
      <c r="L33" s="1141"/>
      <c r="M33" s="1132"/>
      <c r="N33" s="1132"/>
      <c r="O33" s="1140"/>
      <c r="P33" s="3260"/>
      <c r="Q33" s="1808"/>
      <c r="R33" s="772"/>
      <c r="S33" s="773"/>
      <c r="T33" s="772"/>
      <c r="U33" s="773"/>
      <c r="V33" s="772"/>
      <c r="W33" s="773"/>
      <c r="X33" s="1811"/>
      <c r="Y33" s="3260"/>
      <c r="Z33" s="1812"/>
      <c r="AA33" s="1809">
        <v>1</v>
      </c>
      <c r="AB33" s="1809">
        <v>1</v>
      </c>
      <c r="AC33" s="1809">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1"/>
      <c r="M34" s="1132"/>
      <c r="N34" s="1132"/>
      <c r="O34" s="1140"/>
      <c r="P34" s="3260"/>
      <c r="Q34" s="1808" t="str">
        <f t="shared" si="8"/>
        <v>土地级别</v>
      </c>
      <c r="R34" s="772" t="s">
        <v>17</v>
      </c>
      <c r="S34" s="773">
        <f t="shared" si="10"/>
        <v>100</v>
      </c>
      <c r="T34" s="772" t="s">
        <v>17</v>
      </c>
      <c r="U34" s="773">
        <f t="shared" si="11"/>
        <v>100</v>
      </c>
      <c r="V34" s="772" t="s">
        <v>17</v>
      </c>
      <c r="W34" s="773">
        <f t="shared" si="12"/>
        <v>100</v>
      </c>
      <c r="X34" s="1811"/>
      <c r="Y34" s="3260"/>
      <c r="Z34" s="1812" t="str">
        <f t="shared" si="13"/>
        <v>土地级别</v>
      </c>
      <c r="AA34" s="1809">
        <f t="shared" si="3"/>
        <v>1</v>
      </c>
      <c r="AB34" s="1809">
        <f t="shared" si="4"/>
        <v>1</v>
      </c>
      <c r="AC34" s="1809">
        <f t="shared" si="5"/>
        <v>1</v>
      </c>
    </row>
    <row r="35" spans="1:29" ht="15">
      <c r="A35" s="404"/>
      <c r="B35" s="1387">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260"/>
      <c r="Q35" s="1808">
        <f t="shared" si="8"/>
        <v>111</v>
      </c>
      <c r="R35" s="772" t="s">
        <v>17</v>
      </c>
      <c r="S35" s="773">
        <f t="shared" si="10"/>
        <v>100</v>
      </c>
      <c r="T35" s="772" t="s">
        <v>17</v>
      </c>
      <c r="U35" s="773">
        <f t="shared" si="11"/>
        <v>100</v>
      </c>
      <c r="V35" s="772" t="s">
        <v>17</v>
      </c>
      <c r="W35" s="773">
        <f t="shared" si="12"/>
        <v>100</v>
      </c>
      <c r="X35" s="1811"/>
      <c r="Y35" s="3260"/>
      <c r="Z35" s="1812">
        <f t="shared" si="13"/>
        <v>111</v>
      </c>
      <c r="AA35" s="1809">
        <f t="shared" si="3"/>
        <v>1</v>
      </c>
      <c r="AB35" s="1809">
        <f t="shared" si="4"/>
        <v>1</v>
      </c>
      <c r="AC35" s="1809">
        <f t="shared" si="5"/>
        <v>1</v>
      </c>
    </row>
    <row r="36" spans="1:29" ht="15">
      <c r="A36" s="675"/>
      <c r="B36" s="1388">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317" t="s">
        <v>2566</v>
      </c>
      <c r="Q36" s="1808">
        <f t="shared" si="8"/>
        <v>111</v>
      </c>
      <c r="R36" s="772" t="s">
        <v>17</v>
      </c>
      <c r="S36" s="773">
        <f t="shared" si="10"/>
        <v>100</v>
      </c>
      <c r="T36" s="772" t="s">
        <v>17</v>
      </c>
      <c r="U36" s="773">
        <f t="shared" si="11"/>
        <v>100</v>
      </c>
      <c r="V36" s="772" t="s">
        <v>17</v>
      </c>
      <c r="W36" s="773">
        <f t="shared" si="12"/>
        <v>100</v>
      </c>
      <c r="X36" s="1811"/>
      <c r="Y36" s="3264" t="s">
        <v>2566</v>
      </c>
      <c r="Z36" s="1812">
        <f t="shared" si="13"/>
        <v>111</v>
      </c>
      <c r="AA36" s="1809">
        <f t="shared" si="3"/>
        <v>1</v>
      </c>
      <c r="AB36" s="1809">
        <f t="shared" si="4"/>
        <v>1</v>
      </c>
      <c r="AC36" s="1809">
        <f t="shared" si="5"/>
        <v>1</v>
      </c>
    </row>
    <row r="37" spans="1:29" s="471" customFormat="1" ht="15.75" thickBot="1">
      <c r="A37" s="676"/>
      <c r="B37" s="1389">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264"/>
      <c r="Q37" s="1808">
        <f t="shared" si="8"/>
        <v>111</v>
      </c>
      <c r="R37" s="775" t="s">
        <v>17</v>
      </c>
      <c r="S37" s="776">
        <f t="shared" si="10"/>
        <v>100</v>
      </c>
      <c r="T37" s="775" t="s">
        <v>17</v>
      </c>
      <c r="U37" s="776">
        <f t="shared" si="11"/>
        <v>100</v>
      </c>
      <c r="V37" s="775" t="s">
        <v>17</v>
      </c>
      <c r="W37" s="776">
        <f t="shared" si="12"/>
        <v>100</v>
      </c>
      <c r="X37" s="777"/>
      <c r="Y37" s="3264"/>
      <c r="Z37" s="778">
        <f t="shared" si="13"/>
        <v>111</v>
      </c>
      <c r="AA37" s="1809">
        <f t="shared" si="3"/>
        <v>1</v>
      </c>
      <c r="AB37" s="1809">
        <f t="shared" si="4"/>
        <v>1</v>
      </c>
      <c r="AC37" s="1809">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1"/>
      <c r="M38" s="1132"/>
      <c r="N38" s="1132"/>
      <c r="O38" s="1140"/>
      <c r="P38" s="3264"/>
      <c r="Q38" s="1808" t="str">
        <f>B38</f>
        <v>宗地面积</v>
      </c>
      <c r="R38" s="772" t="s">
        <v>17</v>
      </c>
      <c r="S38" s="773" t="e">
        <f t="shared" si="10"/>
        <v>#N/A</v>
      </c>
      <c r="T38" s="772" t="s">
        <v>17</v>
      </c>
      <c r="U38" s="773" t="e">
        <f t="shared" si="11"/>
        <v>#N/A</v>
      </c>
      <c r="V38" s="772" t="s">
        <v>17</v>
      </c>
      <c r="W38" s="773" t="e">
        <f t="shared" si="12"/>
        <v>#N/A</v>
      </c>
      <c r="X38" s="1811"/>
      <c r="Y38" s="3264"/>
      <c r="Z38" s="1812" t="str">
        <f t="shared" si="13"/>
        <v>宗地面积</v>
      </c>
      <c r="AA38" s="1809" t="e">
        <f t="shared" si="3"/>
        <v>#N/A</v>
      </c>
      <c r="AB38" s="1809" t="e">
        <f t="shared" si="4"/>
        <v>#N/A</v>
      </c>
      <c r="AC38" s="1809" t="e">
        <f t="shared" si="5"/>
        <v>#N/A</v>
      </c>
    </row>
    <row r="39" spans="1:29" ht="15">
      <c r="A39" s="472"/>
      <c r="B39" s="422" t="s">
        <v>2753</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1"/>
      <c r="M39" s="1132"/>
      <c r="N39" s="1132"/>
      <c r="O39" s="1140"/>
      <c r="P39" s="3264"/>
      <c r="Q39" s="1808" t="str">
        <f t="shared" ref="Q39:Q45" si="14">B39</f>
        <v>宗地形状</v>
      </c>
      <c r="R39" s="772" t="s">
        <v>17</v>
      </c>
      <c r="S39" s="773">
        <f t="shared" si="10"/>
        <v>100</v>
      </c>
      <c r="T39" s="772" t="s">
        <v>17</v>
      </c>
      <c r="U39" s="773">
        <f t="shared" si="11"/>
        <v>100</v>
      </c>
      <c r="V39" s="772" t="s">
        <v>17</v>
      </c>
      <c r="W39" s="773">
        <f t="shared" si="12"/>
        <v>100</v>
      </c>
      <c r="X39" s="1811"/>
      <c r="Y39" s="3264"/>
      <c r="Z39" s="1812" t="str">
        <f t="shared" si="13"/>
        <v>宗地形状</v>
      </c>
      <c r="AA39" s="1809">
        <f t="shared" si="3"/>
        <v>1</v>
      </c>
      <c r="AB39" s="1809">
        <f t="shared" si="4"/>
        <v>1</v>
      </c>
      <c r="AC39" s="1809">
        <f t="shared" si="5"/>
        <v>1</v>
      </c>
    </row>
    <row r="40" spans="1:29" ht="15">
      <c r="A40" s="472"/>
      <c r="B40" s="422" t="s">
        <v>2754</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1"/>
      <c r="M40" s="1132"/>
      <c r="N40" s="1132"/>
      <c r="O40" s="1140"/>
      <c r="P40" s="3264"/>
      <c r="Q40" s="1808" t="str">
        <f t="shared" si="14"/>
        <v>临街宽度及深度</v>
      </c>
      <c r="R40" s="772" t="s">
        <v>17</v>
      </c>
      <c r="S40" s="773">
        <f t="shared" si="10"/>
        <v>100</v>
      </c>
      <c r="T40" s="772" t="s">
        <v>17</v>
      </c>
      <c r="U40" s="773">
        <f t="shared" si="11"/>
        <v>100</v>
      </c>
      <c r="V40" s="772" t="s">
        <v>17</v>
      </c>
      <c r="W40" s="773">
        <f t="shared" si="12"/>
        <v>100</v>
      </c>
      <c r="X40" s="1811"/>
      <c r="Y40" s="3264"/>
      <c r="Z40" s="1812" t="str">
        <f t="shared" si="13"/>
        <v>临街宽度及深度</v>
      </c>
      <c r="AA40" s="1809">
        <f t="shared" si="3"/>
        <v>1</v>
      </c>
      <c r="AB40" s="1809">
        <f t="shared" si="4"/>
        <v>1</v>
      </c>
      <c r="AC40" s="1809">
        <f t="shared" si="5"/>
        <v>1</v>
      </c>
    </row>
    <row r="41" spans="1:29" s="117" customFormat="1" ht="15">
      <c r="A41" s="473"/>
      <c r="B41" s="422" t="s">
        <v>2755</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3"/>
      <c r="M41" s="1134"/>
      <c r="N41" s="1134"/>
      <c r="O41" s="1135"/>
      <c r="P41" s="3264"/>
      <c r="Q41" s="1808" t="str">
        <f t="shared" si="14"/>
        <v>宗地开发程度</v>
      </c>
      <c r="R41" s="768" t="s">
        <v>17</v>
      </c>
      <c r="S41" s="769">
        <f t="shared" si="10"/>
        <v>100</v>
      </c>
      <c r="T41" s="768" t="s">
        <v>17</v>
      </c>
      <c r="U41" s="769">
        <f t="shared" si="11"/>
        <v>100</v>
      </c>
      <c r="V41" s="768" t="s">
        <v>17</v>
      </c>
      <c r="W41" s="769">
        <f t="shared" si="12"/>
        <v>100</v>
      </c>
      <c r="X41" s="770"/>
      <c r="Y41" s="3264"/>
      <c r="Z41" s="55" t="str">
        <f t="shared" si="13"/>
        <v>宗地开发程度</v>
      </c>
      <c r="AA41" s="771">
        <f t="shared" si="3"/>
        <v>1</v>
      </c>
      <c r="AB41" s="771">
        <f t="shared" si="4"/>
        <v>1</v>
      </c>
      <c r="AC41" s="771">
        <f t="shared" si="5"/>
        <v>1</v>
      </c>
    </row>
    <row r="42" spans="1:29" ht="15">
      <c r="A42" s="472"/>
      <c r="B42" s="422" t="s">
        <v>2756</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1"/>
      <c r="M42" s="1132"/>
      <c r="N42" s="1132"/>
      <c r="O42" s="1140"/>
      <c r="P42" s="3264" t="s">
        <v>2566</v>
      </c>
      <c r="Q42" s="1808" t="str">
        <f t="shared" si="14"/>
        <v>工程地质条件</v>
      </c>
      <c r="R42" s="772" t="s">
        <v>17</v>
      </c>
      <c r="S42" s="773">
        <f t="shared" si="10"/>
        <v>100</v>
      </c>
      <c r="T42" s="772" t="s">
        <v>17</v>
      </c>
      <c r="U42" s="773">
        <f t="shared" si="11"/>
        <v>100</v>
      </c>
      <c r="V42" s="772" t="s">
        <v>17</v>
      </c>
      <c r="W42" s="773">
        <f t="shared" si="12"/>
        <v>100</v>
      </c>
      <c r="X42" s="1811"/>
      <c r="Y42" s="3264" t="s">
        <v>2566</v>
      </c>
      <c r="Z42" s="1812" t="str">
        <f t="shared" si="13"/>
        <v>工程地质条件</v>
      </c>
      <c r="AA42" s="1809">
        <f t="shared" si="3"/>
        <v>1</v>
      </c>
      <c r="AB42" s="1809">
        <f t="shared" si="4"/>
        <v>1</v>
      </c>
      <c r="AC42" s="1809">
        <f t="shared" si="5"/>
        <v>1</v>
      </c>
    </row>
    <row r="43" spans="1:29" ht="15">
      <c r="A43" s="472"/>
      <c r="B43" s="1388">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264"/>
      <c r="Q43" s="1808">
        <f t="shared" si="14"/>
        <v>111</v>
      </c>
      <c r="R43" s="772" t="s">
        <v>17</v>
      </c>
      <c r="S43" s="773">
        <f t="shared" si="10"/>
        <v>100</v>
      </c>
      <c r="T43" s="772" t="s">
        <v>17</v>
      </c>
      <c r="U43" s="773">
        <f t="shared" si="11"/>
        <v>100</v>
      </c>
      <c r="V43" s="772" t="s">
        <v>17</v>
      </c>
      <c r="W43" s="773">
        <f t="shared" si="12"/>
        <v>100</v>
      </c>
      <c r="X43" s="1811"/>
      <c r="Y43" s="3264"/>
      <c r="Z43" s="1812">
        <f t="shared" si="13"/>
        <v>111</v>
      </c>
      <c r="AA43" s="1809">
        <f t="shared" si="3"/>
        <v>1</v>
      </c>
      <c r="AB43" s="1809">
        <f t="shared" si="4"/>
        <v>1</v>
      </c>
      <c r="AC43" s="1809">
        <f t="shared" si="5"/>
        <v>1</v>
      </c>
    </row>
    <row r="44" spans="1:29" ht="15">
      <c r="A44" s="472"/>
      <c r="B44" s="1388">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264"/>
      <c r="Q44" s="1808">
        <f t="shared" si="14"/>
        <v>111</v>
      </c>
      <c r="R44" s="772" t="s">
        <v>17</v>
      </c>
      <c r="S44" s="773">
        <f t="shared" si="10"/>
        <v>100</v>
      </c>
      <c r="T44" s="772" t="s">
        <v>17</v>
      </c>
      <c r="U44" s="773">
        <f t="shared" si="11"/>
        <v>100</v>
      </c>
      <c r="V44" s="772" t="s">
        <v>17</v>
      </c>
      <c r="W44" s="773">
        <f t="shared" si="12"/>
        <v>100</v>
      </c>
      <c r="X44" s="1811"/>
      <c r="Y44" s="3264"/>
      <c r="Z44" s="1812">
        <f t="shared" si="13"/>
        <v>111</v>
      </c>
      <c r="AA44" s="1809">
        <f t="shared" si="3"/>
        <v>1</v>
      </c>
      <c r="AB44" s="1809">
        <f t="shared" si="4"/>
        <v>1</v>
      </c>
      <c r="AC44" s="1809">
        <f t="shared" si="5"/>
        <v>1</v>
      </c>
    </row>
    <row r="45" spans="1:29" s="471" customFormat="1" ht="15.75" thickBot="1">
      <c r="A45" s="468"/>
      <c r="B45" s="1388">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264"/>
      <c r="Q45" s="1808">
        <f t="shared" si="14"/>
        <v>111</v>
      </c>
      <c r="R45" s="775" t="s">
        <v>17</v>
      </c>
      <c r="S45" s="776">
        <f t="shared" si="10"/>
        <v>100</v>
      </c>
      <c r="T45" s="775" t="s">
        <v>17</v>
      </c>
      <c r="U45" s="776">
        <f t="shared" si="11"/>
        <v>100</v>
      </c>
      <c r="V45" s="775" t="s">
        <v>17</v>
      </c>
      <c r="W45" s="776">
        <f t="shared" si="12"/>
        <v>100</v>
      </c>
      <c r="X45" s="777"/>
      <c r="Y45" s="3264"/>
      <c r="Z45" s="778">
        <f t="shared" si="13"/>
        <v>111</v>
      </c>
      <c r="AA45" s="1809">
        <f t="shared" si="3"/>
        <v>1</v>
      </c>
      <c r="AB45" s="1809">
        <f t="shared" si="4"/>
        <v>1</v>
      </c>
      <c r="AC45" s="1809">
        <f t="shared" si="5"/>
        <v>1</v>
      </c>
    </row>
    <row r="46" spans="1:29" ht="15">
      <c r="A46" s="479" t="s">
        <v>2721</v>
      </c>
      <c r="B46" s="2704" t="s">
        <v>2757</v>
      </c>
      <c r="C46" s="682" t="s">
        <v>1</v>
      </c>
      <c r="D46" s="481"/>
      <c r="E46" s="482"/>
      <c r="F46" s="483"/>
      <c r="G46" s="484"/>
      <c r="H46" s="485"/>
      <c r="I46" s="482"/>
      <c r="J46" s="485"/>
      <c r="K46" s="781"/>
      <c r="L46" s="1144"/>
      <c r="M46" s="1145"/>
      <c r="N46" s="1132"/>
      <c r="O46" s="1145"/>
      <c r="P46" s="3266" t="str">
        <f>A46</f>
        <v>成交单价</v>
      </c>
      <c r="Q46" s="3266"/>
      <c r="R46" s="3228">
        <f>E46</f>
        <v>0</v>
      </c>
      <c r="S46" s="3228"/>
      <c r="T46" s="3228">
        <f>G46</f>
        <v>0</v>
      </c>
      <c r="U46" s="3228"/>
      <c r="V46" s="3228">
        <f>I46</f>
        <v>0</v>
      </c>
      <c r="W46" s="3228"/>
      <c r="X46" s="757"/>
      <c r="Y46" s="779"/>
      <c r="Z46" s="757"/>
      <c r="AA46" s="757"/>
      <c r="AB46" s="757"/>
      <c r="AC46" s="757"/>
    </row>
    <row r="47" spans="1:29" ht="15.75" thickBot="1">
      <c r="A47" s="486" t="s">
        <v>2670</v>
      </c>
      <c r="B47" s="683"/>
      <c r="C47" s="490" t="e">
        <f>R48</f>
        <v>#DIV/0!</v>
      </c>
      <c r="D47" s="489"/>
      <c r="E47" s="490" t="e">
        <f>R47</f>
        <v>#DIV/0!</v>
      </c>
      <c r="F47" s="491"/>
      <c r="G47" s="488" t="e">
        <f>T47</f>
        <v>#DIV/0!</v>
      </c>
      <c r="H47" s="489"/>
      <c r="I47" s="490" t="e">
        <f>V47</f>
        <v>#DIV/0!</v>
      </c>
      <c r="J47" s="489"/>
      <c r="K47" s="782"/>
      <c r="L47" s="1144"/>
      <c r="M47" s="1145"/>
      <c r="N47" s="1145"/>
      <c r="O47" s="1145"/>
      <c r="P47" s="3266" t="str">
        <f>A47</f>
        <v>比较价值（元/平方米）</v>
      </c>
      <c r="Q47" s="3266"/>
      <c r="R47" s="3318" t="e">
        <f>ROUND(PRODUCT(R46,AA7:AA45),0)</f>
        <v>#DIV/0!</v>
      </c>
      <c r="S47" s="3318"/>
      <c r="T47" s="3318" t="e">
        <f>ROUND(PRODUCT(T46,AB7:AB45),0)</f>
        <v>#DIV/0!</v>
      </c>
      <c r="U47" s="3318"/>
      <c r="V47" s="3318" t="e">
        <f>ROUND(PRODUCT(V46,AC7:AC45),0)</f>
        <v>#DIV/0!</v>
      </c>
      <c r="W47" s="3318"/>
      <c r="X47" s="757"/>
      <c r="Y47" s="757"/>
      <c r="Z47" s="757"/>
      <c r="AA47" s="757"/>
      <c r="AB47" s="757"/>
      <c r="AC47" s="757"/>
    </row>
    <row r="48" spans="1:29" ht="15.75" thickBot="1">
      <c r="A48" s="492" t="s">
        <v>2758</v>
      </c>
      <c r="B48" s="493"/>
      <c r="C48" s="494" t="e">
        <f>R48</f>
        <v>#DIV/0!</v>
      </c>
      <c r="D48" s="494"/>
      <c r="E48" s="494"/>
      <c r="F48" s="494"/>
      <c r="G48" s="494"/>
      <c r="H48" s="494"/>
      <c r="I48" s="494"/>
      <c r="J48" s="494"/>
      <c r="K48" s="783"/>
      <c r="L48" s="1144"/>
      <c r="M48" s="1145"/>
      <c r="N48" s="1145"/>
      <c r="O48" s="1145"/>
      <c r="P48" s="3268" t="str">
        <f>A48</f>
        <v>估价对象XX用房的比较价值（楼面单价，元/平方米）</v>
      </c>
      <c r="Q48" s="3269"/>
      <c r="R48" s="3319" t="e">
        <f>ROUND(AVERAGE(R47:V47),0)</f>
        <v>#DIV/0!</v>
      </c>
      <c r="S48" s="3319"/>
      <c r="T48" s="3319"/>
      <c r="U48" s="3319"/>
      <c r="V48" s="3319"/>
      <c r="W48" s="3319"/>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6"/>
      <c r="L51" s="1107"/>
      <c r="M51" s="1145"/>
      <c r="N51" s="1145"/>
      <c r="O51" s="1145"/>
    </row>
    <row r="52" spans="1:15" ht="13.5" customHeight="1">
      <c r="A52" s="1145"/>
      <c r="B52" s="1145"/>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6"/>
      <c r="L52" s="1107"/>
      <c r="M52" s="1145"/>
      <c r="N52" s="1145"/>
      <c r="O52" s="1145"/>
    </row>
    <row r="53" spans="1:15" s="502" customFormat="1" ht="13.5" customHeight="1">
      <c r="A53" s="1146"/>
      <c r="B53" s="1146"/>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9"/>
      <c r="L53" s="1150"/>
      <c r="M53" s="1146"/>
      <c r="N53" s="1146"/>
      <c r="O53" s="1146"/>
    </row>
    <row r="54" spans="1:15" s="502" customFormat="1" ht="15" thickBot="1">
      <c r="A54" s="1146"/>
      <c r="B54" s="1147"/>
      <c r="C54" s="760"/>
      <c r="D54" s="758"/>
      <c r="E54" s="758"/>
      <c r="F54" s="758"/>
      <c r="G54" s="758"/>
      <c r="H54" s="758"/>
      <c r="I54" s="758"/>
      <c r="J54" s="758"/>
      <c r="K54" s="1149"/>
      <c r="L54" s="1150"/>
      <c r="M54" s="1146"/>
      <c r="N54" s="1146"/>
      <c r="O54" s="1146"/>
    </row>
    <row r="55" spans="1:15" ht="27" customHeight="1">
      <c r="A55" s="684" t="s">
        <v>2759</v>
      </c>
      <c r="B55" s="685" t="s">
        <v>2760</v>
      </c>
      <c r="C55" s="2705" t="s">
        <v>2761</v>
      </c>
      <c r="D55" s="2706" t="s">
        <v>2762</v>
      </c>
      <c r="E55" s="686" t="s">
        <v>2763</v>
      </c>
      <c r="F55" s="1108" t="s">
        <v>2764</v>
      </c>
      <c r="G55" s="3244" t="s">
        <v>2765</v>
      </c>
      <c r="H55" s="3320"/>
      <c r="I55" s="144" t="s">
        <v>2766</v>
      </c>
      <c r="J55" s="2707">
        <f>项目基本情况!F35</f>
        <v>0</v>
      </c>
      <c r="K55" s="2708" t="s">
        <v>2767</v>
      </c>
      <c r="L55" s="1107"/>
      <c r="M55" s="1145"/>
      <c r="N55" s="1145"/>
      <c r="O55" s="1145"/>
    </row>
    <row r="56" spans="1:15" s="692" customFormat="1">
      <c r="A56" s="688" t="s">
        <v>2768</v>
      </c>
      <c r="B56" s="689" t="e">
        <f>C48</f>
        <v>#DIV/0!</v>
      </c>
      <c r="C56" s="690">
        <v>1</v>
      </c>
      <c r="D56" s="1164">
        <v>1</v>
      </c>
      <c r="E56" s="690">
        <f>'数据-汇总表'!E8+'数据-汇总表'!E9</f>
        <v>66657.509999999995</v>
      </c>
      <c r="F56" s="1104" t="e">
        <f t="shared" ref="F56:F65" si="15">ROUND(B56*E56/10000,0)</f>
        <v>#DIV/0!</v>
      </c>
      <c r="G56" s="3243"/>
      <c r="H56" s="3266"/>
      <c r="I56" s="1109">
        <v>1</v>
      </c>
      <c r="J56" s="1112">
        <v>1</v>
      </c>
      <c r="K56" s="1146"/>
      <c r="L56" s="942"/>
      <c r="M56" s="942"/>
      <c r="N56" s="942"/>
      <c r="O56" s="942"/>
    </row>
    <row r="57" spans="1:15" s="692" customFormat="1">
      <c r="A57" s="693" t="s">
        <v>2769</v>
      </c>
      <c r="B57" s="262" t="e">
        <f>ROUND($C$48*C57*D57,0)</f>
        <v>#DIV/0!</v>
      </c>
      <c r="C57" s="200">
        <f t="shared" ref="C57:C65" si="16">IF($C$55="北京市系数",I57,J57)</f>
        <v>0</v>
      </c>
      <c r="D57" s="1165">
        <v>0.25</v>
      </c>
      <c r="E57" s="694"/>
      <c r="F57" s="1104" t="e">
        <f t="shared" si="15"/>
        <v>#DIV/0!</v>
      </c>
      <c r="G57" s="3321" t="s">
        <v>2770</v>
      </c>
      <c r="H57" s="1105">
        <f>项目基本情况!B37</f>
        <v>0</v>
      </c>
      <c r="I57" s="1109">
        <f>SUMIF(修正!A45:A56,H57,修正!B45:B56)</f>
        <v>0</v>
      </c>
      <c r="J57" s="1113"/>
      <c r="K57" s="1145"/>
      <c r="L57" s="942"/>
      <c r="M57" s="942"/>
      <c r="N57" s="942"/>
      <c r="O57" s="942"/>
    </row>
    <row r="58" spans="1:15" s="692" customFormat="1">
      <c r="A58" s="693" t="s">
        <v>2771</v>
      </c>
      <c r="B58" s="262" t="e">
        <f t="shared" ref="B58:B65" si="17">ROUND($C$48*C58*D58,0)</f>
        <v>#DIV/0!</v>
      </c>
      <c r="C58" s="200">
        <f t="shared" si="16"/>
        <v>0</v>
      </c>
      <c r="D58" s="1165">
        <v>0.25</v>
      </c>
      <c r="E58" s="694"/>
      <c r="F58" s="1104" t="e">
        <f t="shared" si="15"/>
        <v>#DIV/0!</v>
      </c>
      <c r="G58" s="3321"/>
      <c r="H58" s="1105">
        <f>项目基本情况!B37</f>
        <v>0</v>
      </c>
      <c r="I58" s="1109">
        <f>SUMIF(修正!A45:A56,H58,修正!C45:C56)</f>
        <v>0</v>
      </c>
      <c r="J58" s="1113"/>
      <c r="K58" s="1146"/>
      <c r="L58" s="942"/>
      <c r="M58" s="942"/>
      <c r="N58" s="942"/>
      <c r="O58" s="942"/>
    </row>
    <row r="59" spans="1:15" s="692" customFormat="1">
      <c r="A59" s="693" t="s">
        <v>2772</v>
      </c>
      <c r="B59" s="262" t="e">
        <f t="shared" si="17"/>
        <v>#DIV/0!</v>
      </c>
      <c r="C59" s="200">
        <f t="shared" si="16"/>
        <v>0</v>
      </c>
      <c r="D59" s="1165">
        <v>0.25</v>
      </c>
      <c r="E59" s="694"/>
      <c r="F59" s="1104" t="e">
        <f t="shared" si="15"/>
        <v>#DIV/0!</v>
      </c>
      <c r="G59" s="3321"/>
      <c r="H59" s="1105">
        <f>项目基本情况!B37</f>
        <v>0</v>
      </c>
      <c r="I59" s="1109">
        <f>SUMIF(修正!A45:A56,H59,修正!D45:D56)</f>
        <v>0</v>
      </c>
      <c r="J59" s="1113"/>
      <c r="K59" s="1145"/>
      <c r="L59" s="942"/>
      <c r="M59" s="942"/>
      <c r="N59" s="942"/>
      <c r="O59" s="942"/>
    </row>
    <row r="60" spans="1:15" s="692" customFormat="1">
      <c r="A60" s="693" t="s">
        <v>2773</v>
      </c>
      <c r="B60" s="262" t="e">
        <f t="shared" si="17"/>
        <v>#DIV/0!</v>
      </c>
      <c r="C60" s="200">
        <f t="shared" si="16"/>
        <v>0</v>
      </c>
      <c r="D60" s="1165">
        <v>0.25</v>
      </c>
      <c r="E60" s="694"/>
      <c r="F60" s="1104" t="e">
        <f t="shared" si="15"/>
        <v>#DIV/0!</v>
      </c>
      <c r="G60" s="3321"/>
      <c r="H60" s="1105">
        <f>项目基本情况!B37</f>
        <v>0</v>
      </c>
      <c r="I60" s="1109">
        <f>SUMIF(修正!A45:A56,H60,修正!E45:E56)</f>
        <v>0</v>
      </c>
      <c r="J60" s="1113"/>
      <c r="K60" s="1146"/>
      <c r="L60" s="942"/>
      <c r="M60" s="942"/>
      <c r="N60" s="942"/>
      <c r="O60" s="942"/>
    </row>
    <row r="61" spans="1:15" s="692" customFormat="1">
      <c r="A61" s="693" t="s">
        <v>2774</v>
      </c>
      <c r="B61" s="262" t="e">
        <f t="shared" si="17"/>
        <v>#DIV/0!</v>
      </c>
      <c r="C61" s="200">
        <f t="shared" si="16"/>
        <v>0.2</v>
      </c>
      <c r="D61" s="1165">
        <v>0.25</v>
      </c>
      <c r="E61" s="261">
        <f>'数据-汇总表'!E11</f>
        <v>0</v>
      </c>
      <c r="F61" s="1104" t="e">
        <f t="shared" si="15"/>
        <v>#DIV/0!</v>
      </c>
      <c r="G61" s="2709" t="s">
        <v>2775</v>
      </c>
      <c r="H61" s="1105" t="str">
        <f>项目基本情况!C37</f>
        <v>八级</v>
      </c>
      <c r="I61" s="1109">
        <f>SUMIF(修正!A45:A56,H61,修正!F45:F56)</f>
        <v>0.2</v>
      </c>
      <c r="J61" s="1113"/>
      <c r="K61" s="1145"/>
      <c r="L61" s="942"/>
      <c r="M61" s="942"/>
      <c r="N61" s="942"/>
      <c r="O61" s="942"/>
    </row>
    <row r="62" spans="1:15" s="692" customFormat="1">
      <c r="A62" s="693" t="s">
        <v>2776</v>
      </c>
      <c r="B62" s="262" t="e">
        <f t="shared" si="17"/>
        <v>#DIV/0!</v>
      </c>
      <c r="C62" s="200">
        <f t="shared" si="16"/>
        <v>0.2</v>
      </c>
      <c r="D62" s="1165">
        <v>0.25</v>
      </c>
      <c r="E62" s="261">
        <f>'数据-汇总表'!E12</f>
        <v>0</v>
      </c>
      <c r="F62" s="1104" t="e">
        <f t="shared" si="15"/>
        <v>#DIV/0!</v>
      </c>
      <c r="G62" s="1110" t="s">
        <v>2777</v>
      </c>
      <c r="H62" s="1105" t="str">
        <f>IF(G62="商业",项目基本情况!B37,IF(G62="办公",项目基本情况!C37,IF(G62="住宅",项目基本情况!D37,项目基本情况!E37)))</f>
        <v>八级</v>
      </c>
      <c r="I62" s="1109">
        <f>SUMIF(修正!A45:A56,H62,修正!G45:G56)</f>
        <v>0.2</v>
      </c>
      <c r="J62" s="1113"/>
      <c r="K62" s="1146"/>
      <c r="L62" s="942"/>
      <c r="M62" s="942"/>
      <c r="N62" s="942"/>
      <c r="O62" s="942"/>
    </row>
    <row r="63" spans="1:15" s="692" customFormat="1">
      <c r="A63" s="693" t="s">
        <v>2778</v>
      </c>
      <c r="B63" s="262" t="e">
        <f t="shared" si="17"/>
        <v>#DIV/0!</v>
      </c>
      <c r="C63" s="200">
        <f t="shared" si="16"/>
        <v>0</v>
      </c>
      <c r="D63" s="1165">
        <v>0.25</v>
      </c>
      <c r="E63" s="261">
        <f>'数据-汇总表'!E13</f>
        <v>0</v>
      </c>
      <c r="F63" s="1104" t="e">
        <f t="shared" si="15"/>
        <v>#DIV/0!</v>
      </c>
      <c r="G63" s="1110" t="s">
        <v>2779</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2" customFormat="1">
      <c r="A64" s="693" t="s">
        <v>2780</v>
      </c>
      <c r="B64" s="262" t="e">
        <f t="shared" si="17"/>
        <v>#DIV/0!</v>
      </c>
      <c r="C64" s="200">
        <f t="shared" si="16"/>
        <v>0</v>
      </c>
      <c r="D64" s="1165">
        <v>0.25</v>
      </c>
      <c r="E64" s="261">
        <f>'数据-汇总表'!E14</f>
        <v>0</v>
      </c>
      <c r="F64" s="1104" t="e">
        <f t="shared" si="15"/>
        <v>#DIV/0!</v>
      </c>
      <c r="G64" s="2709" t="s">
        <v>2770</v>
      </c>
      <c r="H64" s="1105">
        <f>项目基本情况!B37</f>
        <v>0</v>
      </c>
      <c r="I64" s="1109">
        <f>SUMIF(修正!A45:A56,H64,修正!H45:H56)</f>
        <v>0</v>
      </c>
      <c r="J64" s="1113"/>
      <c r="K64" s="1146"/>
      <c r="L64" s="942"/>
      <c r="M64" s="942"/>
      <c r="N64" s="942"/>
      <c r="O64" s="942"/>
    </row>
    <row r="65" spans="1:17" s="692" customFormat="1" ht="15" thickBot="1">
      <c r="A65" s="693" t="s">
        <v>2781</v>
      </c>
      <c r="B65" s="262" t="e">
        <f t="shared" si="17"/>
        <v>#DIV/0!</v>
      </c>
      <c r="C65" s="200">
        <f t="shared" si="16"/>
        <v>0.15</v>
      </c>
      <c r="D65" s="1165">
        <v>0.25</v>
      </c>
      <c r="E65" s="261">
        <f>'数据-汇总表'!E15</f>
        <v>0</v>
      </c>
      <c r="F65" s="1104" t="e">
        <f t="shared" si="15"/>
        <v>#DIV/0!</v>
      </c>
      <c r="G65" s="2710" t="s">
        <v>2775</v>
      </c>
      <c r="H65" s="1115" t="str">
        <f>项目基本情况!C37</f>
        <v>八级</v>
      </c>
      <c r="I65" s="1111">
        <f>SUMIF(修正!A45:A56,H65,修正!H45:H56)</f>
        <v>0.15</v>
      </c>
      <c r="J65" s="1114"/>
      <c r="K65" s="1145"/>
      <c r="L65" s="942"/>
      <c r="M65" s="942"/>
      <c r="N65" s="942"/>
      <c r="O65" s="942"/>
    </row>
    <row r="66" spans="1:17" s="692" customFormat="1" ht="13.5" thickBot="1">
      <c r="A66" s="695" t="s">
        <v>2782</v>
      </c>
      <c r="B66" s="696" t="s">
        <v>28</v>
      </c>
      <c r="C66" s="696" t="s">
        <v>29</v>
      </c>
      <c r="D66" s="696" t="s">
        <v>1026</v>
      </c>
      <c r="E66" s="696">
        <f>IF(B46="楼面地价",SUM(E56:E65),'数据-汇总表'!D3)</f>
        <v>66657.509999999995</v>
      </c>
      <c r="F66" s="697" t="e">
        <f>IF(B46="楼面地价",SUM(F56:F65),ROUND(C48*E66/10000,0))</f>
        <v>#DIV/0!</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2019-4-1</v>
      </c>
      <c r="D68" s="759">
        <f>EDATE(C68,-3)</f>
        <v>43466</v>
      </c>
      <c r="E68" s="759">
        <f>EDATE(D68,-3)</f>
        <v>43374</v>
      </c>
      <c r="F68" s="759">
        <f t="shared" ref="F68:O68" si="18">EDATE(E68,-3)</f>
        <v>43282</v>
      </c>
      <c r="G68" s="759">
        <f t="shared" si="18"/>
        <v>43191</v>
      </c>
      <c r="H68" s="759">
        <f t="shared" si="18"/>
        <v>43101</v>
      </c>
      <c r="I68" s="759">
        <f t="shared" si="18"/>
        <v>43009</v>
      </c>
      <c r="J68" s="759">
        <f t="shared" si="18"/>
        <v>42917</v>
      </c>
      <c r="K68" s="759">
        <f t="shared" si="18"/>
        <v>42826</v>
      </c>
      <c r="L68" s="759">
        <f t="shared" si="18"/>
        <v>42736</v>
      </c>
      <c r="M68" s="759">
        <f t="shared" si="18"/>
        <v>42644</v>
      </c>
      <c r="N68" s="759">
        <f t="shared" si="18"/>
        <v>42552</v>
      </c>
      <c r="O68" s="759">
        <f t="shared" si="18"/>
        <v>42461</v>
      </c>
    </row>
    <row r="69" spans="1:17" ht="21.75" thickBot="1">
      <c r="A69" s="761" t="s">
        <v>2675</v>
      </c>
      <c r="B69" s="757"/>
      <c r="C69" s="762"/>
      <c r="D69" s="762"/>
      <c r="E69" s="762"/>
      <c r="F69" s="763"/>
      <c r="G69" s="763"/>
      <c r="H69" s="762"/>
      <c r="I69" s="762"/>
      <c r="J69" s="1160"/>
      <c r="K69" s="1161"/>
      <c r="L69" s="1162"/>
      <c r="M69" s="1160"/>
      <c r="N69" s="1160"/>
      <c r="O69" s="1160"/>
      <c r="P69" s="503"/>
      <c r="Q69" s="504"/>
    </row>
    <row r="70" spans="1:17" s="508" customFormat="1" ht="15">
      <c r="A70" s="2711" t="s">
        <v>2783</v>
      </c>
      <c r="B70" s="1360"/>
      <c r="C70" s="1573" t="str">
        <f>YEAR(C68)&amp;"-"&amp;ROUNDUP(MONTH(C68)/3,0)</f>
        <v>2019-2</v>
      </c>
      <c r="D70" s="1573" t="str">
        <f>YEAR(D68)&amp;"-"&amp;ROUNDUP(MONTH(D68)/3,0)</f>
        <v>2019-1</v>
      </c>
      <c r="E70" s="1573" t="str">
        <f t="shared" ref="E70:O70" si="19">YEAR(E68)&amp;"-"&amp;ROUNDUP(MONTH(E68)/3,0)</f>
        <v>2018-4</v>
      </c>
      <c r="F70" s="1573" t="str">
        <f t="shared" si="19"/>
        <v>2018-3</v>
      </c>
      <c r="G70" s="1573" t="str">
        <f t="shared" si="19"/>
        <v>2018-2</v>
      </c>
      <c r="H70" s="1573" t="str">
        <f t="shared" si="19"/>
        <v>2018-1</v>
      </c>
      <c r="I70" s="1573" t="str">
        <f t="shared" si="19"/>
        <v>2017-4</v>
      </c>
      <c r="J70" s="1573" t="str">
        <f t="shared" si="19"/>
        <v>2017-3</v>
      </c>
      <c r="K70" s="1573" t="str">
        <f t="shared" si="19"/>
        <v>2017-2</v>
      </c>
      <c r="L70" s="1573" t="str">
        <f t="shared" si="19"/>
        <v>2017-1</v>
      </c>
      <c r="M70" s="1573" t="str">
        <f t="shared" si="19"/>
        <v>2016-4</v>
      </c>
      <c r="N70" s="1573" t="str">
        <f t="shared" si="19"/>
        <v>2016-3</v>
      </c>
      <c r="O70" s="1573" t="str">
        <f t="shared" si="19"/>
        <v>2016-2</v>
      </c>
      <c r="P70" s="507"/>
    </row>
    <row r="71" spans="1:17" s="117" customFormat="1" ht="30" customHeight="1">
      <c r="A71" s="2712" t="s">
        <v>2784</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8"/>
      <c r="N71" s="595"/>
      <c r="O71" s="1569"/>
      <c r="P71" s="504"/>
    </row>
    <row r="72" spans="1:17" s="117" customFormat="1" ht="15.75" thickBot="1">
      <c r="A72" s="515" t="s">
        <v>2586</v>
      </c>
      <c r="B72" s="516"/>
      <c r="C72" s="517"/>
      <c r="D72" s="518"/>
      <c r="E72" s="518"/>
      <c r="F72" s="518"/>
      <c r="G72" s="518"/>
      <c r="H72" s="518"/>
      <c r="I72" s="518"/>
      <c r="J72" s="518"/>
      <c r="K72" s="518"/>
      <c r="L72" s="518"/>
      <c r="M72" s="519"/>
      <c r="N72" s="518"/>
      <c r="O72" s="1163"/>
      <c r="P72" s="504"/>
      <c r="Q72" s="504"/>
    </row>
    <row r="73" spans="1:17" s="117" customFormat="1" ht="15">
      <c r="A73" s="521" t="s">
        <v>2551</v>
      </c>
      <c r="B73" s="510"/>
      <c r="C73" s="522" t="s">
        <v>2653</v>
      </c>
      <c r="D73" s="523"/>
      <c r="E73" s="523"/>
      <c r="F73" s="523"/>
      <c r="G73" s="523"/>
      <c r="H73" s="523"/>
      <c r="I73" s="523"/>
      <c r="J73" s="523"/>
      <c r="K73" s="523"/>
      <c r="L73" s="524"/>
      <c r="M73" s="525"/>
      <c r="N73" s="1152"/>
      <c r="O73" s="1152"/>
      <c r="P73" s="526"/>
      <c r="Q73" s="504"/>
    </row>
    <row r="74" spans="1:17" s="117" customFormat="1" ht="15.75" thickBot="1">
      <c r="A74" s="521"/>
      <c r="B74" s="510"/>
      <c r="C74" s="639">
        <v>100</v>
      </c>
      <c r="D74" s="512"/>
      <c r="E74" s="512"/>
      <c r="F74" s="512"/>
      <c r="G74" s="512"/>
      <c r="H74" s="512"/>
      <c r="I74" s="512"/>
      <c r="J74" s="512"/>
      <c r="K74" s="512"/>
      <c r="L74" s="512"/>
      <c r="M74" s="514"/>
      <c r="N74" s="1152"/>
      <c r="O74" s="1152"/>
      <c r="P74" s="504"/>
      <c r="Q74" s="504"/>
    </row>
    <row r="75" spans="1:17">
      <c r="A75" s="527" t="s">
        <v>2589</v>
      </c>
      <c r="B75" s="528" t="s">
        <v>2555</v>
      </c>
      <c r="C75" s="530"/>
      <c r="D75" s="530"/>
      <c r="E75" s="530"/>
      <c r="F75" s="530"/>
      <c r="G75" s="530"/>
      <c r="H75" s="530"/>
      <c r="I75" s="530"/>
      <c r="J75" s="530"/>
      <c r="K75" s="531"/>
      <c r="L75" s="532"/>
      <c r="M75" s="533"/>
      <c r="N75" s="1153"/>
      <c r="O75" s="1153"/>
      <c r="P75" s="45"/>
      <c r="Q75" s="504"/>
    </row>
    <row r="76" spans="1:17" ht="15.75" thickBot="1">
      <c r="A76" s="534"/>
      <c r="B76" s="535"/>
      <c r="C76" s="536"/>
      <c r="D76" s="536"/>
      <c r="E76" s="536"/>
      <c r="F76" s="536"/>
      <c r="G76" s="536"/>
      <c r="H76" s="536"/>
      <c r="I76" s="536"/>
      <c r="J76" s="536"/>
      <c r="K76" s="536"/>
      <c r="L76" s="536"/>
      <c r="M76" s="537"/>
      <c r="N76" s="1154"/>
      <c r="O76" s="1154"/>
      <c r="P76" s="45"/>
      <c r="Q76" s="504"/>
    </row>
    <row r="77" spans="1:17" ht="27.75" thickTop="1">
      <c r="A77" s="534"/>
      <c r="B77" s="538" t="s">
        <v>2558</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4"/>
      <c r="O79" s="1154"/>
      <c r="P79" s="45"/>
      <c r="Q79" s="504"/>
    </row>
    <row r="80" spans="1:17" ht="15">
      <c r="A80" s="534"/>
      <c r="B80" s="548"/>
      <c r="C80" s="549"/>
      <c r="D80" s="549"/>
      <c r="E80" s="549"/>
      <c r="F80" s="549"/>
      <c r="G80" s="549"/>
      <c r="H80" s="549"/>
      <c r="I80" s="549"/>
      <c r="J80" s="549"/>
      <c r="K80" s="550"/>
      <c r="L80" s="551"/>
      <c r="M80" s="552"/>
      <c r="N80" s="1153"/>
      <c r="O80" s="1153"/>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4"/>
      <c r="O81" s="1154"/>
      <c r="P81" s="45"/>
      <c r="Q81" s="504"/>
    </row>
    <row r="82" spans="1:17" s="471" customFormat="1" ht="15.75" thickTop="1">
      <c r="A82" s="553"/>
      <c r="B82" s="538" t="str">
        <f>B12</f>
        <v>配建</v>
      </c>
      <c r="C82" s="554"/>
      <c r="D82" s="554"/>
      <c r="E82" s="554"/>
      <c r="F82" s="554"/>
      <c r="G82" s="554"/>
      <c r="H82" s="555"/>
      <c r="I82" s="555"/>
      <c r="J82" s="555"/>
      <c r="K82" s="555"/>
      <c r="L82" s="556"/>
      <c r="M82" s="557"/>
      <c r="N82" s="1155"/>
      <c r="O82" s="1155"/>
      <c r="P82" s="558"/>
      <c r="Q82" s="559"/>
    </row>
    <row r="83" spans="1:17" s="471" customFormat="1" ht="15.75" thickBot="1">
      <c r="A83" s="553"/>
      <c r="B83" s="543"/>
      <c r="C83" s="560"/>
      <c r="D83" s="536"/>
      <c r="E83" s="536"/>
      <c r="F83" s="536"/>
      <c r="G83" s="536"/>
      <c r="H83" s="536"/>
      <c r="I83" s="536"/>
      <c r="J83" s="536"/>
      <c r="K83" s="536"/>
      <c r="L83" s="536"/>
      <c r="M83" s="537"/>
      <c r="N83" s="1154"/>
      <c r="O83" s="1154"/>
      <c r="P83" s="558"/>
      <c r="Q83" s="559"/>
    </row>
    <row r="84" spans="1:17" s="471" customFormat="1" ht="15.75" thickTop="1">
      <c r="A84" s="553"/>
      <c r="B84" s="538">
        <f>B13</f>
        <v>111</v>
      </c>
      <c r="C84" s="554"/>
      <c r="D84" s="554"/>
      <c r="E84" s="554"/>
      <c r="F84" s="554"/>
      <c r="G84" s="554"/>
      <c r="H84" s="555"/>
      <c r="I84" s="555"/>
      <c r="J84" s="555"/>
      <c r="K84" s="555"/>
      <c r="L84" s="556"/>
      <c r="M84" s="557"/>
      <c r="N84" s="1155"/>
      <c r="O84" s="1155"/>
      <c r="P84" s="470"/>
      <c r="Q84" s="561"/>
    </row>
    <row r="85" spans="1:17" s="471" customFormat="1" ht="15.75" thickBot="1">
      <c r="A85" s="553"/>
      <c r="B85" s="543"/>
      <c r="C85" s="560"/>
      <c r="D85" s="560"/>
      <c r="E85" s="560"/>
      <c r="F85" s="560"/>
      <c r="G85" s="560"/>
      <c r="H85" s="562"/>
      <c r="I85" s="562"/>
      <c r="J85" s="562"/>
      <c r="K85" s="562"/>
      <c r="L85" s="562"/>
      <c r="M85" s="563"/>
      <c r="N85" s="1155"/>
      <c r="O85" s="1155"/>
      <c r="P85" s="558"/>
      <c r="Q85" s="559"/>
    </row>
    <row r="86" spans="1:17" s="471" customFormat="1" ht="15.75" thickTop="1">
      <c r="A86" s="553"/>
      <c r="B86" s="546">
        <f>B14</f>
        <v>111</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3"/>
      <c r="O88" s="1153"/>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4"/>
      <c r="O89" s="1154"/>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3"/>
      <c r="O90" s="1153"/>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4"/>
      <c r="O91" s="1154"/>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3"/>
      <c r="O92" s="1153"/>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3"/>
      <c r="O94" s="1153"/>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4"/>
      <c r="O95" s="1154"/>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2"/>
      <c r="O96" s="1152"/>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4"/>
      <c r="O97" s="1154"/>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2"/>
      <c r="O98" s="1152"/>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4"/>
      <c r="O99" s="1154"/>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5"/>
      <c r="O100" s="1155"/>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5"/>
      <c r="O101" s="1155"/>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6"/>
      <c r="N102" s="1155"/>
      <c r="O102" s="1155"/>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6"/>
      <c r="N103" s="1155"/>
      <c r="O103" s="1155"/>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3"/>
      <c r="O104" s="1153"/>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4"/>
      <c r="O105" s="1154"/>
      <c r="P105" s="45"/>
      <c r="Q105" s="504"/>
    </row>
    <row r="106" spans="1:17" ht="27.75" thickTop="1">
      <c r="A106" s="534"/>
      <c r="B106" s="538" t="s">
        <v>2692</v>
      </c>
      <c r="C106" s="554"/>
      <c r="D106" s="554"/>
      <c r="E106" s="554"/>
      <c r="F106" s="554"/>
      <c r="G106" s="554"/>
      <c r="H106" s="583"/>
      <c r="I106" s="583"/>
      <c r="J106" s="583"/>
      <c r="K106" s="584"/>
      <c r="L106" s="585"/>
      <c r="M106" s="586"/>
      <c r="N106" s="1153"/>
      <c r="O106" s="1153"/>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4"/>
      <c r="O107" s="1154"/>
      <c r="P107" s="45"/>
      <c r="Q107" s="504"/>
    </row>
    <row r="108" spans="1:17" ht="15.75" thickTop="1">
      <c r="A108" s="534"/>
      <c r="B108" s="538" t="s">
        <v>2751</v>
      </c>
      <c r="C108" s="583"/>
      <c r="D108" s="583"/>
      <c r="E108" s="583"/>
      <c r="F108" s="583"/>
      <c r="G108" s="583"/>
      <c r="H108" s="583"/>
      <c r="I108" s="583"/>
      <c r="J108" s="583"/>
      <c r="K108" s="584"/>
      <c r="L108" s="585"/>
      <c r="M108" s="586"/>
      <c r="N108" s="1153"/>
      <c r="O108" s="1153"/>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4"/>
      <c r="O109" s="1154"/>
      <c r="P109" s="45"/>
      <c r="Q109" s="504"/>
    </row>
    <row r="110" spans="1:17" ht="15.75" thickTop="1">
      <c r="A110" s="534"/>
      <c r="B110" s="546">
        <f>B35</f>
        <v>111</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5"/>
      <c r="B112" s="538">
        <f>B36</f>
        <v>111</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7"/>
      <c r="E115" s="677"/>
      <c r="F115" s="677"/>
      <c r="G115" s="677"/>
      <c r="H115" s="677"/>
      <c r="I115" s="677"/>
      <c r="J115" s="677"/>
      <c r="K115" s="677"/>
      <c r="L115" s="677"/>
      <c r="M115" s="699"/>
      <c r="N115" s="1154"/>
      <c r="O115" s="1154"/>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3"/>
      <c r="O116" s="1153"/>
      <c r="P116" s="45"/>
      <c r="Q116" s="504"/>
    </row>
    <row r="117" spans="1:17" ht="15">
      <c r="A117" s="534"/>
      <c r="B117" s="546"/>
      <c r="C117" s="595"/>
      <c r="D117" s="595"/>
      <c r="E117" s="595"/>
      <c r="F117" s="595"/>
      <c r="G117" s="595"/>
      <c r="H117" s="595"/>
      <c r="I117" s="595"/>
      <c r="J117" s="596"/>
      <c r="K117" s="596"/>
      <c r="L117" s="597"/>
      <c r="M117" s="598"/>
      <c r="N117" s="1153"/>
      <c r="O117" s="1153"/>
      <c r="P117" s="45"/>
      <c r="Q117" s="504"/>
    </row>
    <row r="118" spans="1:17" ht="15.75" thickBot="1">
      <c r="A118" s="534"/>
      <c r="B118" s="543"/>
      <c r="C118" s="570"/>
      <c r="D118" s="591"/>
      <c r="E118" s="591"/>
      <c r="F118" s="591"/>
      <c r="G118" s="591"/>
      <c r="H118" s="591"/>
      <c r="I118" s="591"/>
      <c r="J118" s="591"/>
      <c r="K118" s="591"/>
      <c r="L118" s="591"/>
      <c r="M118" s="592"/>
      <c r="N118" s="1154"/>
      <c r="O118" s="1154"/>
      <c r="P118" s="45"/>
      <c r="Q118" s="504"/>
    </row>
    <row r="119" spans="1:17" ht="15" thickTop="1">
      <c r="A119" s="599"/>
      <c r="B119" s="538" t="s">
        <v>2793</v>
      </c>
      <c r="C119" s="583"/>
      <c r="D119" s="583"/>
      <c r="E119" s="583"/>
      <c r="F119" s="583"/>
      <c r="G119" s="583"/>
      <c r="H119" s="583"/>
      <c r="I119" s="583"/>
      <c r="J119" s="583"/>
      <c r="K119" s="584"/>
      <c r="L119" s="585"/>
      <c r="M119" s="586"/>
      <c r="N119" s="1153"/>
      <c r="O119" s="1153"/>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4"/>
      <c r="O120" s="1154"/>
      <c r="P120" s="45"/>
      <c r="Q120" s="504"/>
    </row>
    <row r="121" spans="1:17" ht="15" thickTop="1">
      <c r="A121" s="599"/>
      <c r="B121" s="538" t="s">
        <v>2794</v>
      </c>
      <c r="C121" s="554"/>
      <c r="D121" s="554"/>
      <c r="E121" s="554"/>
      <c r="F121" s="583"/>
      <c r="G121" s="583"/>
      <c r="H121" s="583"/>
      <c r="I121" s="583"/>
      <c r="J121" s="583"/>
      <c r="K121" s="584"/>
      <c r="L121" s="585"/>
      <c r="M121" s="586"/>
      <c r="N121" s="1153"/>
      <c r="O121" s="1153"/>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4"/>
      <c r="O122" s="1154"/>
      <c r="P122" s="45"/>
      <c r="Q122" s="504"/>
    </row>
    <row r="123" spans="1:17" s="471" customFormat="1" ht="15" thickTop="1">
      <c r="A123" s="593"/>
      <c r="B123" s="538" t="s">
        <v>2795</v>
      </c>
      <c r="C123" s="554"/>
      <c r="D123" s="554"/>
      <c r="E123" s="554"/>
      <c r="F123" s="554"/>
      <c r="G123" s="554"/>
      <c r="H123" s="583"/>
      <c r="I123" s="583"/>
      <c r="J123" s="583"/>
      <c r="K123" s="584"/>
      <c r="L123" s="585"/>
      <c r="M123" s="586"/>
      <c r="N123" s="1155"/>
      <c r="O123" s="1155"/>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5"/>
      <c r="O124" s="1155"/>
      <c r="P124" s="558"/>
      <c r="Q124" s="559"/>
    </row>
    <row r="125" spans="1:17" ht="15" thickTop="1">
      <c r="A125" s="599"/>
      <c r="B125" s="538" t="s">
        <v>2796</v>
      </c>
      <c r="C125" s="554"/>
      <c r="D125" s="554"/>
      <c r="E125" s="583"/>
      <c r="F125" s="583"/>
      <c r="G125" s="583"/>
      <c r="H125" s="583"/>
      <c r="I125" s="583"/>
      <c r="J125" s="583"/>
      <c r="K125" s="584"/>
      <c r="L125" s="585"/>
      <c r="M125" s="586"/>
      <c r="N125" s="1153"/>
      <c r="O125" s="1153"/>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4"/>
      <c r="O126" s="1154"/>
      <c r="P126" s="45"/>
      <c r="Q126" s="504"/>
    </row>
    <row r="127" spans="1:17" ht="15" thickTop="1">
      <c r="A127" s="599"/>
      <c r="B127" s="538">
        <f>B43</f>
        <v>111</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111</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58" priority="14" stopIfTrue="1" operator="containsText" text="超过">
      <formula>NOT(ISERROR(SEARCH("超过",F51)))</formula>
    </cfRule>
  </conditionalFormatting>
  <conditionalFormatting sqref="J53">
    <cfRule type="containsText" dxfId="57" priority="13" stopIfTrue="1" operator="containsText" text="超过">
      <formula>NOT(ISERROR(SEARCH("超过",J53)))</formula>
    </cfRule>
  </conditionalFormatting>
  <conditionalFormatting sqref="H53">
    <cfRule type="containsText" dxfId="56" priority="12" stopIfTrue="1" operator="containsText" text="超过">
      <formula>NOT(ISERROR(SEARCH("超过",H53)))</formula>
    </cfRule>
  </conditionalFormatting>
  <conditionalFormatting sqref="F53">
    <cfRule type="containsText" dxfId="55" priority="11" stopIfTrue="1" operator="containsText" text="超过">
      <formula>NOT(ISERROR(SEARCH("超过",F53)))</formula>
    </cfRule>
  </conditionalFormatting>
  <conditionalFormatting sqref="F52 H52 J52">
    <cfRule type="containsText" dxfId="54" priority="10" stopIfTrue="1" operator="containsText" text="超过">
      <formula>NOT(ISERROR(SEARCH("超过",F52)))</formula>
    </cfRule>
  </conditionalFormatting>
  <conditionalFormatting sqref="E51">
    <cfRule type="expression" dxfId="53" priority="9" stopIfTrue="1">
      <formula>$F$51="超过30%"</formula>
    </cfRule>
  </conditionalFormatting>
  <conditionalFormatting sqref="G53">
    <cfRule type="expression" dxfId="52" priority="8" stopIfTrue="1">
      <formula>$H$53="超过30%"</formula>
    </cfRule>
  </conditionalFormatting>
  <conditionalFormatting sqref="E52">
    <cfRule type="expression" dxfId="51" priority="7" stopIfTrue="1">
      <formula>$F$52="超过20%"</formula>
    </cfRule>
  </conditionalFormatting>
  <conditionalFormatting sqref="E53">
    <cfRule type="expression" dxfId="50" priority="6" stopIfTrue="1">
      <formula>$F$53="超过30%"</formula>
    </cfRule>
  </conditionalFormatting>
  <conditionalFormatting sqref="G51">
    <cfRule type="expression" dxfId="49" priority="5" stopIfTrue="1">
      <formula>$H$53+$H$51="超过30%"</formula>
    </cfRule>
  </conditionalFormatting>
  <conditionalFormatting sqref="G52">
    <cfRule type="expression" dxfId="48" priority="4" stopIfTrue="1">
      <formula>$H$52="超过20%"</formula>
    </cfRule>
  </conditionalFormatting>
  <conditionalFormatting sqref="I51">
    <cfRule type="expression" dxfId="47" priority="3" stopIfTrue="1">
      <formula>$J$51="超过30%"</formula>
    </cfRule>
  </conditionalFormatting>
  <conditionalFormatting sqref="I52">
    <cfRule type="expression" dxfId="46" priority="2" stopIfTrue="1">
      <formula>$J$52="超过20%"</formula>
    </cfRule>
  </conditionalFormatting>
  <conditionalFormatting sqref="I53">
    <cfRule type="expression" dxfId="4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3"/>
      <c r="E1" s="753"/>
      <c r="F1" s="752" t="s">
        <v>2644</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2328</v>
      </c>
      <c r="B2" s="671"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2330</v>
      </c>
      <c r="B3" s="609" t="e">
        <f>ROUND(IF(D3="",B2*10000/'数据-汇总表'!E3,B2*10000/D3),0)</f>
        <v>#DIV/0!</v>
      </c>
      <c r="C3" s="247" t="s">
        <v>2747</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2646</v>
      </c>
      <c r="B4" s="402"/>
      <c r="C4" s="3244" t="s">
        <v>2647</v>
      </c>
      <c r="D4" s="3245"/>
      <c r="E4" s="3246" t="s">
        <v>2648</v>
      </c>
      <c r="F4" s="3247"/>
      <c r="G4" s="3244" t="s">
        <v>2649</v>
      </c>
      <c r="H4" s="3245"/>
      <c r="I4" s="3244" t="s">
        <v>2650</v>
      </c>
      <c r="J4" s="3245"/>
      <c r="K4" s="610" t="s">
        <v>2651</v>
      </c>
      <c r="L4" s="1131"/>
      <c r="M4" s="1132"/>
      <c r="N4" s="1132"/>
      <c r="O4" s="1132"/>
      <c r="P4" s="3248" t="s">
        <v>2652</v>
      </c>
      <c r="Q4" s="3249"/>
      <c r="R4" s="3231" t="s">
        <v>2648</v>
      </c>
      <c r="S4" s="3232"/>
      <c r="T4" s="3231" t="s">
        <v>2649</v>
      </c>
      <c r="U4" s="3232"/>
      <c r="V4" s="3228" t="s">
        <v>2650</v>
      </c>
      <c r="W4" s="3228"/>
      <c r="X4" s="1811"/>
      <c r="Y4" s="3231" t="s">
        <v>2652</v>
      </c>
      <c r="Z4" s="3232"/>
      <c r="AA4" s="3225" t="s">
        <v>2648</v>
      </c>
      <c r="AB4" s="3226" t="s">
        <v>2649</v>
      </c>
      <c r="AC4" s="3225" t="s">
        <v>2650</v>
      </c>
    </row>
    <row r="5" spans="1:29" ht="15">
      <c r="A5" s="404"/>
      <c r="B5" s="405"/>
      <c r="C5" s="3237" t="s">
        <v>2543</v>
      </c>
      <c r="D5" s="3238"/>
      <c r="E5" s="3235" t="s">
        <v>2544</v>
      </c>
      <c r="F5" s="3236"/>
      <c r="G5" s="3237" t="s">
        <v>2545</v>
      </c>
      <c r="H5" s="3238"/>
      <c r="I5" s="3237" t="s">
        <v>2546</v>
      </c>
      <c r="J5" s="3238"/>
      <c r="K5" s="610"/>
      <c r="L5" s="1131"/>
      <c r="M5" s="1132"/>
      <c r="N5" s="1132"/>
      <c r="O5" s="1132"/>
      <c r="P5" s="3250"/>
      <c r="Q5" s="3251"/>
      <c r="R5" s="3233"/>
      <c r="S5" s="3234"/>
      <c r="T5" s="3233"/>
      <c r="U5" s="3234"/>
      <c r="V5" s="3228"/>
      <c r="W5" s="3228"/>
      <c r="X5" s="1811"/>
      <c r="Y5" s="3233"/>
      <c r="Z5" s="3234"/>
      <c r="AA5" s="3226"/>
      <c r="AB5" s="3226"/>
      <c r="AC5" s="3226"/>
    </row>
    <row r="6" spans="1:29" ht="15.75" thickBot="1">
      <c r="A6" s="406"/>
      <c r="B6" s="407"/>
      <c r="C6" s="3322" t="s">
        <v>2798</v>
      </c>
      <c r="D6" s="3323"/>
      <c r="E6" s="3324" t="s">
        <v>2798</v>
      </c>
      <c r="F6" s="3325"/>
      <c r="G6" s="3322" t="s">
        <v>2798</v>
      </c>
      <c r="H6" s="3323"/>
      <c r="I6" s="3322" t="s">
        <v>2798</v>
      </c>
      <c r="J6" s="3323"/>
      <c r="K6" s="610" t="s">
        <v>2548</v>
      </c>
      <c r="L6" s="1131"/>
      <c r="M6" s="1132"/>
      <c r="N6" s="1132"/>
      <c r="O6" s="1132"/>
      <c r="P6" s="3252"/>
      <c r="Q6" s="3253"/>
      <c r="R6" s="3233"/>
      <c r="S6" s="3234"/>
      <c r="T6" s="3254"/>
      <c r="U6" s="3255"/>
      <c r="V6" s="3228"/>
      <c r="W6" s="3228"/>
      <c r="X6" s="1811"/>
      <c r="Y6" s="3254"/>
      <c r="Z6" s="3255"/>
      <c r="AA6" s="3227"/>
      <c r="AB6" s="3227"/>
      <c r="AC6" s="3227"/>
    </row>
    <row r="7" spans="1:29" s="117" customFormat="1" ht="15.75" thickBot="1">
      <c r="A7" s="408" t="s">
        <v>2549</v>
      </c>
      <c r="B7" s="409"/>
      <c r="C7" s="410">
        <f>'数据-取费表'!B2</f>
        <v>43570</v>
      </c>
      <c r="D7" s="411">
        <v>100</v>
      </c>
      <c r="E7" s="412"/>
      <c r="F7" s="413">
        <f>SUMIF(65:65,YEAR(E7)&amp;"-"&amp;INT((MONTH(E7)+2)/3),66:66)</f>
        <v>0</v>
      </c>
      <c r="G7" s="2696"/>
      <c r="H7" s="411">
        <f>SUMIF(65:65,YEAR(G7)&amp;"-"&amp;INT((MONTH(G7)+2)/3),66:66)</f>
        <v>0</v>
      </c>
      <c r="I7" s="2696"/>
      <c r="J7" s="411">
        <f>SUMIF(65:65,YEAR(I7)&amp;"-"&amp;INT((MONTH(I7)+2)/3),66:66)</f>
        <v>0</v>
      </c>
      <c r="K7" s="611"/>
      <c r="L7" s="1133"/>
      <c r="M7" s="1134"/>
      <c r="N7" s="1134"/>
      <c r="O7" s="1134"/>
      <c r="P7" s="3229" t="s">
        <v>2550</v>
      </c>
      <c r="Q7" s="3256"/>
      <c r="R7" s="768" t="s">
        <v>17</v>
      </c>
      <c r="S7" s="769">
        <f t="shared" ref="S7:S15" si="0">F7</f>
        <v>0</v>
      </c>
      <c r="T7" s="768" t="s">
        <v>17</v>
      </c>
      <c r="U7" s="769">
        <f t="shared" ref="U7:U15" si="1">H7</f>
        <v>0</v>
      </c>
      <c r="V7" s="768" t="s">
        <v>17</v>
      </c>
      <c r="W7" s="769">
        <f t="shared" ref="W7:W15" si="2">J7</f>
        <v>0</v>
      </c>
      <c r="X7" s="770"/>
      <c r="Y7" s="3229" t="s">
        <v>2550</v>
      </c>
      <c r="Z7" s="3230"/>
      <c r="AA7" s="771" t="e">
        <f>D7/F7</f>
        <v>#DIV/0!</v>
      </c>
      <c r="AB7" s="771" t="e">
        <f>D7/H7</f>
        <v>#DIV/0!</v>
      </c>
      <c r="AC7" s="771"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229" t="s">
        <v>2553</v>
      </c>
      <c r="Q8" s="3230"/>
      <c r="R8" s="768" t="s">
        <v>17</v>
      </c>
      <c r="S8" s="769">
        <f t="shared" si="0"/>
        <v>0</v>
      </c>
      <c r="T8" s="768" t="s">
        <v>17</v>
      </c>
      <c r="U8" s="769">
        <f t="shared" si="1"/>
        <v>0</v>
      </c>
      <c r="V8" s="768" t="s">
        <v>17</v>
      </c>
      <c r="W8" s="769">
        <f t="shared" si="2"/>
        <v>0</v>
      </c>
      <c r="X8" s="770"/>
      <c r="Y8" s="3229" t="s">
        <v>2553</v>
      </c>
      <c r="Z8" s="3230"/>
      <c r="AA8" s="771" t="e">
        <f t="shared" ref="AA8:AA40" si="3">D8/F8</f>
        <v>#DIV/0!</v>
      </c>
      <c r="AB8" s="771" t="e">
        <f t="shared" ref="AB8:AB40" si="4">D8/H8</f>
        <v>#DIV/0!</v>
      </c>
      <c r="AC8" s="771" t="e">
        <f t="shared" ref="AC8:AC40" si="5">D8/J8</f>
        <v>#DIV/0!</v>
      </c>
    </row>
    <row r="9" spans="1:29" s="117" customFormat="1">
      <c r="A9" s="415" t="s">
        <v>2554</v>
      </c>
      <c r="B9" s="71" t="s">
        <v>2555</v>
      </c>
      <c r="C9" s="2699"/>
      <c r="D9" s="135">
        <v>100</v>
      </c>
      <c r="E9" s="2699"/>
      <c r="F9" s="135">
        <f>SUMIF(70:70,E9,71:71)-SUMIF(70:70,C9,71:71)+100</f>
        <v>100</v>
      </c>
      <c r="G9" s="2699"/>
      <c r="H9" s="135">
        <f>SUMIF(70:70,G9,71:71)-SUMIF(70:70,C9,71:71)+100</f>
        <v>100</v>
      </c>
      <c r="I9" s="2699"/>
      <c r="J9" s="135">
        <f>SUMIF(70:70,I9,71:71)-SUMIF(70:70,C9,71:71)+100</f>
        <v>100</v>
      </c>
      <c r="K9" s="611"/>
      <c r="L9" s="1133"/>
      <c r="M9" s="1134"/>
      <c r="N9" s="1134"/>
      <c r="O9" s="1135"/>
      <c r="P9" s="3266" t="s">
        <v>2556</v>
      </c>
      <c r="Q9" s="1793" t="str">
        <f t="shared" ref="Q9:Q15" si="6">B9</f>
        <v>用途</v>
      </c>
      <c r="R9" s="768" t="s">
        <v>17</v>
      </c>
      <c r="S9" s="769">
        <f t="shared" si="0"/>
        <v>100</v>
      </c>
      <c r="T9" s="768" t="s">
        <v>17</v>
      </c>
      <c r="U9" s="769">
        <f t="shared" si="1"/>
        <v>100</v>
      </c>
      <c r="V9" s="768" t="s">
        <v>17</v>
      </c>
      <c r="W9" s="769">
        <f t="shared" si="2"/>
        <v>100</v>
      </c>
      <c r="X9" s="770"/>
      <c r="Y9" s="3102" t="s">
        <v>2557</v>
      </c>
      <c r="Z9" s="55" t="str">
        <f t="shared" ref="Z9:Z15" si="7">Q9</f>
        <v>用途</v>
      </c>
      <c r="AA9" s="771">
        <f t="shared" si="3"/>
        <v>1</v>
      </c>
      <c r="AB9" s="771">
        <f t="shared" si="4"/>
        <v>1</v>
      </c>
      <c r="AC9" s="771">
        <f t="shared" si="5"/>
        <v>1</v>
      </c>
    </row>
    <row r="10" spans="1:29" s="427" customFormat="1" ht="27">
      <c r="A10" s="421"/>
      <c r="B10" s="422" t="s">
        <v>2558</v>
      </c>
      <c r="C10" s="432"/>
      <c r="D10" s="136">
        <v>100</v>
      </c>
      <c r="E10" s="432"/>
      <c r="F10" s="136">
        <f>ROUND(100/'数据-取费表'!G16,0)</f>
        <v>104</v>
      </c>
      <c r="G10" s="432"/>
      <c r="H10" s="136">
        <f>ROUND(100/'数据-取费表'!G16,0)</f>
        <v>104</v>
      </c>
      <c r="I10" s="432"/>
      <c r="J10" s="136">
        <f>ROUND(100/'数据-取费表'!G16,0)</f>
        <v>104</v>
      </c>
      <c r="K10" s="672"/>
      <c r="L10" s="1136"/>
      <c r="M10" s="1137"/>
      <c r="N10" s="1137"/>
      <c r="O10" s="1138"/>
      <c r="P10" s="3266"/>
      <c r="Q10" s="1793" t="str">
        <f t="shared" si="6"/>
        <v>土地使用年限（年）</v>
      </c>
      <c r="R10" s="768" t="s">
        <v>17</v>
      </c>
      <c r="S10" s="769">
        <f t="shared" si="0"/>
        <v>104</v>
      </c>
      <c r="T10" s="768" t="s">
        <v>17</v>
      </c>
      <c r="U10" s="769">
        <f t="shared" si="1"/>
        <v>104</v>
      </c>
      <c r="V10" s="768" t="s">
        <v>17</v>
      </c>
      <c r="W10" s="769">
        <f t="shared" si="2"/>
        <v>104</v>
      </c>
      <c r="X10" s="770"/>
      <c r="Y10" s="3102"/>
      <c r="Z10" s="55" t="str">
        <f t="shared" si="7"/>
        <v>土地使用年限（年）</v>
      </c>
      <c r="AA10" s="771">
        <f t="shared" si="3"/>
        <v>0.96153846153846156</v>
      </c>
      <c r="AB10" s="771">
        <f t="shared" si="4"/>
        <v>0.96153846153846156</v>
      </c>
      <c r="AC10" s="771">
        <f t="shared" si="5"/>
        <v>0.96153846153846156</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266"/>
      <c r="Q11" s="1793" t="str">
        <f t="shared" si="6"/>
        <v>容积率</v>
      </c>
      <c r="R11" s="768" t="s">
        <v>17</v>
      </c>
      <c r="S11" s="769" t="e">
        <f t="shared" si="0"/>
        <v>#N/A</v>
      </c>
      <c r="T11" s="768" t="s">
        <v>17</v>
      </c>
      <c r="U11" s="769" t="e">
        <f t="shared" si="1"/>
        <v>#N/A</v>
      </c>
      <c r="V11" s="768" t="s">
        <v>17</v>
      </c>
      <c r="W11" s="769" t="e">
        <f t="shared" si="2"/>
        <v>#N/A</v>
      </c>
      <c r="X11" s="770"/>
      <c r="Y11" s="3102"/>
      <c r="Z11" s="55" t="str">
        <f t="shared" si="7"/>
        <v>容积率</v>
      </c>
      <c r="AA11" s="771" t="e">
        <f t="shared" si="3"/>
        <v>#N/A</v>
      </c>
      <c r="AB11" s="771" t="e">
        <f t="shared" si="4"/>
        <v>#N/A</v>
      </c>
      <c r="AC11" s="771"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266"/>
      <c r="Q12" s="1793">
        <f t="shared" si="6"/>
        <v>111</v>
      </c>
      <c r="R12" s="768" t="s">
        <v>17</v>
      </c>
      <c r="S12" s="769">
        <f t="shared" si="0"/>
        <v>100</v>
      </c>
      <c r="T12" s="768" t="s">
        <v>17</v>
      </c>
      <c r="U12" s="769">
        <f t="shared" si="1"/>
        <v>100</v>
      </c>
      <c r="V12" s="768" t="s">
        <v>17</v>
      </c>
      <c r="W12" s="769">
        <f t="shared" si="2"/>
        <v>100</v>
      </c>
      <c r="X12" s="770"/>
      <c r="Y12" s="3102"/>
      <c r="Z12" s="55">
        <f t="shared" si="7"/>
        <v>111</v>
      </c>
      <c r="AA12" s="771">
        <f>D12/F12</f>
        <v>1</v>
      </c>
      <c r="AB12" s="771">
        <f>D12/H12</f>
        <v>1</v>
      </c>
      <c r="AC12" s="771">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266"/>
      <c r="Q13" s="1793">
        <f t="shared" si="6"/>
        <v>111</v>
      </c>
      <c r="R13" s="768" t="s">
        <v>17</v>
      </c>
      <c r="S13" s="769">
        <f t="shared" si="0"/>
        <v>100</v>
      </c>
      <c r="T13" s="768" t="s">
        <v>17</v>
      </c>
      <c r="U13" s="769">
        <f t="shared" si="1"/>
        <v>100</v>
      </c>
      <c r="V13" s="768" t="s">
        <v>17</v>
      </c>
      <c r="W13" s="769">
        <f t="shared" si="2"/>
        <v>100</v>
      </c>
      <c r="X13" s="770"/>
      <c r="Y13" s="3102"/>
      <c r="Z13" s="55">
        <f t="shared" si="7"/>
        <v>111</v>
      </c>
      <c r="AA13" s="771">
        <f t="shared" si="3"/>
        <v>1</v>
      </c>
      <c r="AB13" s="771">
        <f t="shared" si="4"/>
        <v>1</v>
      </c>
      <c r="AC13" s="771">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266"/>
      <c r="Q14" s="1793">
        <f t="shared" si="6"/>
        <v>111</v>
      </c>
      <c r="R14" s="768" t="s">
        <v>17</v>
      </c>
      <c r="S14" s="769">
        <f t="shared" si="0"/>
        <v>100</v>
      </c>
      <c r="T14" s="768" t="s">
        <v>17</v>
      </c>
      <c r="U14" s="769">
        <f t="shared" si="1"/>
        <v>100</v>
      </c>
      <c r="V14" s="768" t="s">
        <v>17</v>
      </c>
      <c r="W14" s="769">
        <f t="shared" si="2"/>
        <v>100</v>
      </c>
      <c r="X14" s="770"/>
      <c r="Y14" s="3102"/>
      <c r="Z14" s="55">
        <f t="shared" si="7"/>
        <v>111</v>
      </c>
      <c r="AA14" s="771">
        <f t="shared" si="3"/>
        <v>1</v>
      </c>
      <c r="AB14" s="771">
        <f t="shared" si="4"/>
        <v>1</v>
      </c>
      <c r="AC14" s="771">
        <f t="shared" si="5"/>
        <v>1</v>
      </c>
    </row>
    <row r="15" spans="1:29" ht="57">
      <c r="A15" s="440" t="s">
        <v>2560</v>
      </c>
      <c r="B15" s="629" t="s">
        <v>2799</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259" t="s">
        <v>2561</v>
      </c>
      <c r="Q15" s="1808" t="str">
        <f t="shared" si="6"/>
        <v>产业集聚程度</v>
      </c>
      <c r="R15" s="772" t="s">
        <v>17</v>
      </c>
      <c r="S15" s="773">
        <f t="shared" si="0"/>
        <v>100</v>
      </c>
      <c r="T15" s="772" t="s">
        <v>17</v>
      </c>
      <c r="U15" s="773">
        <f t="shared" si="1"/>
        <v>100</v>
      </c>
      <c r="V15" s="772" t="s">
        <v>17</v>
      </c>
      <c r="W15" s="773">
        <f t="shared" si="2"/>
        <v>100</v>
      </c>
      <c r="X15" s="1811"/>
      <c r="Y15" s="3259" t="s">
        <v>2561</v>
      </c>
      <c r="Z15" s="1812" t="str">
        <f t="shared" si="7"/>
        <v>产业集聚程度</v>
      </c>
      <c r="AA15" s="1809">
        <f t="shared" si="3"/>
        <v>1</v>
      </c>
      <c r="AB15" s="1809">
        <f t="shared" si="4"/>
        <v>1</v>
      </c>
      <c r="AC15" s="1809">
        <f t="shared" si="5"/>
        <v>1</v>
      </c>
    </row>
    <row r="16" spans="1:29" ht="15">
      <c r="A16" s="428"/>
      <c r="B16" s="630"/>
      <c r="C16" s="447"/>
      <c r="D16" s="448"/>
      <c r="E16" s="2612"/>
      <c r="F16" s="448"/>
      <c r="G16" s="2612"/>
      <c r="H16" s="450"/>
      <c r="I16" s="2612"/>
      <c r="J16" s="448"/>
      <c r="K16" s="672"/>
      <c r="L16" s="1141"/>
      <c r="M16" s="1132"/>
      <c r="N16" s="1132"/>
      <c r="O16" s="1140"/>
      <c r="P16" s="3260"/>
      <c r="Q16" s="1808"/>
      <c r="R16" s="772"/>
      <c r="S16" s="773"/>
      <c r="T16" s="772"/>
      <c r="U16" s="773"/>
      <c r="V16" s="772"/>
      <c r="W16" s="773"/>
      <c r="X16" s="1811"/>
      <c r="Y16" s="3260"/>
      <c r="Z16" s="1812"/>
      <c r="AA16" s="1809">
        <v>1</v>
      </c>
      <c r="AB16" s="1809">
        <v>1</v>
      </c>
      <c r="AC16" s="1809">
        <v>1</v>
      </c>
    </row>
    <row r="17" spans="1:29" ht="85.5">
      <c r="A17" s="428"/>
      <c r="B17" s="631" t="s">
        <v>2710</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260"/>
      <c r="Q17" s="1808" t="str">
        <f>B17</f>
        <v>交通便捷度</v>
      </c>
      <c r="R17" s="772" t="s">
        <v>17</v>
      </c>
      <c r="S17" s="773">
        <f>F17</f>
        <v>100</v>
      </c>
      <c r="T17" s="772" t="s">
        <v>17</v>
      </c>
      <c r="U17" s="773">
        <f>H17</f>
        <v>100</v>
      </c>
      <c r="V17" s="772" t="s">
        <v>17</v>
      </c>
      <c r="W17" s="773">
        <f>J17</f>
        <v>100</v>
      </c>
      <c r="X17" s="1811"/>
      <c r="Y17" s="3260"/>
      <c r="Z17" s="1812" t="str">
        <f>Q17</f>
        <v>交通便捷度</v>
      </c>
      <c r="AA17" s="1809">
        <f t="shared" si="3"/>
        <v>1</v>
      </c>
      <c r="AB17" s="1809">
        <f t="shared" si="4"/>
        <v>1</v>
      </c>
      <c r="AC17" s="1809">
        <f t="shared" si="5"/>
        <v>1</v>
      </c>
    </row>
    <row r="18" spans="1:29" ht="15">
      <c r="A18" s="428"/>
      <c r="B18" s="632"/>
      <c r="C18" s="447"/>
      <c r="D18" s="448"/>
      <c r="E18" s="2606"/>
      <c r="F18" s="448"/>
      <c r="G18" s="2606"/>
      <c r="H18" s="448"/>
      <c r="I18" s="2605"/>
      <c r="J18" s="448"/>
      <c r="K18" s="672"/>
      <c r="L18" s="1141"/>
      <c r="M18" s="1132"/>
      <c r="N18" s="1132"/>
      <c r="O18" s="1140"/>
      <c r="P18" s="3260"/>
      <c r="Q18" s="1808"/>
      <c r="R18" s="772"/>
      <c r="S18" s="773"/>
      <c r="T18" s="772"/>
      <c r="U18" s="773"/>
      <c r="V18" s="772"/>
      <c r="W18" s="773"/>
      <c r="X18" s="1811"/>
      <c r="Y18" s="3260"/>
      <c r="Z18" s="1812"/>
      <c r="AA18" s="1809">
        <v>1</v>
      </c>
      <c r="AB18" s="1809">
        <v>1</v>
      </c>
      <c r="AC18" s="1809">
        <v>1</v>
      </c>
    </row>
    <row r="19" spans="1:29" ht="15">
      <c r="A19" s="428"/>
      <c r="B19" s="631" t="s">
        <v>2749</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260"/>
      <c r="Q19" s="1808" t="str">
        <f t="shared" ref="Q19:Q33" si="8">B19</f>
        <v>区域土地利用方向</v>
      </c>
      <c r="R19" s="772" t="s">
        <v>17</v>
      </c>
      <c r="S19" s="773">
        <f>F19</f>
        <v>100</v>
      </c>
      <c r="T19" s="772" t="s">
        <v>17</v>
      </c>
      <c r="U19" s="773">
        <f>H19</f>
        <v>100</v>
      </c>
      <c r="V19" s="772" t="s">
        <v>17</v>
      </c>
      <c r="W19" s="773">
        <f>J19</f>
        <v>100</v>
      </c>
      <c r="X19" s="1811"/>
      <c r="Y19" s="3260"/>
      <c r="Z19" s="1812" t="str">
        <f>Q19</f>
        <v>区域土地利用方向</v>
      </c>
      <c r="AA19" s="1809">
        <f t="shared" si="3"/>
        <v>1</v>
      </c>
      <c r="AB19" s="1809">
        <f t="shared" si="4"/>
        <v>1</v>
      </c>
      <c r="AC19" s="1809">
        <f t="shared" si="5"/>
        <v>1</v>
      </c>
    </row>
    <row r="20" spans="1:29" ht="15">
      <c r="A20" s="404"/>
      <c r="B20" s="632"/>
      <c r="C20" s="447"/>
      <c r="D20" s="448"/>
      <c r="E20" s="2606"/>
      <c r="F20" s="448"/>
      <c r="G20" s="2606"/>
      <c r="H20" s="448"/>
      <c r="I20" s="2606"/>
      <c r="J20" s="448"/>
      <c r="K20" s="810"/>
      <c r="L20" s="1141"/>
      <c r="M20" s="1132"/>
      <c r="N20" s="1132"/>
      <c r="O20" s="1140"/>
      <c r="P20" s="3260"/>
      <c r="Q20" s="1808"/>
      <c r="R20" s="772"/>
      <c r="S20" s="773"/>
      <c r="T20" s="772"/>
      <c r="U20" s="773"/>
      <c r="V20" s="772"/>
      <c r="W20" s="773"/>
      <c r="X20" s="1811"/>
      <c r="Y20" s="3260"/>
      <c r="Z20" s="1812"/>
      <c r="AA20" s="1809"/>
      <c r="AB20" s="1809"/>
      <c r="AC20" s="1809"/>
    </row>
    <row r="21" spans="1:29" ht="71.25">
      <c r="A21" s="404"/>
      <c r="B21" s="631" t="s">
        <v>2800</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260"/>
      <c r="Q21" s="1808" t="str">
        <f t="shared" si="8"/>
        <v>环境状况</v>
      </c>
      <c r="R21" s="772" t="s">
        <v>17</v>
      </c>
      <c r="S21" s="773">
        <f>F21</f>
        <v>100</v>
      </c>
      <c r="T21" s="772" t="s">
        <v>17</v>
      </c>
      <c r="U21" s="773">
        <f>H21</f>
        <v>100</v>
      </c>
      <c r="V21" s="772" t="s">
        <v>17</v>
      </c>
      <c r="W21" s="773">
        <f>J21</f>
        <v>100</v>
      </c>
      <c r="X21" s="1811"/>
      <c r="Y21" s="3260"/>
      <c r="Z21" s="1812" t="str">
        <f>Q21</f>
        <v>环境状况</v>
      </c>
      <c r="AA21" s="1809">
        <f t="shared" si="3"/>
        <v>1</v>
      </c>
      <c r="AB21" s="1809">
        <f t="shared" si="4"/>
        <v>1</v>
      </c>
      <c r="AC21" s="1809">
        <f t="shared" si="5"/>
        <v>1</v>
      </c>
    </row>
    <row r="22" spans="1:29" ht="15">
      <c r="A22" s="404"/>
      <c r="B22" s="632"/>
      <c r="C22" s="447"/>
      <c r="D22" s="448"/>
      <c r="E22" s="2612"/>
      <c r="F22" s="448"/>
      <c r="G22" s="2612"/>
      <c r="H22" s="448"/>
      <c r="I22" s="447"/>
      <c r="J22" s="448"/>
      <c r="K22" s="672"/>
      <c r="L22" s="1141"/>
      <c r="M22" s="1132"/>
      <c r="N22" s="1132"/>
      <c r="O22" s="1140"/>
      <c r="P22" s="3260"/>
      <c r="Q22" s="1808"/>
      <c r="R22" s="772"/>
      <c r="S22" s="773"/>
      <c r="T22" s="772"/>
      <c r="U22" s="773"/>
      <c r="V22" s="772"/>
      <c r="W22" s="773"/>
      <c r="X22" s="1811"/>
      <c r="Y22" s="3260"/>
      <c r="Z22" s="1812"/>
      <c r="AA22" s="1809">
        <v>1</v>
      </c>
      <c r="AB22" s="1809">
        <v>1</v>
      </c>
      <c r="AC22" s="1809">
        <v>1</v>
      </c>
    </row>
    <row r="23" spans="1:29" s="117" customFormat="1" ht="42.75">
      <c r="A23" s="649"/>
      <c r="B23" s="633" t="s">
        <v>2655</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260"/>
      <c r="Q23" s="1793" t="str">
        <f t="shared" si="8"/>
        <v>公共配套设施</v>
      </c>
      <c r="R23" s="768" t="s">
        <v>17</v>
      </c>
      <c r="S23" s="769">
        <f>F23</f>
        <v>100</v>
      </c>
      <c r="T23" s="768" t="s">
        <v>17</v>
      </c>
      <c r="U23" s="769">
        <f>H23</f>
        <v>100</v>
      </c>
      <c r="V23" s="768" t="s">
        <v>17</v>
      </c>
      <c r="W23" s="769">
        <f>J23</f>
        <v>100</v>
      </c>
      <c r="X23" s="770"/>
      <c r="Y23" s="3260"/>
      <c r="Z23" s="55" t="str">
        <f>Q23</f>
        <v>公共配套设施</v>
      </c>
      <c r="AA23" s="1809">
        <f>D23/F23</f>
        <v>1</v>
      </c>
      <c r="AB23" s="1809">
        <f>D23/H23</f>
        <v>1</v>
      </c>
      <c r="AC23" s="1809">
        <f>D23/J23</f>
        <v>1</v>
      </c>
    </row>
    <row r="24" spans="1:29" s="117" customFormat="1" ht="15">
      <c r="A24" s="649"/>
      <c r="B24" s="632"/>
      <c r="C24" s="2700"/>
      <c r="D24" s="448"/>
      <c r="E24" s="2612"/>
      <c r="F24" s="448"/>
      <c r="G24" s="2612"/>
      <c r="H24" s="448"/>
      <c r="I24" s="447"/>
      <c r="J24" s="448"/>
      <c r="K24" s="672"/>
      <c r="L24" s="1133"/>
      <c r="M24" s="1134"/>
      <c r="N24" s="1134"/>
      <c r="O24" s="1135"/>
      <c r="P24" s="3260"/>
      <c r="Q24" s="1793"/>
      <c r="R24" s="768"/>
      <c r="S24" s="769"/>
      <c r="T24" s="768"/>
      <c r="U24" s="769"/>
      <c r="V24" s="768"/>
      <c r="W24" s="769"/>
      <c r="X24" s="770"/>
      <c r="Y24" s="3260"/>
      <c r="Z24" s="55"/>
      <c r="AA24" s="771">
        <v>1</v>
      </c>
      <c r="AB24" s="771">
        <v>1</v>
      </c>
      <c r="AC24" s="771">
        <v>1</v>
      </c>
    </row>
    <row r="25" spans="1:29" s="117" customFormat="1" ht="28.5">
      <c r="A25" s="649"/>
      <c r="B25" s="633" t="s">
        <v>2656</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260"/>
      <c r="Q25" s="1793" t="str">
        <f t="shared" ref="Q25" si="9">B25</f>
        <v>基础设施水平</v>
      </c>
      <c r="R25" s="768" t="s">
        <v>17</v>
      </c>
      <c r="S25" s="769">
        <f>F25</f>
        <v>100</v>
      </c>
      <c r="T25" s="768" t="s">
        <v>17</v>
      </c>
      <c r="U25" s="769">
        <f>H25</f>
        <v>100</v>
      </c>
      <c r="V25" s="768" t="s">
        <v>17</v>
      </c>
      <c r="W25" s="769">
        <f>J25</f>
        <v>100</v>
      </c>
      <c r="X25" s="770"/>
      <c r="Y25" s="3260"/>
      <c r="Z25" s="55" t="str">
        <f>Q25</f>
        <v>基础设施水平</v>
      </c>
      <c r="AA25" s="1809">
        <f>D25/F25</f>
        <v>1</v>
      </c>
      <c r="AB25" s="1809">
        <f>D25/H25</f>
        <v>1</v>
      </c>
      <c r="AC25" s="1809">
        <f>D25/J25</f>
        <v>1</v>
      </c>
    </row>
    <row r="26" spans="1:29" s="117" customFormat="1" ht="15">
      <c r="A26" s="649"/>
      <c r="B26" s="632"/>
      <c r="C26" s="2700"/>
      <c r="D26" s="448"/>
      <c r="E26" s="2701"/>
      <c r="F26" s="448"/>
      <c r="G26" s="2701"/>
      <c r="H26" s="448"/>
      <c r="I26" s="2701"/>
      <c r="J26" s="448"/>
      <c r="K26" s="672"/>
      <c r="L26" s="1133"/>
      <c r="M26" s="1134"/>
      <c r="N26" s="1134"/>
      <c r="O26" s="1135"/>
      <c r="P26" s="3260"/>
      <c r="Q26" s="1793"/>
      <c r="R26" s="768"/>
      <c r="S26" s="769"/>
      <c r="T26" s="768"/>
      <c r="U26" s="769"/>
      <c r="V26" s="768"/>
      <c r="W26" s="769"/>
      <c r="X26" s="770"/>
      <c r="Y26" s="3260"/>
      <c r="Z26" s="55"/>
      <c r="AA26" s="771">
        <v>1</v>
      </c>
      <c r="AB26" s="771">
        <v>1</v>
      </c>
      <c r="AC26" s="771">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260"/>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260"/>
      <c r="Z27" s="1812" t="str">
        <f t="shared" ref="Z27:Z40" si="13">Q27</f>
        <v>临街状况</v>
      </c>
      <c r="AA27" s="1809">
        <f t="shared" si="3"/>
        <v>1</v>
      </c>
      <c r="AB27" s="1809">
        <f t="shared" si="4"/>
        <v>1</v>
      </c>
      <c r="AC27" s="1809">
        <f t="shared" si="5"/>
        <v>1</v>
      </c>
    </row>
    <row r="28" spans="1:29" ht="27">
      <c r="A28" s="428"/>
      <c r="B28" s="633" t="s">
        <v>2692</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260"/>
      <c r="Q28" s="1808" t="str">
        <f t="shared" si="8"/>
        <v>毗邻道路的类型与等级</v>
      </c>
      <c r="R28" s="772" t="s">
        <v>17</v>
      </c>
      <c r="S28" s="773">
        <f t="shared" si="10"/>
        <v>100</v>
      </c>
      <c r="T28" s="772" t="s">
        <v>17</v>
      </c>
      <c r="U28" s="773">
        <f t="shared" si="11"/>
        <v>100</v>
      </c>
      <c r="V28" s="772" t="s">
        <v>17</v>
      </c>
      <c r="W28" s="773">
        <f t="shared" si="12"/>
        <v>100</v>
      </c>
      <c r="X28" s="1811"/>
      <c r="Y28" s="3260"/>
      <c r="Z28" s="1812" t="str">
        <f t="shared" si="13"/>
        <v>毗邻道路的类型与等级</v>
      </c>
      <c r="AA28" s="1809">
        <f t="shared" si="3"/>
        <v>1</v>
      </c>
      <c r="AB28" s="1809">
        <f t="shared" si="4"/>
        <v>1</v>
      </c>
      <c r="AC28" s="1809">
        <f t="shared" si="5"/>
        <v>1</v>
      </c>
    </row>
    <row r="29" spans="1:29" ht="15">
      <c r="A29" s="428"/>
      <c r="B29" s="632"/>
      <c r="C29" s="447"/>
      <c r="D29" s="448"/>
      <c r="E29" s="2612"/>
      <c r="F29" s="448"/>
      <c r="G29" s="2612"/>
      <c r="H29" s="448"/>
      <c r="I29" s="2612"/>
      <c r="J29" s="448"/>
      <c r="K29" s="613"/>
      <c r="L29" s="1141"/>
      <c r="M29" s="1132"/>
      <c r="N29" s="1132"/>
      <c r="O29" s="1140"/>
      <c r="P29" s="3260"/>
      <c r="Q29" s="1808"/>
      <c r="R29" s="772"/>
      <c r="S29" s="773"/>
      <c r="T29" s="772"/>
      <c r="U29" s="773"/>
      <c r="V29" s="772"/>
      <c r="W29" s="773"/>
      <c r="X29" s="1811"/>
      <c r="Y29" s="3260"/>
      <c r="Z29" s="1812"/>
      <c r="AA29" s="1809">
        <v>1</v>
      </c>
      <c r="AB29" s="1809">
        <v>1</v>
      </c>
      <c r="AC29" s="1809">
        <v>1</v>
      </c>
    </row>
    <row r="30" spans="1:29" ht="15">
      <c r="A30" s="428"/>
      <c r="B30" s="654" t="s">
        <v>2751</v>
      </c>
      <c r="C30" s="1390">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260"/>
      <c r="Q30" s="1808" t="str">
        <f t="shared" si="8"/>
        <v>土地级别</v>
      </c>
      <c r="R30" s="772" t="s">
        <v>17</v>
      </c>
      <c r="S30" s="773">
        <f t="shared" si="10"/>
        <v>100</v>
      </c>
      <c r="T30" s="772" t="s">
        <v>17</v>
      </c>
      <c r="U30" s="773">
        <f t="shared" si="11"/>
        <v>100</v>
      </c>
      <c r="V30" s="772" t="s">
        <v>17</v>
      </c>
      <c r="W30" s="773">
        <f t="shared" si="12"/>
        <v>100</v>
      </c>
      <c r="X30" s="1811"/>
      <c r="Y30" s="3260"/>
      <c r="Z30" s="1812" t="str">
        <f t="shared" si="13"/>
        <v>土地级别</v>
      </c>
      <c r="AA30" s="1809">
        <f t="shared" si="3"/>
        <v>1</v>
      </c>
      <c r="AB30" s="1809">
        <f t="shared" si="4"/>
        <v>1</v>
      </c>
      <c r="AC30" s="1809">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260"/>
      <c r="Q31" s="1808">
        <f t="shared" si="8"/>
        <v>111</v>
      </c>
      <c r="R31" s="772" t="s">
        <v>17</v>
      </c>
      <c r="S31" s="773">
        <f t="shared" si="10"/>
        <v>100</v>
      </c>
      <c r="T31" s="772" t="s">
        <v>17</v>
      </c>
      <c r="U31" s="773">
        <f t="shared" si="11"/>
        <v>100</v>
      </c>
      <c r="V31" s="772" t="s">
        <v>17</v>
      </c>
      <c r="W31" s="773">
        <f t="shared" si="12"/>
        <v>100</v>
      </c>
      <c r="X31" s="1811"/>
      <c r="Y31" s="3260"/>
      <c r="Z31" s="1812">
        <f t="shared" si="13"/>
        <v>111</v>
      </c>
      <c r="AA31" s="1809">
        <f t="shared" si="3"/>
        <v>1</v>
      </c>
      <c r="AB31" s="1809">
        <f t="shared" si="4"/>
        <v>1</v>
      </c>
      <c r="AC31" s="1809">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317" t="s">
        <v>2566</v>
      </c>
      <c r="Q32" s="1808">
        <f t="shared" si="8"/>
        <v>111</v>
      </c>
      <c r="R32" s="772" t="s">
        <v>17</v>
      </c>
      <c r="S32" s="773">
        <f t="shared" si="10"/>
        <v>100</v>
      </c>
      <c r="T32" s="772" t="s">
        <v>17</v>
      </c>
      <c r="U32" s="773">
        <f t="shared" si="11"/>
        <v>100</v>
      </c>
      <c r="V32" s="772" t="s">
        <v>17</v>
      </c>
      <c r="W32" s="773">
        <f t="shared" si="12"/>
        <v>100</v>
      </c>
      <c r="X32" s="1811"/>
      <c r="Y32" s="3264" t="s">
        <v>2566</v>
      </c>
      <c r="Z32" s="1812">
        <f t="shared" si="13"/>
        <v>111</v>
      </c>
      <c r="AA32" s="1809">
        <f t="shared" si="3"/>
        <v>1</v>
      </c>
      <c r="AB32" s="1809">
        <f t="shared" si="4"/>
        <v>1</v>
      </c>
      <c r="AC32" s="1809">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264"/>
      <c r="Q33" s="1808">
        <f t="shared" si="8"/>
        <v>111</v>
      </c>
      <c r="R33" s="775" t="s">
        <v>17</v>
      </c>
      <c r="S33" s="776">
        <f t="shared" si="10"/>
        <v>100</v>
      </c>
      <c r="T33" s="775" t="s">
        <v>17</v>
      </c>
      <c r="U33" s="776">
        <f t="shared" si="11"/>
        <v>100</v>
      </c>
      <c r="V33" s="775" t="s">
        <v>17</v>
      </c>
      <c r="W33" s="776">
        <f t="shared" si="12"/>
        <v>100</v>
      </c>
      <c r="X33" s="777"/>
      <c r="Y33" s="3264"/>
      <c r="Z33" s="778">
        <f t="shared" si="13"/>
        <v>111</v>
      </c>
      <c r="AA33" s="1809">
        <f t="shared" si="3"/>
        <v>1</v>
      </c>
      <c r="AB33" s="1809">
        <f t="shared" si="4"/>
        <v>1</v>
      </c>
      <c r="AC33" s="1809">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264"/>
      <c r="Q34" s="1808" t="str">
        <f>B34</f>
        <v>宗地面积</v>
      </c>
      <c r="R34" s="772" t="s">
        <v>17</v>
      </c>
      <c r="S34" s="773" t="e">
        <f t="shared" si="10"/>
        <v>#N/A</v>
      </c>
      <c r="T34" s="772" t="s">
        <v>17</v>
      </c>
      <c r="U34" s="773" t="e">
        <f t="shared" si="11"/>
        <v>#N/A</v>
      </c>
      <c r="V34" s="772" t="s">
        <v>17</v>
      </c>
      <c r="W34" s="773" t="e">
        <f t="shared" si="12"/>
        <v>#N/A</v>
      </c>
      <c r="X34" s="1811"/>
      <c r="Y34" s="3264"/>
      <c r="Z34" s="1812" t="str">
        <f t="shared" si="13"/>
        <v>宗地面积</v>
      </c>
      <c r="AA34" s="1809" t="e">
        <f t="shared" si="3"/>
        <v>#N/A</v>
      </c>
      <c r="AB34" s="1809" t="e">
        <f t="shared" si="4"/>
        <v>#N/A</v>
      </c>
      <c r="AC34" s="1809" t="e">
        <f t="shared" si="5"/>
        <v>#N/A</v>
      </c>
    </row>
    <row r="35" spans="1:29" ht="15">
      <c r="A35" s="472"/>
      <c r="B35" s="422" t="s">
        <v>2753</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1"/>
      <c r="M35" s="1132"/>
      <c r="N35" s="1132"/>
      <c r="O35" s="1140"/>
      <c r="P35" s="3264"/>
      <c r="Q35" s="1808" t="str">
        <f t="shared" ref="Q35:Q40" si="14">B35</f>
        <v>宗地形状</v>
      </c>
      <c r="R35" s="772" t="s">
        <v>17</v>
      </c>
      <c r="S35" s="773">
        <f t="shared" si="10"/>
        <v>100</v>
      </c>
      <c r="T35" s="772" t="s">
        <v>17</v>
      </c>
      <c r="U35" s="773">
        <f t="shared" si="11"/>
        <v>100</v>
      </c>
      <c r="V35" s="772" t="s">
        <v>17</v>
      </c>
      <c r="W35" s="773">
        <f t="shared" si="12"/>
        <v>100</v>
      </c>
      <c r="X35" s="1811"/>
      <c r="Y35" s="3264"/>
      <c r="Z35" s="1812" t="str">
        <f t="shared" si="13"/>
        <v>宗地形状</v>
      </c>
      <c r="AA35" s="1809">
        <f t="shared" si="3"/>
        <v>1</v>
      </c>
      <c r="AB35" s="1809">
        <f t="shared" si="4"/>
        <v>1</v>
      </c>
      <c r="AC35" s="1809">
        <f t="shared" si="5"/>
        <v>1</v>
      </c>
    </row>
    <row r="36" spans="1:29" s="117" customFormat="1" ht="15">
      <c r="A36" s="473"/>
      <c r="B36" s="422" t="s">
        <v>2755</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3"/>
      <c r="M36" s="1134"/>
      <c r="N36" s="1134"/>
      <c r="O36" s="1135"/>
      <c r="P36" s="3264"/>
      <c r="Q36" s="1808" t="str">
        <f t="shared" si="14"/>
        <v>宗地开发程度</v>
      </c>
      <c r="R36" s="768" t="s">
        <v>17</v>
      </c>
      <c r="S36" s="769">
        <f t="shared" si="10"/>
        <v>100</v>
      </c>
      <c r="T36" s="768" t="s">
        <v>17</v>
      </c>
      <c r="U36" s="769">
        <f t="shared" si="11"/>
        <v>100</v>
      </c>
      <c r="V36" s="768" t="s">
        <v>17</v>
      </c>
      <c r="W36" s="769">
        <f t="shared" si="12"/>
        <v>100</v>
      </c>
      <c r="X36" s="770"/>
      <c r="Y36" s="3264"/>
      <c r="Z36" s="55" t="str">
        <f t="shared" si="13"/>
        <v>宗地开发程度</v>
      </c>
      <c r="AA36" s="771">
        <f t="shared" si="3"/>
        <v>1</v>
      </c>
      <c r="AB36" s="771">
        <f t="shared" si="4"/>
        <v>1</v>
      </c>
      <c r="AC36" s="771">
        <f t="shared" si="5"/>
        <v>1</v>
      </c>
    </row>
    <row r="37" spans="1:29" ht="15">
      <c r="A37" s="472"/>
      <c r="B37" s="422" t="s">
        <v>2756</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1"/>
      <c r="M37" s="1132"/>
      <c r="N37" s="1132"/>
      <c r="O37" s="1140"/>
      <c r="P37" s="3264" t="s">
        <v>2566</v>
      </c>
      <c r="Q37" s="1808" t="str">
        <f t="shared" si="14"/>
        <v>工程地质条件</v>
      </c>
      <c r="R37" s="772" t="s">
        <v>17</v>
      </c>
      <c r="S37" s="773">
        <f t="shared" si="10"/>
        <v>100</v>
      </c>
      <c r="T37" s="772" t="s">
        <v>17</v>
      </c>
      <c r="U37" s="773">
        <f t="shared" si="11"/>
        <v>100</v>
      </c>
      <c r="V37" s="772" t="s">
        <v>17</v>
      </c>
      <c r="W37" s="773">
        <f t="shared" si="12"/>
        <v>100</v>
      </c>
      <c r="X37" s="1811"/>
      <c r="Y37" s="3264" t="s">
        <v>2566</v>
      </c>
      <c r="Z37" s="1812" t="str">
        <f t="shared" si="13"/>
        <v>工程地质条件</v>
      </c>
      <c r="AA37" s="1809">
        <f t="shared" si="3"/>
        <v>1</v>
      </c>
      <c r="AB37" s="1809">
        <f t="shared" si="4"/>
        <v>1</v>
      </c>
      <c r="AC37" s="1809">
        <f t="shared" si="5"/>
        <v>1</v>
      </c>
    </row>
    <row r="38" spans="1:29" ht="15">
      <c r="A38" s="472"/>
      <c r="B38" s="1388">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264"/>
      <c r="Q38" s="1808">
        <f t="shared" si="14"/>
        <v>111</v>
      </c>
      <c r="R38" s="772" t="s">
        <v>17</v>
      </c>
      <c r="S38" s="773">
        <f t="shared" si="10"/>
        <v>100</v>
      </c>
      <c r="T38" s="772" t="s">
        <v>17</v>
      </c>
      <c r="U38" s="773">
        <f t="shared" si="11"/>
        <v>100</v>
      </c>
      <c r="V38" s="772" t="s">
        <v>17</v>
      </c>
      <c r="W38" s="773">
        <f t="shared" si="12"/>
        <v>100</v>
      </c>
      <c r="X38" s="1811"/>
      <c r="Y38" s="3264"/>
      <c r="Z38" s="1812">
        <f t="shared" si="13"/>
        <v>111</v>
      </c>
      <c r="AA38" s="1809">
        <f t="shared" si="3"/>
        <v>1</v>
      </c>
      <c r="AB38" s="1809">
        <f t="shared" si="4"/>
        <v>1</v>
      </c>
      <c r="AC38" s="1809">
        <f t="shared" si="5"/>
        <v>1</v>
      </c>
    </row>
    <row r="39" spans="1:29" ht="15">
      <c r="A39" s="472"/>
      <c r="B39" s="1388">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264"/>
      <c r="Q39" s="1808">
        <f t="shared" si="14"/>
        <v>111</v>
      </c>
      <c r="R39" s="772" t="s">
        <v>17</v>
      </c>
      <c r="S39" s="773">
        <f t="shared" si="10"/>
        <v>100</v>
      </c>
      <c r="T39" s="772" t="s">
        <v>17</v>
      </c>
      <c r="U39" s="773">
        <f t="shared" si="11"/>
        <v>100</v>
      </c>
      <c r="V39" s="772" t="s">
        <v>17</v>
      </c>
      <c r="W39" s="773">
        <f t="shared" si="12"/>
        <v>100</v>
      </c>
      <c r="X39" s="1811"/>
      <c r="Y39" s="3264"/>
      <c r="Z39" s="1812">
        <f t="shared" si="13"/>
        <v>111</v>
      </c>
      <c r="AA39" s="1809">
        <f t="shared" si="3"/>
        <v>1</v>
      </c>
      <c r="AB39" s="1809">
        <f t="shared" si="4"/>
        <v>1</v>
      </c>
      <c r="AC39" s="1809">
        <f t="shared" si="5"/>
        <v>1</v>
      </c>
    </row>
    <row r="40" spans="1:29" s="471" customFormat="1" ht="15.75" thickBot="1">
      <c r="A40" s="468"/>
      <c r="B40" s="1388">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264"/>
      <c r="Q40" s="1808">
        <f t="shared" si="14"/>
        <v>111</v>
      </c>
      <c r="R40" s="775" t="s">
        <v>17</v>
      </c>
      <c r="S40" s="776">
        <f t="shared" si="10"/>
        <v>100</v>
      </c>
      <c r="T40" s="775" t="s">
        <v>17</v>
      </c>
      <c r="U40" s="776">
        <f t="shared" si="11"/>
        <v>100</v>
      </c>
      <c r="V40" s="775" t="s">
        <v>17</v>
      </c>
      <c r="W40" s="776">
        <f t="shared" si="12"/>
        <v>100</v>
      </c>
      <c r="X40" s="777"/>
      <c r="Y40" s="3264"/>
      <c r="Z40" s="778">
        <f t="shared" si="13"/>
        <v>111</v>
      </c>
      <c r="AA40" s="1809">
        <f t="shared" si="3"/>
        <v>1</v>
      </c>
      <c r="AB40" s="1809">
        <f t="shared" si="4"/>
        <v>1</v>
      </c>
      <c r="AC40" s="1809">
        <f t="shared" si="5"/>
        <v>1</v>
      </c>
    </row>
    <row r="41" spans="1:29" ht="15">
      <c r="A41" s="479" t="s">
        <v>2721</v>
      </c>
      <c r="B41" s="2704" t="s">
        <v>2801</v>
      </c>
      <c r="C41" s="682" t="s">
        <v>1</v>
      </c>
      <c r="D41" s="481"/>
      <c r="E41" s="482"/>
      <c r="F41" s="483"/>
      <c r="G41" s="484"/>
      <c r="H41" s="485"/>
      <c r="I41" s="482"/>
      <c r="J41" s="485"/>
      <c r="K41" s="781"/>
      <c r="L41" s="1144"/>
      <c r="M41" s="1132"/>
      <c r="N41" s="1132"/>
      <c r="O41" s="1145"/>
      <c r="P41" s="3266" t="str">
        <f>A41</f>
        <v>成交单价</v>
      </c>
      <c r="Q41" s="3266"/>
      <c r="R41" s="3228">
        <f>E41</f>
        <v>0</v>
      </c>
      <c r="S41" s="3228"/>
      <c r="T41" s="3228">
        <f>G41</f>
        <v>0</v>
      </c>
      <c r="U41" s="3228"/>
      <c r="V41" s="3228">
        <f>I41</f>
        <v>0</v>
      </c>
      <c r="W41" s="3228"/>
      <c r="X41" s="757"/>
      <c r="Y41" s="779"/>
      <c r="Z41" s="757"/>
      <c r="AA41" s="757"/>
      <c r="AB41" s="757"/>
      <c r="AC41" s="757"/>
    </row>
    <row r="42" spans="1:29" ht="15.75" thickBot="1">
      <c r="A42" s="486" t="s">
        <v>2670</v>
      </c>
      <c r="B42" s="683"/>
      <c r="C42" s="490" t="e">
        <f>R43</f>
        <v>#DIV/0!</v>
      </c>
      <c r="D42" s="489"/>
      <c r="E42" s="490" t="e">
        <f>R42</f>
        <v>#DIV/0!</v>
      </c>
      <c r="F42" s="491"/>
      <c r="G42" s="488" t="e">
        <f>T42</f>
        <v>#DIV/0!</v>
      </c>
      <c r="H42" s="489"/>
      <c r="I42" s="490" t="e">
        <f>V42</f>
        <v>#DIV/0!</v>
      </c>
      <c r="J42" s="489"/>
      <c r="K42" s="782"/>
      <c r="L42" s="1144"/>
      <c r="M42" s="1132"/>
      <c r="N42" s="1132"/>
      <c r="O42" s="1145"/>
      <c r="P42" s="3266" t="str">
        <f>A42</f>
        <v>比较价值（元/平方米）</v>
      </c>
      <c r="Q42" s="3266"/>
      <c r="R42" s="3318" t="e">
        <f>ROUND(PRODUCT(R41,AA7:AA40),0)</f>
        <v>#DIV/0!</v>
      </c>
      <c r="S42" s="3318"/>
      <c r="T42" s="3318" t="e">
        <f>ROUND(PRODUCT(T41,AB7:AB40),0)</f>
        <v>#DIV/0!</v>
      </c>
      <c r="U42" s="3318"/>
      <c r="V42" s="3318" t="e">
        <f>ROUND(PRODUCT(V41,AC7:AC40),0)</f>
        <v>#DIV/0!</v>
      </c>
      <c r="W42" s="3318"/>
      <c r="X42" s="757"/>
      <c r="Y42" s="757"/>
      <c r="Z42" s="757"/>
      <c r="AA42" s="757"/>
      <c r="AB42" s="757"/>
      <c r="AC42" s="757"/>
    </row>
    <row r="43" spans="1:29" ht="15.75" thickBot="1">
      <c r="A43" s="492" t="s">
        <v>2671</v>
      </c>
      <c r="B43" s="493"/>
      <c r="C43" s="494" t="e">
        <f>R43</f>
        <v>#DIV/0!</v>
      </c>
      <c r="D43" s="494"/>
      <c r="E43" s="494"/>
      <c r="F43" s="494"/>
      <c r="G43" s="494"/>
      <c r="H43" s="494"/>
      <c r="I43" s="494"/>
      <c r="J43" s="494"/>
      <c r="K43" s="783"/>
      <c r="L43" s="1144"/>
      <c r="M43" s="1132"/>
      <c r="N43" s="1132"/>
      <c r="O43" s="1145"/>
      <c r="P43" s="3268" t="str">
        <f>A43</f>
        <v>估价对象XX用房的比较价值（楼面单价，元/平方米）</v>
      </c>
      <c r="Q43" s="3269"/>
      <c r="R43" s="3319" t="e">
        <f>ROUND(AVERAGE(R42:V42),0)</f>
        <v>#DIV/0!</v>
      </c>
      <c r="S43" s="3319"/>
      <c r="T43" s="3319"/>
      <c r="U43" s="3319"/>
      <c r="V43" s="3319"/>
      <c r="W43" s="3319"/>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2"/>
      <c r="N46" s="1132"/>
      <c r="O46" s="1145"/>
    </row>
    <row r="47" spans="1:29" ht="13.5" customHeight="1">
      <c r="A47" s="1145"/>
      <c r="B47" s="1145"/>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0"/>
      <c r="D49" s="758"/>
      <c r="E49" s="758"/>
      <c r="F49" s="758"/>
      <c r="G49" s="758"/>
      <c r="H49" s="758"/>
      <c r="I49" s="758"/>
      <c r="J49" s="758"/>
      <c r="K49" s="1149"/>
      <c r="L49" s="1150"/>
      <c r="M49" s="1146"/>
      <c r="N49" s="1146"/>
      <c r="O49" s="1146"/>
    </row>
    <row r="50" spans="1:17" ht="27">
      <c r="A50" s="684" t="s">
        <v>2759</v>
      </c>
      <c r="B50" s="685" t="s">
        <v>2760</v>
      </c>
      <c r="C50" s="2705" t="s">
        <v>2761</v>
      </c>
      <c r="D50" s="2706" t="s">
        <v>2762</v>
      </c>
      <c r="E50" s="686" t="s">
        <v>2763</v>
      </c>
      <c r="F50" s="687" t="s">
        <v>2764</v>
      </c>
      <c r="G50" s="3244" t="s">
        <v>2765</v>
      </c>
      <c r="H50" s="3320"/>
      <c r="I50" s="1812" t="s">
        <v>2802</v>
      </c>
      <c r="J50" s="1812">
        <f>项目基本情况!F35</f>
        <v>0</v>
      </c>
      <c r="K50" s="2708" t="s">
        <v>2767</v>
      </c>
      <c r="L50" s="1107"/>
      <c r="M50" s="1145"/>
      <c r="N50" s="1145"/>
      <c r="O50" s="1145"/>
    </row>
    <row r="51" spans="1:17" s="692" customFormat="1">
      <c r="A51" s="688" t="s">
        <v>2768</v>
      </c>
      <c r="B51" s="689" t="e">
        <f>C43</f>
        <v>#DIV/0!</v>
      </c>
      <c r="C51" s="690">
        <v>1</v>
      </c>
      <c r="D51" s="1164">
        <v>1</v>
      </c>
      <c r="E51" s="690">
        <f>'数据-汇总表'!E8+'数据-汇总表'!E9</f>
        <v>66657.509999999995</v>
      </c>
      <c r="F51" s="691" t="e">
        <f t="shared" ref="F51:F60" si="15">ROUND(B51*E51/10000,0)</f>
        <v>#DIV/0!</v>
      </c>
      <c r="G51" s="3243"/>
      <c r="H51" s="3266"/>
      <c r="I51" s="943">
        <v>1</v>
      </c>
      <c r="J51" s="943">
        <v>1</v>
      </c>
      <c r="K51" s="1146"/>
      <c r="L51" s="942"/>
      <c r="M51" s="942"/>
      <c r="N51" s="942"/>
      <c r="O51" s="942"/>
    </row>
    <row r="52" spans="1:17" s="692" customFormat="1">
      <c r="A52" s="693" t="s">
        <v>2769</v>
      </c>
      <c r="B52" s="262" t="e">
        <f>ROUND($C$43*C52*D52,0)</f>
        <v>#DIV/0!</v>
      </c>
      <c r="C52" s="200">
        <f t="shared" ref="C52:C60" si="16">IF($C$50="北京市系数",I52,J52)</f>
        <v>0</v>
      </c>
      <c r="D52" s="1165">
        <v>0.25</v>
      </c>
      <c r="E52" s="694"/>
      <c r="F52" s="691" t="e">
        <f t="shared" si="15"/>
        <v>#DIV/0!</v>
      </c>
      <c r="G52" s="3321" t="s">
        <v>2770</v>
      </c>
      <c r="H52" s="1105">
        <f>项目基本情况!B37</f>
        <v>0</v>
      </c>
      <c r="I52" s="943">
        <f>SUMIF(修正!A45:A56,H52,修正!B45:B56)</f>
        <v>0</v>
      </c>
      <c r="J52" s="944"/>
      <c r="K52" s="1145"/>
      <c r="L52" s="942"/>
      <c r="M52" s="942"/>
      <c r="N52" s="942"/>
      <c r="O52" s="942"/>
    </row>
    <row r="53" spans="1:17" s="692" customFormat="1">
      <c r="A53" s="693" t="s">
        <v>2771</v>
      </c>
      <c r="B53" s="262" t="e">
        <f t="shared" ref="B53:B60" si="17">ROUND($C$43*C53*D53,0)</f>
        <v>#DIV/0!</v>
      </c>
      <c r="C53" s="200">
        <f t="shared" si="16"/>
        <v>0</v>
      </c>
      <c r="D53" s="1165">
        <v>0.25</v>
      </c>
      <c r="E53" s="694"/>
      <c r="F53" s="691" t="e">
        <f t="shared" si="15"/>
        <v>#DIV/0!</v>
      </c>
      <c r="G53" s="3321"/>
      <c r="H53" s="1105">
        <f>项目基本情况!B37</f>
        <v>0</v>
      </c>
      <c r="I53" s="943">
        <f>SUMIF(修正!A45:A56,H53,修正!C45:C56)</f>
        <v>0</v>
      </c>
      <c r="J53" s="944"/>
      <c r="K53" s="1146"/>
      <c r="L53" s="942"/>
      <c r="M53" s="942"/>
      <c r="N53" s="942"/>
      <c r="O53" s="942"/>
    </row>
    <row r="54" spans="1:17" s="692" customFormat="1">
      <c r="A54" s="693" t="s">
        <v>2772</v>
      </c>
      <c r="B54" s="262" t="e">
        <f t="shared" si="17"/>
        <v>#DIV/0!</v>
      </c>
      <c r="C54" s="200">
        <f t="shared" si="16"/>
        <v>0</v>
      </c>
      <c r="D54" s="1165">
        <v>0.25</v>
      </c>
      <c r="E54" s="694"/>
      <c r="F54" s="691" t="e">
        <f t="shared" si="15"/>
        <v>#DIV/0!</v>
      </c>
      <c r="G54" s="3321"/>
      <c r="H54" s="1105">
        <f>项目基本情况!B37</f>
        <v>0</v>
      </c>
      <c r="I54" s="943">
        <f>SUMIF(修正!A45:A56,H54,修正!D45:D56)</f>
        <v>0</v>
      </c>
      <c r="J54" s="944"/>
      <c r="K54" s="1145"/>
      <c r="L54" s="942"/>
      <c r="M54" s="942"/>
      <c r="N54" s="942"/>
      <c r="O54" s="942"/>
    </row>
    <row r="55" spans="1:17" s="692" customFormat="1">
      <c r="A55" s="693" t="s">
        <v>2773</v>
      </c>
      <c r="B55" s="262" t="e">
        <f t="shared" si="17"/>
        <v>#DIV/0!</v>
      </c>
      <c r="C55" s="200">
        <f t="shared" si="16"/>
        <v>0</v>
      </c>
      <c r="D55" s="1165">
        <v>0.25</v>
      </c>
      <c r="E55" s="694"/>
      <c r="F55" s="691" t="e">
        <f t="shared" si="15"/>
        <v>#DIV/0!</v>
      </c>
      <c r="G55" s="3321"/>
      <c r="H55" s="1105">
        <f>项目基本情况!B37</f>
        <v>0</v>
      </c>
      <c r="I55" s="943">
        <f>SUMIF(修正!A45:A56,H55,修正!E45:E56)</f>
        <v>0</v>
      </c>
      <c r="J55" s="944"/>
      <c r="K55" s="1146"/>
      <c r="L55" s="942"/>
      <c r="M55" s="942"/>
      <c r="N55" s="942"/>
      <c r="O55" s="942"/>
    </row>
    <row r="56" spans="1:17" s="692" customFormat="1">
      <c r="A56" s="693" t="s">
        <v>2774</v>
      </c>
      <c r="B56" s="262" t="e">
        <f t="shared" si="17"/>
        <v>#DIV/0!</v>
      </c>
      <c r="C56" s="200">
        <f t="shared" si="16"/>
        <v>0.2</v>
      </c>
      <c r="D56" s="1165">
        <v>0.25</v>
      </c>
      <c r="E56" s="261">
        <f>'数据-汇总表'!E11</f>
        <v>0</v>
      </c>
      <c r="F56" s="691" t="e">
        <f t="shared" si="15"/>
        <v>#DIV/0!</v>
      </c>
      <c r="G56" s="2709" t="s">
        <v>2775</v>
      </c>
      <c r="H56" s="1105" t="str">
        <f>项目基本情况!C37</f>
        <v>八级</v>
      </c>
      <c r="I56" s="943">
        <f>SUMIF(修正!A45:A56,H56,修正!F45:F56)</f>
        <v>0.2</v>
      </c>
      <c r="J56" s="944"/>
      <c r="K56" s="1145"/>
      <c r="L56" s="942"/>
      <c r="M56" s="942"/>
      <c r="N56" s="942"/>
      <c r="O56" s="942"/>
    </row>
    <row r="57" spans="1:17" s="692" customFormat="1">
      <c r="A57" s="693" t="s">
        <v>2776</v>
      </c>
      <c r="B57" s="262" t="e">
        <f t="shared" si="17"/>
        <v>#DIV/0!</v>
      </c>
      <c r="C57" s="200">
        <f t="shared" si="16"/>
        <v>0.2</v>
      </c>
      <c r="D57" s="1165">
        <v>0.25</v>
      </c>
      <c r="E57" s="261">
        <f>'数据-汇总表'!E12</f>
        <v>0</v>
      </c>
      <c r="F57" s="691" t="e">
        <f t="shared" si="15"/>
        <v>#DIV/0!</v>
      </c>
      <c r="G57" s="1110" t="s">
        <v>2777</v>
      </c>
      <c r="H57" s="1105" t="str">
        <f>IF(G57="商业",项目基本情况!B37,IF(G57="办公",项目基本情况!C37,IF(G57="住宅",项目基本情况!D37,项目基本情况!E37)))</f>
        <v>八级</v>
      </c>
      <c r="I57" s="943">
        <f>SUMIF(修正!A45:A56,H57,修正!G45:G56)</f>
        <v>0.2</v>
      </c>
      <c r="J57" s="944"/>
      <c r="K57" s="1146"/>
      <c r="L57" s="942"/>
      <c r="M57" s="942"/>
      <c r="N57" s="942"/>
      <c r="O57" s="942"/>
    </row>
    <row r="58" spans="1:17" s="692" customFormat="1">
      <c r="A58" s="693" t="s">
        <v>2778</v>
      </c>
      <c r="B58" s="262" t="e">
        <f t="shared" si="17"/>
        <v>#DIV/0!</v>
      </c>
      <c r="C58" s="200">
        <f t="shared" si="16"/>
        <v>0</v>
      </c>
      <c r="D58" s="1165">
        <v>0.25</v>
      </c>
      <c r="E58" s="261">
        <f>'数据-汇总表'!E13</f>
        <v>0</v>
      </c>
      <c r="F58" s="691" t="e">
        <f t="shared" si="15"/>
        <v>#DIV/0!</v>
      </c>
      <c r="G58" s="1110" t="s">
        <v>2779</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2" customFormat="1">
      <c r="A59" s="693" t="s">
        <v>2780</v>
      </c>
      <c r="B59" s="262" t="e">
        <f t="shared" si="17"/>
        <v>#DIV/0!</v>
      </c>
      <c r="C59" s="200">
        <f t="shared" si="16"/>
        <v>0</v>
      </c>
      <c r="D59" s="1165">
        <v>0.25</v>
      </c>
      <c r="E59" s="261">
        <f>'数据-汇总表'!E14</f>
        <v>0</v>
      </c>
      <c r="F59" s="691" t="e">
        <f t="shared" si="15"/>
        <v>#DIV/0!</v>
      </c>
      <c r="G59" s="2709" t="s">
        <v>2770</v>
      </c>
      <c r="H59" s="1105">
        <f>项目基本情况!B37</f>
        <v>0</v>
      </c>
      <c r="I59" s="943">
        <f>SUMIF(修正!A45:A56,H59,修正!H45:H56)</f>
        <v>0</v>
      </c>
      <c r="J59" s="944"/>
      <c r="K59" s="1146"/>
      <c r="L59" s="942"/>
      <c r="M59" s="942"/>
      <c r="N59" s="942"/>
      <c r="O59" s="942"/>
    </row>
    <row r="60" spans="1:17" s="692" customFormat="1" ht="15" thickBot="1">
      <c r="A60" s="693" t="s">
        <v>2781</v>
      </c>
      <c r="B60" s="262" t="e">
        <f t="shared" si="17"/>
        <v>#DIV/0!</v>
      </c>
      <c r="C60" s="200">
        <f t="shared" si="16"/>
        <v>0.15</v>
      </c>
      <c r="D60" s="1165">
        <v>0.25</v>
      </c>
      <c r="E60" s="261">
        <f>'数据-汇总表'!E15</f>
        <v>0</v>
      </c>
      <c r="F60" s="691" t="e">
        <f t="shared" si="15"/>
        <v>#DIV/0!</v>
      </c>
      <c r="G60" s="2710" t="s">
        <v>2775</v>
      </c>
      <c r="H60" s="1115" t="str">
        <f>项目基本情况!C37</f>
        <v>八级</v>
      </c>
      <c r="I60" s="943">
        <f>SUMIF(修正!A45:A56,H60,修正!H45:H56)</f>
        <v>0.15</v>
      </c>
      <c r="J60" s="944"/>
      <c r="K60" s="1145"/>
      <c r="L60" s="942"/>
      <c r="M60" s="942"/>
      <c r="N60" s="942"/>
      <c r="O60" s="942"/>
    </row>
    <row r="61" spans="1:17" s="692" customFormat="1" ht="15" thickBot="1">
      <c r="A61" s="695" t="s">
        <v>2782</v>
      </c>
      <c r="B61" s="696" t="s">
        <v>28</v>
      </c>
      <c r="C61" s="696" t="s">
        <v>29</v>
      </c>
      <c r="D61" s="696" t="s">
        <v>1026</v>
      </c>
      <c r="E61" s="696">
        <f>IF(B41="楼面地价",SUM(E51:E60),'数据-汇总表'!D3)</f>
        <v>21654.11</v>
      </c>
      <c r="F61" s="697"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2019-4-1</v>
      </c>
      <c r="D63" s="759">
        <f>EDATE(C63,-3)</f>
        <v>43466</v>
      </c>
      <c r="E63" s="759">
        <f>EDATE(D63,-3)</f>
        <v>43374</v>
      </c>
      <c r="F63" s="759">
        <f t="shared" ref="F63:O63" si="18">EDATE(E63,-3)</f>
        <v>43282</v>
      </c>
      <c r="G63" s="759">
        <f t="shared" si="18"/>
        <v>43191</v>
      </c>
      <c r="H63" s="759">
        <f t="shared" si="18"/>
        <v>43101</v>
      </c>
      <c r="I63" s="759">
        <f t="shared" si="18"/>
        <v>43009</v>
      </c>
      <c r="J63" s="759">
        <f t="shared" si="18"/>
        <v>42917</v>
      </c>
      <c r="K63" s="759">
        <f t="shared" si="18"/>
        <v>42826</v>
      </c>
      <c r="L63" s="759">
        <f t="shared" si="18"/>
        <v>42736</v>
      </c>
      <c r="M63" s="759">
        <f t="shared" si="18"/>
        <v>42644</v>
      </c>
      <c r="N63" s="759">
        <f t="shared" si="18"/>
        <v>42552</v>
      </c>
      <c r="O63" s="759">
        <f t="shared" si="18"/>
        <v>42461</v>
      </c>
    </row>
    <row r="64" spans="1:17" ht="21.75" thickBot="1">
      <c r="A64" s="761" t="s">
        <v>2675</v>
      </c>
      <c r="B64" s="757"/>
      <c r="C64" s="762"/>
      <c r="D64" s="762"/>
      <c r="E64" s="762"/>
      <c r="F64" s="763"/>
      <c r="G64" s="763"/>
      <c r="H64" s="762"/>
      <c r="I64" s="762"/>
      <c r="J64" s="762"/>
      <c r="K64" s="764"/>
      <c r="L64" s="765"/>
      <c r="M64" s="762"/>
      <c r="N64" s="762"/>
      <c r="O64" s="1160"/>
      <c r="P64" s="503"/>
      <c r="Q64" s="504"/>
    </row>
    <row r="65" spans="1:17" s="508" customFormat="1" ht="15">
      <c r="A65" s="2711" t="s">
        <v>2783</v>
      </c>
      <c r="B65" s="1360"/>
      <c r="C65" s="1573" t="str">
        <f>YEAR(C63)&amp;"-"&amp;ROUNDUP(MONTH(C63)/3,0)</f>
        <v>2019-2</v>
      </c>
      <c r="D65" s="1573" t="str">
        <f t="shared" ref="D65:O65" si="19">YEAR(D63)&amp;"-"&amp;ROUNDUP(MONTH(D63)/3,0)</f>
        <v>2019-1</v>
      </c>
      <c r="E65" s="1573" t="str">
        <f t="shared" si="19"/>
        <v>2018-4</v>
      </c>
      <c r="F65" s="1573" t="str">
        <f t="shared" si="19"/>
        <v>2018-3</v>
      </c>
      <c r="G65" s="1573" t="str">
        <f t="shared" si="19"/>
        <v>2018-2</v>
      </c>
      <c r="H65" s="1573" t="str">
        <f t="shared" si="19"/>
        <v>2018-1</v>
      </c>
      <c r="I65" s="1573" t="str">
        <f t="shared" si="19"/>
        <v>2017-4</v>
      </c>
      <c r="J65" s="1573" t="str">
        <f t="shared" si="19"/>
        <v>2017-3</v>
      </c>
      <c r="K65" s="1573" t="str">
        <f t="shared" si="19"/>
        <v>2017-2</v>
      </c>
      <c r="L65" s="1573" t="str">
        <f t="shared" si="19"/>
        <v>2017-1</v>
      </c>
      <c r="M65" s="1573" t="str">
        <f t="shared" si="19"/>
        <v>2016-4</v>
      </c>
      <c r="N65" s="1573" t="str">
        <f t="shared" si="19"/>
        <v>2016-3</v>
      </c>
      <c r="O65" s="1573" t="str">
        <f t="shared" si="19"/>
        <v>2016-2</v>
      </c>
      <c r="P65" s="507"/>
    </row>
    <row r="66" spans="1:17" s="117" customFormat="1" ht="30.75" customHeight="1">
      <c r="A66" s="2716" t="s">
        <v>2803</v>
      </c>
      <c r="B66" s="332" t="str">
        <f>"北京市平均增长率"&amp;TEXT(基准地价修正!P24,"0.00%")</f>
        <v>北京市平均增长率0.00%</v>
      </c>
      <c r="C66" s="603">
        <v>100</v>
      </c>
      <c r="D66" s="595"/>
      <c r="E66" s="595"/>
      <c r="F66" s="595"/>
      <c r="G66" s="595"/>
      <c r="H66" s="595"/>
      <c r="I66" s="595"/>
      <c r="J66" s="595"/>
      <c r="K66" s="595"/>
      <c r="L66" s="595"/>
      <c r="M66" s="1568"/>
      <c r="N66" s="1568"/>
      <c r="O66" s="1570"/>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2"/>
      <c r="O68" s="1152"/>
      <c r="P68" s="526"/>
      <c r="Q68" s="504"/>
    </row>
    <row r="69" spans="1:17" s="117"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2589</v>
      </c>
      <c r="B70" s="528" t="s">
        <v>2555</v>
      </c>
      <c r="C70" s="530"/>
      <c r="D70" s="530"/>
      <c r="E70" s="530"/>
      <c r="F70" s="530"/>
      <c r="G70" s="530"/>
      <c r="H70" s="530"/>
      <c r="I70" s="530"/>
      <c r="J70" s="530"/>
      <c r="K70" s="531"/>
      <c r="L70" s="532"/>
      <c r="M70" s="533"/>
      <c r="N70" s="1153"/>
      <c r="O70" s="1153"/>
      <c r="P70" s="45"/>
      <c r="Q70" s="504"/>
    </row>
    <row r="71" spans="1:17" ht="15.75" thickBot="1">
      <c r="A71" s="534"/>
      <c r="B71" s="535"/>
      <c r="C71" s="536"/>
      <c r="D71" s="536"/>
      <c r="E71" s="536"/>
      <c r="F71" s="536"/>
      <c r="G71" s="536"/>
      <c r="H71" s="536"/>
      <c r="I71" s="536"/>
      <c r="J71" s="536"/>
      <c r="K71" s="536"/>
      <c r="L71" s="536"/>
      <c r="M71" s="537"/>
      <c r="N71" s="1154"/>
      <c r="O71" s="1154"/>
      <c r="P71" s="45"/>
      <c r="Q71" s="504"/>
    </row>
    <row r="72" spans="1:17" ht="27.75" thickTop="1">
      <c r="A72" s="534"/>
      <c r="B72" s="538" t="s">
        <v>2558</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c r="D75" s="549"/>
      <c r="E75" s="549"/>
      <c r="F75" s="549"/>
      <c r="G75" s="549"/>
      <c r="H75" s="549"/>
      <c r="I75" s="549"/>
      <c r="J75" s="549"/>
      <c r="K75" s="550"/>
      <c r="L75" s="551"/>
      <c r="M75" s="552"/>
      <c r="N75" s="1153"/>
      <c r="O75" s="1153"/>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3"/>
      <c r="O85" s="115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2"/>
      <c r="O87" s="115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2"/>
      <c r="O89" s="115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6"/>
      <c r="N94" s="1155"/>
      <c r="O94" s="1155"/>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3"/>
      <c r="O95" s="1153"/>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7.75" thickTop="1">
      <c r="A97" s="534"/>
      <c r="B97" s="538" t="s">
        <v>2692</v>
      </c>
      <c r="C97" s="554"/>
      <c r="D97" s="554"/>
      <c r="E97" s="554"/>
      <c r="F97" s="554"/>
      <c r="G97" s="554"/>
      <c r="H97" s="583"/>
      <c r="I97" s="583"/>
      <c r="J97" s="583"/>
      <c r="K97" s="584"/>
      <c r="L97" s="585"/>
      <c r="M97" s="586"/>
      <c r="N97" s="1153"/>
      <c r="O97" s="1153"/>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75" thickTop="1">
      <c r="A99" s="534"/>
      <c r="B99" s="538" t="s">
        <v>2751</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5"/>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3"/>
      <c r="O107" s="1153"/>
      <c r="P107" s="45"/>
      <c r="Q107" s="504"/>
    </row>
    <row r="108" spans="1:17" ht="15">
      <c r="A108" s="534"/>
      <c r="B108" s="546"/>
      <c r="C108" s="595"/>
      <c r="D108" s="595"/>
      <c r="E108" s="595"/>
      <c r="F108" s="595"/>
      <c r="G108" s="595"/>
      <c r="H108" s="595"/>
      <c r="I108" s="595"/>
      <c r="J108" s="596"/>
      <c r="K108" s="596"/>
      <c r="L108" s="597"/>
      <c r="M108" s="598"/>
      <c r="N108" s="1153"/>
      <c r="O108" s="1153"/>
      <c r="P108" s="45"/>
      <c r="Q108" s="504"/>
    </row>
    <row r="109" spans="1:17" ht="15.75"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2793</v>
      </c>
      <c r="C110" s="583"/>
      <c r="D110" s="583"/>
      <c r="E110" s="583"/>
      <c r="F110" s="583"/>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2795</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2796</v>
      </c>
      <c r="C114" s="554"/>
      <c r="D114" s="554"/>
      <c r="E114" s="583"/>
      <c r="F114" s="583"/>
      <c r="G114" s="583"/>
      <c r="H114" s="583"/>
      <c r="I114" s="583"/>
      <c r="J114" s="583"/>
      <c r="K114" s="584"/>
      <c r="L114" s="585"/>
      <c r="M114" s="586"/>
      <c r="N114" s="1153"/>
      <c r="O114" s="1153"/>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4" priority="14" stopIfTrue="1" operator="containsText" text="超过">
      <formula>NOT(ISERROR(SEARCH("超过",F46)))</formula>
    </cfRule>
  </conditionalFormatting>
  <conditionalFormatting sqref="J48">
    <cfRule type="containsText" dxfId="43" priority="13" stopIfTrue="1" operator="containsText" text="超过">
      <formula>NOT(ISERROR(SEARCH("超过",J48)))</formula>
    </cfRule>
  </conditionalFormatting>
  <conditionalFormatting sqref="H48">
    <cfRule type="containsText" dxfId="42" priority="12" stopIfTrue="1" operator="containsText" text="超过">
      <formula>NOT(ISERROR(SEARCH("超过",H48)))</formula>
    </cfRule>
  </conditionalFormatting>
  <conditionalFormatting sqref="F48">
    <cfRule type="containsText" dxfId="41" priority="11" stopIfTrue="1" operator="containsText" text="超过">
      <formula>NOT(ISERROR(SEARCH("超过",F48)))</formula>
    </cfRule>
  </conditionalFormatting>
  <conditionalFormatting sqref="F47 H47 J47">
    <cfRule type="containsText" dxfId="40" priority="10" stopIfTrue="1" operator="containsText" text="超过">
      <formula>NOT(ISERROR(SEARCH("超过",F47)))</formula>
    </cfRule>
  </conditionalFormatting>
  <conditionalFormatting sqref="E46">
    <cfRule type="expression" dxfId="39" priority="9" stopIfTrue="1">
      <formula>$F$46="超过30%"</formula>
    </cfRule>
  </conditionalFormatting>
  <conditionalFormatting sqref="G48">
    <cfRule type="expression" dxfId="38" priority="8" stopIfTrue="1">
      <formula>$H$48="超过30%"</formula>
    </cfRule>
  </conditionalFormatting>
  <conditionalFormatting sqref="E48">
    <cfRule type="expression" dxfId="37" priority="6" stopIfTrue="1">
      <formula>$F$48="超过30%"</formula>
    </cfRule>
  </conditionalFormatting>
  <conditionalFormatting sqref="G46">
    <cfRule type="expression" dxfId="36" priority="5" stopIfTrue="1">
      <formula>$H$46="超过30%"</formula>
    </cfRule>
  </conditionalFormatting>
  <conditionalFormatting sqref="G47">
    <cfRule type="expression" dxfId="35" priority="4" stopIfTrue="1">
      <formula>$H$47="超过20%"</formula>
    </cfRule>
  </conditionalFormatting>
  <conditionalFormatting sqref="I46">
    <cfRule type="expression" dxfId="34" priority="3" stopIfTrue="1">
      <formula>$J$46="超过30%"</formula>
    </cfRule>
  </conditionalFormatting>
  <conditionalFormatting sqref="I47">
    <cfRule type="expression" dxfId="33" priority="2" stopIfTrue="1">
      <formula>$J$47="超过20%"</formula>
    </cfRule>
  </conditionalFormatting>
  <conditionalFormatting sqref="I48">
    <cfRule type="expression" dxfId="32" priority="1" stopIfTrue="1">
      <formula>$J$48="超过30%"</formula>
    </cfRule>
  </conditionalFormatting>
  <conditionalFormatting sqref="E47">
    <cfRule type="expression" dxfId="3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24" sqref="B2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5" t="s">
        <v>27</v>
      </c>
      <c r="C1" s="242"/>
      <c r="D1" s="242"/>
      <c r="E1" s="242"/>
      <c r="F1" s="242"/>
      <c r="G1" s="1380">
        <f>MATCH(B1,'数据-取费表'!A6:A16,0)+5</f>
        <v>7</v>
      </c>
    </row>
    <row r="2" spans="1:9" s="244" customFormat="1" ht="18" customHeight="1">
      <c r="A2" s="245" t="s">
        <v>2328</v>
      </c>
      <c r="B2" s="246">
        <f ca="1">IF(D2="——",C52,C52-E2)</f>
        <v>14578</v>
      </c>
      <c r="C2" s="243" t="s">
        <v>2329</v>
      </c>
      <c r="D2" s="2548" t="s">
        <v>70</v>
      </c>
      <c r="E2" s="1441" t="e">
        <f ca="1">SUMIF(INDIRECT("'"&amp;G2&amp;"'"&amp;"!A:A"),"承租人权益价值",INDIRECT("'"&amp;G2&amp;"'"&amp;"!c:c"))</f>
        <v>#REF!</v>
      </c>
      <c r="F2" s="2549" t="s">
        <v>2329</v>
      </c>
      <c r="G2" s="2550"/>
    </row>
    <row r="3" spans="1:9" s="244" customFormat="1" ht="18" customHeight="1" thickBot="1">
      <c r="A3" s="247" t="s">
        <v>2330</v>
      </c>
      <c r="B3" s="248">
        <f ca="1">ROUND(B2*10000/(IF(B1="",'数据-汇总表'!E3,INDIRECT("'数据-取费表'!k"&amp;$G$1))),0)</f>
        <v>4583</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604</v>
      </c>
      <c r="D5" s="255" t="s">
        <v>2335</v>
      </c>
      <c r="E5" s="256" t="s">
        <v>2336</v>
      </c>
      <c r="F5" s="256" t="s">
        <v>2337</v>
      </c>
      <c r="G5" s="257"/>
    </row>
    <row r="6" spans="1:9" s="258" customFormat="1" ht="13.5" customHeight="1">
      <c r="A6" s="950" t="s">
        <v>2338</v>
      </c>
      <c r="B6" s="259" t="s">
        <v>2339</v>
      </c>
      <c r="C6" s="260">
        <f ca="1">基准地价修正!B2</f>
        <v>0</v>
      </c>
      <c r="D6" s="261"/>
      <c r="E6" s="262"/>
      <c r="F6" s="262"/>
      <c r="G6" s="263"/>
    </row>
    <row r="7" spans="1:9" s="258" customFormat="1" ht="13.5" customHeight="1">
      <c r="A7" s="950" t="s">
        <v>2340</v>
      </c>
      <c r="B7" s="259" t="s">
        <v>2341</v>
      </c>
      <c r="C7" s="264">
        <f ca="1">ROUND(C6*F7,0)</f>
        <v>0</v>
      </c>
      <c r="D7" s="264"/>
      <c r="E7" s="262"/>
      <c r="F7" s="265">
        <f>'数据-取费表'!B48+'数据-取费表'!B49</f>
        <v>3.0499999999999999E-2</v>
      </c>
      <c r="G7" s="263"/>
    </row>
    <row r="8" spans="1:9" s="267" customFormat="1">
      <c r="A8" s="950" t="s">
        <v>2342</v>
      </c>
      <c r="B8" s="259" t="s">
        <v>2343</v>
      </c>
      <c r="C8" s="264">
        <f ca="1">IF(G8="已包含在土地购买价格中","0",IF(B1="",'数据-取费表'!B29,IF(G9="全部缴纳",C9+C10,H9)))</f>
        <v>604</v>
      </c>
      <c r="D8" s="266"/>
      <c r="E8" s="264"/>
      <c r="F8" s="265"/>
      <c r="G8" s="2551" t="s">
        <v>3095</v>
      </c>
    </row>
    <row r="9" spans="1:9" s="258" customFormat="1" ht="13.5" customHeight="1">
      <c r="A9" s="951" t="s">
        <v>800</v>
      </c>
      <c r="B9" s="268" t="s">
        <v>2344</v>
      </c>
      <c r="C9" s="269">
        <f ca="1">ROUND(D9*E9/10000,0)</f>
        <v>0</v>
      </c>
      <c r="D9" s="1033">
        <f ca="1">IF(B1="",'数据-汇总表'!E5,IF(INDIRECT("'数据-取费表'!c"&amp;$G$1)="住宅",INDIRECT("'数据-取费表'!k"&amp;$G$1),0))</f>
        <v>0</v>
      </c>
      <c r="E9" s="269">
        <f>'数据-取费表'!B27</f>
        <v>0</v>
      </c>
      <c r="F9" s="265"/>
      <c r="G9" s="2552" t="s">
        <v>3096</v>
      </c>
      <c r="H9" s="1391"/>
      <c r="I9" s="2553" t="s">
        <v>2345</v>
      </c>
    </row>
    <row r="10" spans="1:9" s="258" customFormat="1" ht="13.5" customHeight="1">
      <c r="A10" s="951" t="s">
        <v>801</v>
      </c>
      <c r="B10" s="268" t="s">
        <v>2346</v>
      </c>
      <c r="C10" s="269">
        <f ca="1">ROUND(D10*E10/10000,0)</f>
        <v>604</v>
      </c>
      <c r="D10" s="1033">
        <f ca="1">IF(B1="",'数据-汇总表'!E6,IF(INDIRECT("'数据-取费表'!c"&amp;$G$1)="住宅",INDIRECT("'数据-取费表'!s"&amp;$G$1),INDIRECT("'数据-取费表'!k"&amp;$G$1)+INDIRECT("'数据-取费表'!s"&amp;$G$1)))</f>
        <v>31807.97</v>
      </c>
      <c r="E10" s="269">
        <f>'数据-取费表'!B28</f>
        <v>190</v>
      </c>
      <c r="F10" s="265"/>
      <c r="G10" s="270"/>
    </row>
    <row r="11" spans="1:9" s="258" customFormat="1" ht="13.5" hidden="1" customHeight="1">
      <c r="A11" s="271" t="s">
        <v>7</v>
      </c>
      <c r="B11" s="259" t="s">
        <v>2347</v>
      </c>
      <c r="C11" s="255"/>
      <c r="D11" s="1035"/>
      <c r="E11" s="262"/>
      <c r="F11" s="262"/>
      <c r="G11" s="263"/>
    </row>
    <row r="12" spans="1:9" s="258" customFormat="1" ht="13.5" hidden="1" customHeight="1">
      <c r="A12" s="271" t="s">
        <v>8</v>
      </c>
      <c r="B12" s="259" t="s">
        <v>2348</v>
      </c>
      <c r="C12" s="255">
        <v>0</v>
      </c>
      <c r="D12" s="1035"/>
      <c r="E12" s="272"/>
      <c r="F12" s="265">
        <v>3.0499999999999999E-2</v>
      </c>
      <c r="G12" s="263"/>
    </row>
    <row r="13" spans="1:9" s="258" customFormat="1" ht="13.5" hidden="1" customHeight="1">
      <c r="A13" s="271" t="s">
        <v>9</v>
      </c>
      <c r="B13" s="259" t="s">
        <v>2349</v>
      </c>
      <c r="C13" s="255"/>
      <c r="D13" s="1035"/>
      <c r="E13" s="262"/>
      <c r="F13" s="262"/>
      <c r="G13" s="263"/>
    </row>
    <row r="14" spans="1:9" s="258" customFormat="1" ht="13.5" hidden="1" customHeight="1">
      <c r="A14" s="271" t="s">
        <v>10</v>
      </c>
      <c r="B14" s="259" t="s">
        <v>2350</v>
      </c>
      <c r="C14" s="255"/>
      <c r="D14" s="1035"/>
      <c r="E14" s="262"/>
      <c r="F14" s="262"/>
      <c r="G14" s="263" t="s">
        <v>2351</v>
      </c>
    </row>
    <row r="15" spans="1:9" s="258" customFormat="1" ht="13.5" hidden="1" customHeight="1">
      <c r="A15" s="271" t="s">
        <v>11</v>
      </c>
      <c r="B15" s="259" t="s">
        <v>2352</v>
      </c>
      <c r="C15" s="264"/>
      <c r="D15" s="1035"/>
      <c r="E15" s="262"/>
      <c r="F15" s="262"/>
      <c r="G15" s="263" t="s">
        <v>2353</v>
      </c>
    </row>
    <row r="16" spans="1:9" s="258" customFormat="1" ht="13.5" hidden="1" customHeight="1">
      <c r="A16" s="271" t="s">
        <v>12</v>
      </c>
      <c r="B16" s="259" t="s">
        <v>2350</v>
      </c>
      <c r="C16" s="264"/>
      <c r="D16" s="1035"/>
      <c r="E16" s="262"/>
      <c r="F16" s="262"/>
      <c r="G16" s="263"/>
    </row>
    <row r="17" spans="1:7" s="258" customFormat="1" ht="13.5" hidden="1" customHeight="1">
      <c r="A17" s="271" t="s">
        <v>13</v>
      </c>
      <c r="B17" s="259" t="s">
        <v>2354</v>
      </c>
      <c r="C17" s="273"/>
      <c r="D17" s="1036"/>
      <c r="E17" s="273"/>
      <c r="F17" s="273"/>
      <c r="G17" s="263" t="s">
        <v>2353</v>
      </c>
    </row>
    <row r="18" spans="1:7" s="258" customFormat="1" ht="13.5" hidden="1" customHeight="1">
      <c r="A18" s="271" t="s">
        <v>14</v>
      </c>
      <c r="B18" s="259" t="s">
        <v>2355</v>
      </c>
      <c r="C18" s="264">
        <v>0</v>
      </c>
      <c r="D18" s="1035"/>
      <c r="E18" s="262"/>
      <c r="F18" s="265">
        <v>3.0499999999999999E-2</v>
      </c>
      <c r="G18" s="263" t="s">
        <v>2356</v>
      </c>
    </row>
    <row r="19" spans="1:7" s="267" customFormat="1" ht="13.5" customHeight="1">
      <c r="A19" s="299" t="s">
        <v>2357</v>
      </c>
      <c r="B19" s="254" t="s">
        <v>2358</v>
      </c>
      <c r="C19" s="255" t="str">
        <f>IF(G19="已包含在土地取得成本中","0",ROUND(D19*E19/10000,0))</f>
        <v>0</v>
      </c>
      <c r="D19" s="1037">
        <f ca="1">D9+D10</f>
        <v>31807.97</v>
      </c>
      <c r="E19" s="255">
        <f>'数据-取费表'!B31</f>
        <v>200</v>
      </c>
      <c r="F19" s="275"/>
      <c r="G19" s="2551" t="s">
        <v>3097</v>
      </c>
    </row>
    <row r="20" spans="1:7" s="258" customFormat="1" ht="13.5" customHeight="1">
      <c r="A20" s="299" t="s">
        <v>2359</v>
      </c>
      <c r="B20" s="254" t="s">
        <v>2360</v>
      </c>
      <c r="C20" s="276">
        <f ca="1">ROUND((C5+C19)*F20,0)</f>
        <v>12</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5">
        <f ca="1">ROUND(SUM(C23:C25),0)</f>
        <v>60</v>
      </c>
      <c r="D22" s="279">
        <f ca="1">C26</f>
        <v>1E-3</v>
      </c>
      <c r="E22" s="280" t="s">
        <v>2364</v>
      </c>
      <c r="F22" s="281">
        <f ca="1">'数据-取费表'!B40</f>
        <v>4.7500000000000001E-2</v>
      </c>
      <c r="G22" s="278" t="str">
        <f>IF('数据-取费表'!B22&lt;=1,"单利计息","复利计息")</f>
        <v>复利计息</v>
      </c>
    </row>
    <row r="23" spans="1:7" s="258" customFormat="1" ht="13.5" customHeight="1">
      <c r="A23" s="952" t="s">
        <v>2368</v>
      </c>
      <c r="B23" s="259" t="s">
        <v>2369</v>
      </c>
      <c r="C23" s="1356">
        <f ca="1">ROUND(IF('数据-取费表'!B22&lt;=1,C5*F22*'数据-取费表'!B23,C5*(POWER((1+F22),'数据-取费表'!B23)-1)),0)</f>
        <v>59</v>
      </c>
      <c r="D23" s="282"/>
      <c r="E23" s="282"/>
      <c r="F23" s="283"/>
      <c r="G23" s="284" t="s">
        <v>2370</v>
      </c>
    </row>
    <row r="24" spans="1:7" s="258" customFormat="1" ht="13.5" customHeight="1">
      <c r="A24" s="952" t="s">
        <v>2371</v>
      </c>
      <c r="B24" s="259" t="s">
        <v>2372</v>
      </c>
      <c r="C24" s="1356">
        <f ca="1">ROUND(IF('数据-取费表'!B22&lt;=1,C19*F22*('数据-取费表'!B19/2+'数据-取费表'!B21),C19*(POWER((1+F22),('数据-取费表'!B19/2+'数据-取费表'!B21))-1)),0)</f>
        <v>0</v>
      </c>
      <c r="D24" s="282"/>
      <c r="E24" s="282"/>
      <c r="F24" s="283"/>
      <c r="G24" s="284" t="s">
        <v>2373</v>
      </c>
    </row>
    <row r="25" spans="1:7" s="258" customFormat="1" ht="24">
      <c r="A25" s="952" t="s">
        <v>2374</v>
      </c>
      <c r="B25" s="259" t="s">
        <v>2375</v>
      </c>
      <c r="C25" s="1356">
        <f ca="1">ROUND(IF('数据-取费表'!B22&lt;=1,C20*F22*'数据-取费表'!B23/2,C20*(POWER((1+F22),'数据-取费表'!B23/2)-1)),0)</f>
        <v>1</v>
      </c>
      <c r="D25" s="282"/>
      <c r="E25" s="285"/>
      <c r="F25" s="283"/>
      <c r="G25" s="286" t="s">
        <v>2376</v>
      </c>
    </row>
    <row r="26" spans="1:7" s="258" customFormat="1">
      <c r="A26" s="952" t="s">
        <v>795</v>
      </c>
      <c r="B26" s="259" t="s">
        <v>2377</v>
      </c>
      <c r="C26" s="282">
        <f ca="1">ROUND(IF('数据-取费表'!B22&lt;=1,F21*F22*'数据-取费表'!B23/2,F21*(POWER((1+F22),'数据-取费表'!B23/2)-1)),4)</f>
        <v>1E-3</v>
      </c>
      <c r="D26" s="282"/>
      <c r="E26" s="285"/>
      <c r="F26" s="283"/>
      <c r="G26" s="287"/>
    </row>
    <row r="27" spans="1:7" s="258" customFormat="1" ht="24.75">
      <c r="A27" s="299" t="s">
        <v>2378</v>
      </c>
      <c r="B27" s="288" t="s">
        <v>2379</v>
      </c>
      <c r="C27" s="289">
        <f ca="1">C28</f>
        <v>123</v>
      </c>
      <c r="D27" s="279">
        <f ca="1">C29</f>
        <v>4.0000000000000001E-3</v>
      </c>
      <c r="E27" s="280" t="s">
        <v>2380</v>
      </c>
      <c r="F27" s="290">
        <f ca="1">IF(B1="",'数据-取费表'!Q16,INDIRECT("'数据-取费表'!q"&amp;$G$1))</f>
        <v>0.2</v>
      </c>
      <c r="G27" s="291" t="s">
        <v>2381</v>
      </c>
    </row>
    <row r="28" spans="1:7" s="258" customFormat="1" ht="13.5" customHeight="1">
      <c r="A28" s="952" t="s">
        <v>791</v>
      </c>
      <c r="B28" s="292" t="s">
        <v>2382</v>
      </c>
      <c r="C28" s="293">
        <f ca="1">ROUND((C5+C19+C20)*F27*'数据-取费表'!B21/'数据-取费表'!B20,0)</f>
        <v>123</v>
      </c>
      <c r="D28" s="279"/>
      <c r="E28" s="280"/>
      <c r="F28" s="290"/>
      <c r="G28" s="291"/>
    </row>
    <row r="29" spans="1:7" s="258" customFormat="1" ht="13.5" customHeight="1">
      <c r="A29" s="952" t="s">
        <v>792</v>
      </c>
      <c r="B29" s="292" t="s">
        <v>2383</v>
      </c>
      <c r="C29" s="282">
        <f ca="1">ROUND(C21*F27*'数据-取费表'!B21/'数据-取费表'!B20,4)</f>
        <v>4.0000000000000001E-3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866</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9943</v>
      </c>
      <c r="D33" s="276"/>
      <c r="E33" s="256"/>
      <c r="F33" s="285"/>
      <c r="G33" s="278"/>
    </row>
    <row r="34" spans="1:7" s="302" customFormat="1" ht="13.5" customHeight="1">
      <c r="A34" s="952" t="s">
        <v>791</v>
      </c>
      <c r="B34" s="259" t="s">
        <v>2391</v>
      </c>
      <c r="C34" s="264">
        <f ca="1">IF(B1="",IF(F34=100%,'数据-取费表'!M16,'数据-取费表'!O16),IF(F34=100%,INDIRECT("'数据-取费表'!m"&amp;$G$1)+INDIRECT("'数据-取费表'!t"&amp;$G$1),INDIRECT("'数据-取费表'!o"&amp;$G$1)+INDIRECT("'数据-取费表'!aq"&amp;$G$1)))</f>
        <v>8906</v>
      </c>
      <c r="D34" s="261"/>
      <c r="E34" s="264"/>
      <c r="F34" s="301">
        <f ca="1">IF('数据-取费表'!B24=0,1,IF(B1="",'数据-取费表'!N16,INDIRECT("'数据-取费表'!n"&amp;$G$1)))</f>
        <v>1</v>
      </c>
      <c r="G34" s="263" t="s">
        <v>2392</v>
      </c>
    </row>
    <row r="35" spans="1:7" ht="13.5" customHeight="1">
      <c r="A35" s="952" t="s">
        <v>796</v>
      </c>
      <c r="B35" s="259" t="s">
        <v>2393</v>
      </c>
      <c r="C35" s="264">
        <f ca="1">ROUND(C34*F35,0)</f>
        <v>267</v>
      </c>
      <c r="D35" s="264"/>
      <c r="E35" s="264"/>
      <c r="F35" s="303">
        <f>'数据-取费表'!B33</f>
        <v>0.03</v>
      </c>
      <c r="G35" s="263" t="s">
        <v>2394</v>
      </c>
    </row>
    <row r="36" spans="1:7" ht="24">
      <c r="A36" s="952"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2396</v>
      </c>
    </row>
    <row r="37" spans="1:7" s="302" customFormat="1" ht="13.5" customHeight="1">
      <c r="A37" s="952" t="s">
        <v>798</v>
      </c>
      <c r="B37" s="259" t="s">
        <v>2397</v>
      </c>
      <c r="C37" s="293">
        <f ca="1">ROUND(E37*D37*F34/10000,0)</f>
        <v>636</v>
      </c>
      <c r="D37" s="261">
        <f ca="1">D19</f>
        <v>31807.97</v>
      </c>
      <c r="E37" s="293">
        <f>'数据-取费表'!B35</f>
        <v>200</v>
      </c>
      <c r="F37" s="303"/>
      <c r="G37" s="305" t="s">
        <v>2398</v>
      </c>
    </row>
    <row r="38" spans="1:7" ht="13.5" customHeight="1">
      <c r="A38" s="952" t="s">
        <v>799</v>
      </c>
      <c r="B38" s="259" t="s">
        <v>2399</v>
      </c>
      <c r="C38" s="264">
        <f ca="1">ROUND(C34*F38,0)</f>
        <v>134</v>
      </c>
      <c r="D38" s="264"/>
      <c r="E38" s="264"/>
      <c r="F38" s="303">
        <f>'数据-取费表'!B36</f>
        <v>1.4999999999999999E-2</v>
      </c>
      <c r="G38" s="263" t="s">
        <v>2394</v>
      </c>
    </row>
    <row r="39" spans="1:7" s="258" customFormat="1" ht="13.5" customHeight="1">
      <c r="A39" s="299" t="s">
        <v>2400</v>
      </c>
      <c r="B39" s="254" t="s">
        <v>2401</v>
      </c>
      <c r="C39" s="276">
        <f ca="1">ROUND(C33*F20,0)</f>
        <v>199</v>
      </c>
      <c r="D39" s="276"/>
      <c r="E39" s="276"/>
      <c r="F39" s="277"/>
      <c r="G39" s="278" t="s">
        <v>2402</v>
      </c>
    </row>
    <row r="40" spans="1:7" s="258" customFormat="1" ht="13.5" customHeight="1">
      <c r="A40" s="299" t="s">
        <v>2403</v>
      </c>
      <c r="B40" s="254" t="s">
        <v>2404</v>
      </c>
      <c r="C40" s="1726">
        <f>F21</f>
        <v>0.02</v>
      </c>
      <c r="D40" s="280" t="s">
        <v>2405</v>
      </c>
      <c r="E40" s="276"/>
      <c r="F40" s="277"/>
      <c r="G40" s="278" t="s">
        <v>2406</v>
      </c>
    </row>
    <row r="41" spans="1:7" s="258" customFormat="1" ht="13.5" customHeight="1">
      <c r="A41" s="299" t="s">
        <v>2407</v>
      </c>
      <c r="B41" s="254" t="s">
        <v>2408</v>
      </c>
      <c r="C41" s="276">
        <f ca="1">ROUND(SUM(C42:C43),0)</f>
        <v>481</v>
      </c>
      <c r="D41" s="279">
        <f ca="1">C44</f>
        <v>1E-3</v>
      </c>
      <c r="E41" s="280" t="s">
        <v>2405</v>
      </c>
      <c r="F41" s="281"/>
      <c r="G41" s="278" t="str">
        <f>IF('数据-取费表'!B22&lt;=1,"单利计息","复利计息")</f>
        <v>复利计息</v>
      </c>
    </row>
    <row r="42" spans="1:7" ht="13.5" customHeight="1">
      <c r="A42" s="952" t="s">
        <v>791</v>
      </c>
      <c r="B42" s="259" t="s">
        <v>2409</v>
      </c>
      <c r="C42" s="282">
        <f ca="1">ROUND(IF('数据-取费表'!B22&lt;=1,C33*F22*'数据-取费表'!B21/2,C33*(POWER((1+F22),'数据-取费表'!B21/2)-1)),0)</f>
        <v>472</v>
      </c>
      <c r="D42" s="282"/>
      <c r="E42" s="282"/>
      <c r="F42" s="283"/>
      <c r="G42" s="3222" t="s">
        <v>2410</v>
      </c>
    </row>
    <row r="43" spans="1:7" ht="13.5" customHeight="1">
      <c r="A43" s="952" t="s">
        <v>792</v>
      </c>
      <c r="B43" s="259" t="s">
        <v>2411</v>
      </c>
      <c r="C43" s="282">
        <f ca="1">ROUND(IF('数据-取费表'!B22&lt;=1,C39*F22*'数据-取费表'!B21/2,C39*(POWER((1+F22),'数据-取费表'!B21/2)-1)),0)</f>
        <v>9</v>
      </c>
      <c r="D43" s="282"/>
      <c r="E43" s="282"/>
      <c r="F43" s="283"/>
      <c r="G43" s="3223"/>
    </row>
    <row r="44" spans="1:7" ht="13.5" customHeight="1">
      <c r="A44" s="952" t="s">
        <v>793</v>
      </c>
      <c r="B44" s="259" t="s">
        <v>2412</v>
      </c>
      <c r="C44" s="282">
        <f ca="1">ROUND(IF('数据-取费表'!B22&lt;=1,C40*F22*'数据-取费表'!B21/2,C40*(POWER((1+F22),'数据-取费表'!B21/2)-1)),4)</f>
        <v>1E-3</v>
      </c>
      <c r="D44" s="282"/>
      <c r="E44" s="282"/>
      <c r="F44" s="283"/>
      <c r="G44" s="3224"/>
    </row>
    <row r="45" spans="1:7" s="258" customFormat="1" ht="13.5" customHeight="1">
      <c r="A45" s="299" t="s">
        <v>2413</v>
      </c>
      <c r="B45" s="288" t="s">
        <v>2379</v>
      </c>
      <c r="C45" s="289">
        <f ca="1">C46</f>
        <v>2028</v>
      </c>
      <c r="D45" s="279">
        <f ca="1">C47</f>
        <v>4.0000000000000001E-3</v>
      </c>
      <c r="E45" s="280" t="s">
        <v>2405</v>
      </c>
      <c r="F45" s="290"/>
      <c r="G45" s="291" t="s">
        <v>2414</v>
      </c>
    </row>
    <row r="46" spans="1:7" s="258" customFormat="1" ht="13.5" customHeight="1">
      <c r="A46" s="952" t="s">
        <v>791</v>
      </c>
      <c r="B46" s="292" t="s">
        <v>2415</v>
      </c>
      <c r="C46" s="293">
        <f ca="1">ROUND((C33+C39)*F27,0)</f>
        <v>2028</v>
      </c>
      <c r="D46" s="307"/>
      <c r="E46" s="280"/>
      <c r="F46" s="290"/>
      <c r="G46" s="291"/>
    </row>
    <row r="47" spans="1:7" s="258" customFormat="1" ht="13.5" customHeight="1">
      <c r="A47" s="952" t="s">
        <v>792</v>
      </c>
      <c r="B47" s="292" t="s">
        <v>2416</v>
      </c>
      <c r="C47" s="282">
        <f ca="1">ROUND(C40*F27,4)</f>
        <v>4.0000000000000001E-3</v>
      </c>
      <c r="D47" s="307"/>
      <c r="E47" s="280"/>
      <c r="F47" s="290"/>
      <c r="G47" s="291"/>
    </row>
    <row r="48" spans="1:7" s="258" customFormat="1" ht="13.5" customHeight="1">
      <c r="A48" s="299" t="s">
        <v>2378</v>
      </c>
      <c r="B48" s="254" t="s">
        <v>2417</v>
      </c>
      <c r="C48" s="1726">
        <f>ROUND(F30/(1+'数据-取费表'!C42),4)</f>
        <v>5.2400000000000002E-2</v>
      </c>
      <c r="D48" s="280" t="s">
        <v>2405</v>
      </c>
      <c r="E48" s="276"/>
      <c r="F48" s="281"/>
      <c r="G48" s="278" t="s">
        <v>2418</v>
      </c>
    </row>
    <row r="49" spans="1:7" ht="16.5" customHeight="1">
      <c r="A49" s="299" t="s">
        <v>2384</v>
      </c>
      <c r="B49" s="254" t="s">
        <v>2419</v>
      </c>
      <c r="C49" s="276">
        <f ca="1">ROUND((C33+C39+C41+C45)/(1-C40-D41-D45-C48),0)</f>
        <v>13712</v>
      </c>
      <c r="D49" s="276"/>
      <c r="E49" s="276"/>
      <c r="F49" s="308"/>
      <c r="G49" s="278" t="s">
        <v>2420</v>
      </c>
    </row>
    <row r="50" spans="1:7" s="302" customFormat="1" ht="24">
      <c r="A50" s="299" t="s">
        <v>2421</v>
      </c>
      <c r="B50" s="254" t="s">
        <v>2422</v>
      </c>
      <c r="C50" s="276"/>
      <c r="D50" s="276"/>
      <c r="E50" s="276"/>
      <c r="F50" s="308">
        <f>IF('数据-取费表'!B24=0,'数据-取费表'!N16,1)</f>
        <v>1</v>
      </c>
      <c r="G50" s="291" t="s">
        <v>2423</v>
      </c>
    </row>
    <row r="51" spans="1:7" ht="16.5" customHeight="1">
      <c r="A51" s="299" t="s">
        <v>2424</v>
      </c>
      <c r="B51" s="254" t="s">
        <v>2425</v>
      </c>
      <c r="C51" s="276">
        <f ca="1">ROUND(C49*F50,0)</f>
        <v>13712</v>
      </c>
      <c r="D51" s="276"/>
      <c r="E51" s="276"/>
      <c r="F51" s="308"/>
      <c r="G51" s="278" t="s">
        <v>2426</v>
      </c>
    </row>
    <row r="52" spans="1:7" s="252" customFormat="1" ht="16.5" thickBot="1">
      <c r="A52" s="309" t="s">
        <v>2427</v>
      </c>
      <c r="B52" s="310"/>
      <c r="C52" s="311">
        <f ca="1">C31+C51</f>
        <v>14578</v>
      </c>
      <c r="D52" s="310"/>
      <c r="E52" s="310"/>
      <c r="F52" s="310"/>
      <c r="G52" s="312"/>
    </row>
    <row r="55" spans="1:7" ht="15">
      <c r="B55" s="314" t="s">
        <v>2428</v>
      </c>
      <c r="C55" s="315"/>
    </row>
    <row r="56" spans="1:7">
      <c r="B56" s="317" t="s">
        <v>1509</v>
      </c>
      <c r="C56" s="319">
        <f ca="1">1-C57</f>
        <v>5.9000000000000052E-2</v>
      </c>
    </row>
    <row r="57" spans="1:7">
      <c r="B57" s="317" t="s">
        <v>1510</v>
      </c>
      <c r="C57" s="318">
        <f ca="1">ROUND(C51/C52,3)</f>
        <v>0.94099999999999995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90" zoomScaleNormal="90" zoomScaleSheetLayoutView="96" workbookViewId="0">
      <selection activeCell="K32" sqref="K32"/>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3" customWidth="1"/>
    <col min="33" max="36" width="9.375" style="2796" customWidth="1"/>
    <col min="37" max="38" width="9.375" style="2720" customWidth="1"/>
    <col min="39" max="16384" width="12" style="2720"/>
  </cols>
  <sheetData>
    <row r="1" spans="1:36" ht="28.5">
      <c r="A1" s="240" t="s">
        <v>2805</v>
      </c>
      <c r="B1" s="241"/>
      <c r="C1" s="245" t="s">
        <v>2806</v>
      </c>
      <c r="D1" s="388">
        <f>SUM(D29:D30,D33:D39)</f>
        <v>31807.97</v>
      </c>
      <c r="E1" s="2717"/>
      <c r="F1" s="2717"/>
      <c r="G1" s="2717"/>
      <c r="H1" s="2717"/>
      <c r="I1" s="2717"/>
      <c r="J1" s="2717"/>
      <c r="K1" s="1371"/>
      <c r="L1" s="2718" t="s">
        <v>2807</v>
      </c>
      <c r="M1" s="1081">
        <f>SUMPRODUCT((区片价!B5:B9=I2)*(区片价!C3:F3=E2)*(区片价!C5:F9))</f>
        <v>0</v>
      </c>
      <c r="N1" s="1084">
        <f>SUMPRODUCT((因素修正幅度!B5:B9=I2)*(因素修正幅度!C3:F3=E2)*(因素修正幅度!C5:F9))</f>
        <v>0</v>
      </c>
      <c r="O1" s="2719"/>
      <c r="P1" s="2719"/>
      <c r="Q1" s="1371"/>
      <c r="R1" s="1603" t="s">
        <v>2808</v>
      </c>
      <c r="S1" s="1603" t="s">
        <v>2809</v>
      </c>
      <c r="T1" s="1603" t="s">
        <v>2810</v>
      </c>
      <c r="U1" s="1603" t="s">
        <v>2811</v>
      </c>
      <c r="V1" s="1603" t="s">
        <v>2812</v>
      </c>
      <c r="W1" s="1607"/>
      <c r="X1" s="1607"/>
      <c r="Y1" s="1607"/>
      <c r="Z1" s="1607"/>
      <c r="AA1" s="1607"/>
      <c r="AB1" s="1607"/>
      <c r="AC1" s="1608"/>
      <c r="AD1" s="1609"/>
      <c r="AE1" s="1609"/>
      <c r="AF1" s="1609"/>
      <c r="AG1" s="1609"/>
      <c r="AH1" s="1609"/>
      <c r="AI1" s="1609"/>
      <c r="AJ1" s="1610"/>
    </row>
    <row r="2" spans="1:36" ht="15.75">
      <c r="A2" s="245" t="s">
        <v>2813</v>
      </c>
      <c r="B2" s="248">
        <f ca="1">C26</f>
        <v>0</v>
      </c>
      <c r="C2" s="2721" t="s">
        <v>2814</v>
      </c>
      <c r="D2" s="2722" t="s">
        <v>2815</v>
      </c>
      <c r="E2" s="2723" t="s">
        <v>27</v>
      </c>
      <c r="F2" s="2722" t="s">
        <v>2816</v>
      </c>
      <c r="G2" s="2724" t="str">
        <f>IF(E2="商业",项目基本情况!B37,IF(E2="办公",项目基本情况!C37,IF(E2="住宅",项目基本情况!D37,项目基本情况!E37)))</f>
        <v>八级</v>
      </c>
      <c r="H2" s="2722" t="s">
        <v>2817</v>
      </c>
      <c r="I2" s="2724" t="str">
        <f>IF(E2="商业",项目基本情况!B38,IF(E2="办公",项目基本情况!C38,IF(E2="住宅",项目基本情况!D38,项目基本情况!E38)))</f>
        <v>Ⅷ-昌2</v>
      </c>
      <c r="J2" s="2725"/>
      <c r="K2" s="1371"/>
      <c r="L2" s="2726" t="s">
        <v>2818</v>
      </c>
      <c r="M2" s="1082">
        <f>SUMPRODUCT((区片价!B10:B28=I2)*(区片价!C3:F3=E2)*(区片价!C10:F28))</f>
        <v>0</v>
      </c>
      <c r="N2" s="1084">
        <f>SUMPRODUCT((因素修正幅度!B10:B28=I2)*(因素修正幅度!C3:F3=E2)*(因素修正幅度!C10:F28))</f>
        <v>0</v>
      </c>
      <c r="O2" s="1371"/>
      <c r="P2" s="1371"/>
      <c r="Q2" s="1371"/>
      <c r="R2" s="1603">
        <v>1</v>
      </c>
      <c r="S2" s="1603">
        <f>ROUND(IF(G3&gt;1,IF(R2&lt;7,SUMPRODUCT((B93:B98=R2)*(C92:N92=G2)*(C93:N98)),SUMIF(C92:N92,G2,C100:N100)),IF(R2&lt;7,SUMPRODUCT((B102:B107=R2)*(C92:N92=G2)*(C102:N107)),SUMIF(C92:N92,G2,C109:N109))),4)</f>
        <v>1.9419999999999999</v>
      </c>
      <c r="T2" s="1603">
        <f ca="1">ROUND($C$5*$C$18*$C$19*$C$20*S2*$C$24,0)</f>
        <v>0</v>
      </c>
      <c r="U2" s="1604"/>
      <c r="V2" s="1603">
        <f ca="1">ROUND(T2*U2/10000,0)</f>
        <v>0</v>
      </c>
      <c r="W2" s="1607"/>
      <c r="X2" s="1607"/>
      <c r="Y2" s="1607"/>
      <c r="Z2" s="1607"/>
      <c r="AA2" s="1607"/>
      <c r="AB2" s="1607"/>
      <c r="AC2" s="1608"/>
      <c r="AD2" s="1609"/>
      <c r="AE2" s="1609"/>
      <c r="AF2" s="1609"/>
      <c r="AG2" s="1609"/>
      <c r="AH2" s="1609"/>
      <c r="AI2" s="1609"/>
      <c r="AJ2" s="1610"/>
    </row>
    <row r="3" spans="1:36" ht="25.5">
      <c r="A3" s="247" t="s">
        <v>2819</v>
      </c>
      <c r="B3" s="248">
        <f ca="1">ROUND(B2*10000/D1,0)</f>
        <v>0</v>
      </c>
      <c r="C3" s="2721" t="s">
        <v>2820</v>
      </c>
      <c r="D3" s="2722" t="s">
        <v>2821</v>
      </c>
      <c r="E3" s="2727" t="s">
        <v>3077</v>
      </c>
      <c r="F3" s="2728" t="s">
        <v>3079</v>
      </c>
      <c r="G3" s="914">
        <f>IF(F3="宗地容积率",'数据-汇总表'!I4,IF(F3="估价对象容积率",'数据-汇总表'!I6,'数据-汇总表'!I7))</f>
        <v>3.08</v>
      </c>
      <c r="H3" s="198" t="s">
        <v>2822</v>
      </c>
      <c r="I3" s="945"/>
      <c r="J3" s="2725" t="s">
        <v>2823</v>
      </c>
      <c r="K3" s="1371"/>
      <c r="L3" s="2726" t="s">
        <v>2824</v>
      </c>
      <c r="M3" s="1082">
        <f>SUMPRODUCT((区片价!B29:B48=I2)*(区片价!C3:F3=E2)*(区片价!C29:F48))</f>
        <v>0</v>
      </c>
      <c r="N3" s="1084">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1.2799</v>
      </c>
      <c r="T3" s="1603">
        <f t="shared" ref="T3:T16" ca="1" si="0">ROUND($C$5*$C$18*$C$19*$C$20*S3*$C$24,0)</f>
        <v>0</v>
      </c>
      <c r="U3" s="1604"/>
      <c r="V3" s="1603">
        <f t="shared" ref="V3:V16" ca="1" si="1">ROUND(T3*U3/10000,0)</f>
        <v>0</v>
      </c>
      <c r="W3" s="1607"/>
      <c r="X3" s="1607"/>
      <c r="Y3" s="1607"/>
      <c r="Z3" s="1607"/>
      <c r="AA3" s="1607"/>
      <c r="AB3" s="1607"/>
      <c r="AC3" s="1608"/>
      <c r="AD3" s="1609"/>
      <c r="AE3" s="1609"/>
      <c r="AF3" s="1609"/>
      <c r="AG3" s="1609"/>
      <c r="AH3" s="1609"/>
      <c r="AI3" s="1609"/>
      <c r="AJ3" s="1610"/>
    </row>
    <row r="4" spans="1:36" ht="15.75">
      <c r="A4" s="3340"/>
      <c r="B4" s="3341"/>
      <c r="C4" s="3341"/>
      <c r="D4" s="3342"/>
      <c r="E4" s="3342"/>
      <c r="F4" s="3342"/>
      <c r="G4" s="3342"/>
      <c r="H4" s="3342"/>
      <c r="I4" s="3342"/>
      <c r="J4" s="3343"/>
      <c r="K4" s="1371"/>
      <c r="L4" s="2726" t="s">
        <v>2825</v>
      </c>
      <c r="M4" s="1082">
        <f>SUMPRODUCT((区片价!B49:B75=I2)*(区片价!C3:F3=E2)*(区片价!C49:F75))</f>
        <v>0</v>
      </c>
      <c r="N4" s="1084">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1.0072000000000001</v>
      </c>
      <c r="T4" s="1603">
        <f t="shared" ca="1" si="0"/>
        <v>0</v>
      </c>
      <c r="U4" s="1604"/>
      <c r="V4" s="1603">
        <f t="shared" ca="1" si="1"/>
        <v>0</v>
      </c>
      <c r="W4" s="1607"/>
      <c r="X4" s="1607"/>
      <c r="Y4" s="1607"/>
      <c r="Z4" s="1607"/>
      <c r="AA4" s="1607"/>
      <c r="AB4" s="1607"/>
      <c r="AC4" s="1608"/>
      <c r="AD4" s="1609"/>
      <c r="AE4" s="1609"/>
      <c r="AF4" s="1609"/>
      <c r="AG4" s="1609"/>
      <c r="AH4" s="1609"/>
      <c r="AI4" s="1609"/>
      <c r="AJ4" s="1610"/>
    </row>
    <row r="5" spans="1:36" s="2738" customFormat="1" ht="15.75" thickBot="1">
      <c r="A5" s="2729" t="s">
        <v>807</v>
      </c>
      <c r="B5" s="2730" t="s">
        <v>2826</v>
      </c>
      <c r="C5" s="915">
        <f>ROUND(IF(E2="商业",IF(F16="增加",C6*C7+C16,C6*C7-C16),IF(E2="住宅",IF(F16="增加",C6*C12+C16,C6*C12-C16),IF(F16="增加",C6+C16,C6-C16))),0)</f>
        <v>5455</v>
      </c>
      <c r="D5" s="1785">
        <f>ROUND(IF(F16="增加",C6+C16,C6-C16),0)</f>
        <v>5455</v>
      </c>
      <c r="E5" s="1785"/>
      <c r="F5" s="2731"/>
      <c r="G5" s="2732"/>
      <c r="H5" s="2732"/>
      <c r="I5" s="2732"/>
      <c r="J5" s="2733"/>
      <c r="K5" s="2734"/>
      <c r="L5" s="2726" t="s">
        <v>2827</v>
      </c>
      <c r="M5" s="1082">
        <f>SUMPRODUCT((区片价!B76:B109=I2)*(区片价!C3:F3=E2)*(区片价!C76:F109))</f>
        <v>0</v>
      </c>
      <c r="N5" s="1084">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0.75249999999999995</v>
      </c>
      <c r="T5" s="1603">
        <f t="shared" ca="1" si="0"/>
        <v>0</v>
      </c>
      <c r="U5" s="1604"/>
      <c r="V5" s="1603">
        <f t="shared" ca="1" si="1"/>
        <v>0</v>
      </c>
      <c r="W5" s="1607"/>
      <c r="X5" s="1607"/>
      <c r="Y5" s="1607"/>
      <c r="Z5" s="1607"/>
      <c r="AA5" s="1607"/>
      <c r="AB5" s="1607"/>
      <c r="AC5" s="2735"/>
      <c r="AD5" s="2736"/>
      <c r="AE5" s="2736"/>
      <c r="AF5" s="2736"/>
      <c r="AG5" s="2736"/>
      <c r="AH5" s="2736"/>
      <c r="AI5" s="2736"/>
      <c r="AJ5" s="2737"/>
    </row>
    <row r="6" spans="1:36" ht="15.75" thickBot="1">
      <c r="A6" s="2739" t="s">
        <v>2828</v>
      </c>
      <c r="B6" s="2740" t="s">
        <v>2829</v>
      </c>
      <c r="C6" s="916">
        <f>SUMIF(L1:L12,G2,M1:M12)</f>
        <v>5420</v>
      </c>
      <c r="D6" s="2741" t="s">
        <v>2830</v>
      </c>
      <c r="E6" s="2742"/>
      <c r="F6" s="2742"/>
      <c r="G6" s="2743"/>
      <c r="H6" s="2743"/>
      <c r="I6" s="2743"/>
      <c r="J6" s="2744"/>
      <c r="K6" s="1840"/>
      <c r="L6" s="2726" t="s">
        <v>2831</v>
      </c>
      <c r="M6" s="1082">
        <f>SUMPRODUCT((区片价!B110:B157=I2)*(区片价!C3:F3=E2)*(区片价!C110:F157))</f>
        <v>0</v>
      </c>
      <c r="N6" s="1084">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0.56589999999999996</v>
      </c>
      <c r="T6" s="1603">
        <f t="shared" ca="1" si="0"/>
        <v>0</v>
      </c>
      <c r="U6" s="1604"/>
      <c r="V6" s="1603">
        <f t="shared" ca="1" si="1"/>
        <v>0</v>
      </c>
      <c r="W6" s="1607"/>
      <c r="X6" s="1607"/>
      <c r="Y6" s="1607"/>
      <c r="Z6" s="1607"/>
      <c r="AA6" s="1607"/>
      <c r="AB6" s="1607"/>
      <c r="AC6" s="2735"/>
      <c r="AD6" s="2736"/>
      <c r="AE6" s="2736"/>
      <c r="AF6" s="2736"/>
      <c r="AG6" s="2736"/>
      <c r="AH6" s="2736"/>
      <c r="AI6" s="2736"/>
      <c r="AJ6" s="2737"/>
    </row>
    <row r="7" spans="1:36" ht="24">
      <c r="A7" s="3326" t="str">
        <f>IF(E2="商业",IF(C8="不临58条商业街","",2),"")</f>
        <v/>
      </c>
      <c r="B7" s="2745" t="s">
        <v>2832</v>
      </c>
      <c r="C7" s="917">
        <f>IF(C8="不临58条商业街",1,ROUND(1+(1.6*E8+1.2*E9+0.8*E10+0.4*E11)*C9,4))</f>
        <v>1</v>
      </c>
      <c r="D7" s="2746" t="s">
        <v>2833</v>
      </c>
      <c r="E7" s="946"/>
      <c r="F7" s="2747"/>
      <c r="G7" s="2748"/>
      <c r="H7" s="2748"/>
      <c r="I7" s="2748"/>
      <c r="J7" s="2749"/>
      <c r="K7" s="1840"/>
      <c r="L7" s="2726" t="s">
        <v>2834</v>
      </c>
      <c r="M7" s="1082">
        <f>SUMPRODUCT((区片价!B158:B205=I2)*(区片价!C3:F3=E2)*(区片价!C158:F205))</f>
        <v>0</v>
      </c>
      <c r="N7" s="1084">
        <f>SUMPRODUCT((因素修正幅度!B158:B205=I2)*(因素修正幅度!C3:F3=E2)*(因素修正幅度!C158:F205))</f>
        <v>0</v>
      </c>
      <c r="O7" s="1371"/>
      <c r="P7" s="1371"/>
      <c r="Q7" s="1371"/>
      <c r="R7" s="1603">
        <v>6</v>
      </c>
      <c r="S7" s="1603">
        <f>ROUND(IF(G3&gt;1,IF(R7&lt;7,SUMPRODUCT((B93:B98=R7)*(C92:N92=G2)*(C93:N98)),SUMIF(C92:N92,G2,C100:N100)),IF(R7&lt;7,SUMPRODUCT((B102:B107=R7)*(C92:N92=G2)*(C102:N107)),SUMIF(C92:N92,G2,C109:N109))),4)</f>
        <v>0.45250000000000001</v>
      </c>
      <c r="T7" s="1603">
        <f t="shared" ca="1" si="0"/>
        <v>0</v>
      </c>
      <c r="U7" s="1604"/>
      <c r="V7" s="1603">
        <f t="shared" ca="1" si="1"/>
        <v>0</v>
      </c>
      <c r="W7" s="1814" t="s">
        <v>2835</v>
      </c>
      <c r="X7" s="1605" t="str">
        <f>G2</f>
        <v>八级</v>
      </c>
      <c r="Y7" s="1605" t="s">
        <v>2836</v>
      </c>
      <c r="Z7" s="1606">
        <f>G3</f>
        <v>3.08</v>
      </c>
      <c r="AA7" s="1607"/>
      <c r="AB7" s="1607"/>
      <c r="AC7" s="1608"/>
      <c r="AD7" s="1609"/>
      <c r="AE7" s="1609"/>
      <c r="AF7" s="1609"/>
      <c r="AG7" s="1609"/>
      <c r="AH7" s="1609"/>
      <c r="AI7" s="1609"/>
      <c r="AJ7" s="1610"/>
    </row>
    <row r="8" spans="1:36" ht="25.5">
      <c r="A8" s="3327"/>
      <c r="B8" s="198" t="s">
        <v>2837</v>
      </c>
      <c r="C8" s="2750" t="s">
        <v>3078</v>
      </c>
      <c r="D8" s="918" t="s">
        <v>139</v>
      </c>
      <c r="E8" s="919" t="e">
        <f>ROUND(C11/E7,4)</f>
        <v>#DIV/0!</v>
      </c>
      <c r="F8" s="2751" t="s">
        <v>2838</v>
      </c>
      <c r="G8" s="2752"/>
      <c r="H8" s="2752"/>
      <c r="I8" s="2752"/>
      <c r="J8" s="2753"/>
      <c r="K8" s="1371"/>
      <c r="L8" s="2726" t="s">
        <v>2839</v>
      </c>
      <c r="M8" s="1082">
        <f>SUMPRODUCT((区片价!B206:B244=I2)*(区片价!C3:F3=E2)*(区片价!C206:F244))</f>
        <v>5420</v>
      </c>
      <c r="N8" s="1084">
        <f>SUMPRODUCT((因素修正幅度!B206:B244=I2)*(因素修正幅度!C3:F3=E2)*(因素修正幅度!C206:F244))</f>
        <v>0.15</v>
      </c>
      <c r="O8" s="1371"/>
      <c r="P8" s="1371"/>
      <c r="Q8" s="1371"/>
      <c r="R8" s="1603">
        <v>7</v>
      </c>
      <c r="S8" s="1604"/>
      <c r="T8" s="1603">
        <f t="shared" ca="1" si="0"/>
        <v>0</v>
      </c>
      <c r="U8" s="1604"/>
      <c r="V8" s="1603">
        <f t="shared" ca="1" si="1"/>
        <v>0</v>
      </c>
      <c r="W8" s="3337" t="s">
        <v>2840</v>
      </c>
      <c r="X8" s="3338"/>
      <c r="Y8" s="1611" t="s">
        <v>2841</v>
      </c>
      <c r="Z8" s="1611" t="s">
        <v>2842</v>
      </c>
      <c r="AA8" s="1611" t="s">
        <v>2843</v>
      </c>
      <c r="AB8" s="1611" t="s">
        <v>2844</v>
      </c>
      <c r="AC8" s="1611" t="s">
        <v>2845</v>
      </c>
      <c r="AD8" s="1611" t="s">
        <v>2846</v>
      </c>
      <c r="AE8" s="1611" t="s">
        <v>2847</v>
      </c>
      <c r="AF8" s="1611" t="s">
        <v>2848</v>
      </c>
      <c r="AG8" s="1611" t="s">
        <v>2849</v>
      </c>
      <c r="AH8" s="1611" t="s">
        <v>2850</v>
      </c>
      <c r="AI8" s="1611" t="s">
        <v>2851</v>
      </c>
      <c r="AJ8" s="1611" t="s">
        <v>2852</v>
      </c>
    </row>
    <row r="9" spans="1:36" ht="15">
      <c r="A9" s="3327"/>
      <c r="B9" s="198" t="s">
        <v>2853</v>
      </c>
      <c r="C9" s="920">
        <f>SUMIF(修正!C59:C119,C8,修正!E59:E119)</f>
        <v>0</v>
      </c>
      <c r="D9" s="200" t="s">
        <v>140</v>
      </c>
      <c r="E9" s="200" t="e">
        <f>ROUND(C11/E7,4)</f>
        <v>#DIV/0!</v>
      </c>
      <c r="F9" s="2751" t="s">
        <v>2854</v>
      </c>
      <c r="G9" s="2752"/>
      <c r="H9" s="2752"/>
      <c r="I9" s="2752"/>
      <c r="J9" s="2753"/>
      <c r="K9" s="1371"/>
      <c r="L9" s="2726" t="s">
        <v>2855</v>
      </c>
      <c r="M9" s="1082">
        <f>SUMPRODUCT((区片价!B245:B289=I2)*(区片价!C3:F3=E2)*(区片价!C245:F289))</f>
        <v>0</v>
      </c>
      <c r="N9" s="1084">
        <f>SUMPRODUCT((因素修正幅度!B245:B289=I2)*(因素修正幅度!C3:F3=E2)*(因素修正幅度!C245:F289))</f>
        <v>0</v>
      </c>
      <c r="O9" s="1371"/>
      <c r="P9" s="1371"/>
      <c r="Q9" s="1371"/>
      <c r="R9" s="1603">
        <v>8</v>
      </c>
      <c r="S9" s="1604"/>
      <c r="T9" s="1603">
        <f t="shared" ca="1" si="0"/>
        <v>0</v>
      </c>
      <c r="U9" s="1604"/>
      <c r="V9" s="1603">
        <f t="shared" ca="1" si="1"/>
        <v>0</v>
      </c>
      <c r="W9" s="3339" t="s">
        <v>2856</v>
      </c>
      <c r="X9" s="1612" t="s">
        <v>2857</v>
      </c>
      <c r="Y9" s="1770"/>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327"/>
      <c r="B10" s="198" t="s">
        <v>2858</v>
      </c>
      <c r="C10" s="200">
        <f>SUMIF(修正!C59:C119,C8,修正!F59:F119)</f>
        <v>0</v>
      </c>
      <c r="D10" s="200" t="s">
        <v>141</v>
      </c>
      <c r="E10" s="200" t="e">
        <f>ROUND(C11/E7,4)</f>
        <v>#DIV/0!</v>
      </c>
      <c r="F10" s="2751" t="s">
        <v>2859</v>
      </c>
      <c r="G10" s="2752"/>
      <c r="H10" s="2752"/>
      <c r="I10" s="2752"/>
      <c r="J10" s="2753"/>
      <c r="K10" s="1371"/>
      <c r="L10" s="2726" t="s">
        <v>2860</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f t="shared" ca="1" si="0"/>
        <v>0</v>
      </c>
      <c r="U10" s="1604"/>
      <c r="V10" s="1603">
        <f t="shared" ca="1" si="1"/>
        <v>0</v>
      </c>
      <c r="W10" s="3339"/>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327"/>
      <c r="B11" s="2754" t="s">
        <v>2861</v>
      </c>
      <c r="C11" s="921">
        <f>C10/4</f>
        <v>0</v>
      </c>
      <c r="D11" s="921" t="s">
        <v>142</v>
      </c>
      <c r="E11" s="921" t="e">
        <f>ROUND(C11/E7,4)</f>
        <v>#DIV/0!</v>
      </c>
      <c r="F11" s="2755" t="s">
        <v>2862</v>
      </c>
      <c r="G11" s="2756"/>
      <c r="H11" s="2756"/>
      <c r="I11" s="2756"/>
      <c r="J11" s="2757"/>
      <c r="K11" s="1371"/>
      <c r="L11" s="2726" t="s">
        <v>2863</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f t="shared" ca="1" si="0"/>
        <v>0</v>
      </c>
      <c r="U11" s="1604"/>
      <c r="V11" s="1603">
        <f t="shared" ca="1" si="1"/>
        <v>0</v>
      </c>
      <c r="W11" s="3339" t="s">
        <v>2864</v>
      </c>
      <c r="X11" s="1615" t="s">
        <v>2865</v>
      </c>
      <c r="Y11" s="1616">
        <f>$G$3</f>
        <v>3.08</v>
      </c>
      <c r="Z11" s="1616">
        <f t="shared" ref="Z11:AJ11" si="3">$G$3</f>
        <v>3.08</v>
      </c>
      <c r="AA11" s="1616">
        <f t="shared" si="3"/>
        <v>3.08</v>
      </c>
      <c r="AB11" s="1616">
        <f t="shared" si="3"/>
        <v>3.08</v>
      </c>
      <c r="AC11" s="1616">
        <f t="shared" si="3"/>
        <v>3.08</v>
      </c>
      <c r="AD11" s="1616">
        <f t="shared" si="3"/>
        <v>3.08</v>
      </c>
      <c r="AE11" s="1616">
        <f t="shared" si="3"/>
        <v>3.08</v>
      </c>
      <c r="AF11" s="1616">
        <f t="shared" si="3"/>
        <v>3.08</v>
      </c>
      <c r="AG11" s="1616">
        <f t="shared" si="3"/>
        <v>3.08</v>
      </c>
      <c r="AH11" s="1616">
        <f t="shared" si="3"/>
        <v>3.08</v>
      </c>
      <c r="AI11" s="1616">
        <f t="shared" si="3"/>
        <v>3.08</v>
      </c>
      <c r="AJ11" s="1616">
        <f t="shared" si="3"/>
        <v>3.08</v>
      </c>
    </row>
    <row r="12" spans="1:36" ht="25.5" thickBot="1">
      <c r="A12" s="3326" t="s">
        <v>2866</v>
      </c>
      <c r="B12" s="2758" t="s">
        <v>2867</v>
      </c>
      <c r="C12" s="917">
        <f>ROUND(C15*D15*E15*F15*G15*H15*I15*J15,4)</f>
        <v>1</v>
      </c>
      <c r="D12" s="2759" t="s">
        <v>2868</v>
      </c>
      <c r="E12" s="2760"/>
      <c r="F12" s="2760"/>
      <c r="G12" s="2761"/>
      <c r="H12" s="2761"/>
      <c r="I12" s="2761"/>
      <c r="J12" s="2762"/>
      <c r="K12" s="1371"/>
      <c r="L12" s="2763" t="s">
        <v>2869</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f t="shared" ca="1" si="0"/>
        <v>0</v>
      </c>
      <c r="U12" s="1604"/>
      <c r="V12" s="1603">
        <f t="shared" ca="1" si="1"/>
        <v>0</v>
      </c>
      <c r="W12" s="3339"/>
      <c r="X12" s="1617" t="s">
        <v>2870</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344"/>
      <c r="B13" s="2764" t="s">
        <v>2871</v>
      </c>
      <c r="C13" s="2765" t="s">
        <v>2872</v>
      </c>
      <c r="D13" s="1806" t="s">
        <v>2873</v>
      </c>
      <c r="E13" s="1806" t="s">
        <v>2874</v>
      </c>
      <c r="F13" s="30" t="s">
        <v>2875</v>
      </c>
      <c r="G13" s="2766" t="s">
        <v>2876</v>
      </c>
      <c r="H13" s="2766" t="s">
        <v>2876</v>
      </c>
      <c r="I13" s="2766" t="s">
        <v>2876</v>
      </c>
      <c r="J13" s="2767" t="s">
        <v>2876</v>
      </c>
      <c r="K13" s="1371"/>
      <c r="L13" s="1371"/>
      <c r="M13" s="1371"/>
      <c r="N13" s="1371"/>
      <c r="O13" s="1371"/>
      <c r="P13" s="1371"/>
      <c r="Q13" s="1371"/>
      <c r="R13" s="1603">
        <v>12</v>
      </c>
      <c r="S13" s="1604"/>
      <c r="T13" s="1603">
        <f t="shared" ca="1" si="0"/>
        <v>0</v>
      </c>
      <c r="U13" s="1604"/>
      <c r="V13" s="1603">
        <f t="shared" ca="1" si="1"/>
        <v>0</v>
      </c>
      <c r="W13" s="3339"/>
      <c r="X13" s="1617"/>
      <c r="Y13" s="1614">
        <f>(-0.163*(Y12^2)-0.59*Y12+7617)*(10^(-4))/Y11</f>
        <v>0.24730519480519481</v>
      </c>
      <c r="Z13" s="1614">
        <f t="shared" ref="Z13:AJ13" si="5">(-0.163*(Z12^2)-0.59*Z12+7617)*(10^(-4))/Z11</f>
        <v>0.24730519480519481</v>
      </c>
      <c r="AA13" s="1614">
        <f t="shared" si="5"/>
        <v>0.24730519480519481</v>
      </c>
      <c r="AB13" s="1614">
        <f t="shared" si="5"/>
        <v>0.24730519480519481</v>
      </c>
      <c r="AC13" s="1614">
        <f t="shared" si="5"/>
        <v>0.24730519480519481</v>
      </c>
      <c r="AD13" s="1614">
        <f t="shared" si="5"/>
        <v>0.24730519480519481</v>
      </c>
      <c r="AE13" s="1614">
        <f t="shared" si="5"/>
        <v>0.24730519480519481</v>
      </c>
      <c r="AF13" s="1614">
        <f t="shared" si="5"/>
        <v>0.24730519480519481</v>
      </c>
      <c r="AG13" s="1614">
        <f t="shared" si="5"/>
        <v>0.24730519480519481</v>
      </c>
      <c r="AH13" s="1614">
        <f t="shared" si="5"/>
        <v>0.24730519480519481</v>
      </c>
      <c r="AI13" s="1614">
        <f t="shared" si="5"/>
        <v>0.24730519480519481</v>
      </c>
      <c r="AJ13" s="1614">
        <f t="shared" si="5"/>
        <v>0.24730519480519481</v>
      </c>
    </row>
    <row r="14" spans="1:36" ht="15">
      <c r="A14" s="3344"/>
      <c r="B14" s="2768"/>
      <c r="C14" s="2769" t="s">
        <v>3080</v>
      </c>
      <c r="D14" s="2770" t="s">
        <v>3080</v>
      </c>
      <c r="E14" s="2770" t="s">
        <v>3080</v>
      </c>
      <c r="F14" s="2771" t="s">
        <v>3081</v>
      </c>
      <c r="G14" s="2772" t="s">
        <v>2877</v>
      </c>
      <c r="H14" s="2773"/>
      <c r="I14" s="2774"/>
      <c r="J14" s="2775"/>
      <c r="K14" s="1371"/>
      <c r="L14" s="1371"/>
      <c r="M14" s="1371"/>
      <c r="N14" s="1371"/>
      <c r="O14" s="1371"/>
      <c r="P14" s="1371"/>
      <c r="Q14" s="1371"/>
      <c r="R14" s="1603">
        <v>13</v>
      </c>
      <c r="S14" s="1604"/>
      <c r="T14" s="1603">
        <f t="shared" ca="1" si="0"/>
        <v>0</v>
      </c>
      <c r="U14" s="1604"/>
      <c r="V14" s="1603">
        <f t="shared" ca="1" si="1"/>
        <v>0</v>
      </c>
      <c r="W14" s="1607"/>
      <c r="X14" s="1607"/>
      <c r="Y14" s="1607"/>
      <c r="Z14" s="1607"/>
      <c r="AA14" s="1607"/>
      <c r="AB14" s="1607"/>
      <c r="AC14" s="1608"/>
      <c r="AD14" s="1609"/>
      <c r="AE14" s="1609"/>
      <c r="AF14" s="1609"/>
      <c r="AG14" s="1609"/>
      <c r="AH14" s="1609"/>
      <c r="AI14" s="1609"/>
      <c r="AJ14" s="1610"/>
    </row>
    <row r="15" spans="1:36" ht="15.75" thickBot="1">
      <c r="A15" s="3345"/>
      <c r="B15" s="2776" t="s">
        <v>2878</v>
      </c>
      <c r="C15" s="229">
        <f>IF(C14="有",1.1,1)</f>
        <v>1</v>
      </c>
      <c r="D15" s="229">
        <f>IF(D14="有",1.1,1)</f>
        <v>1</v>
      </c>
      <c r="E15" s="229">
        <f>IF(E14="有",1.1,1)</f>
        <v>1</v>
      </c>
      <c r="F15" s="229">
        <f>IF(F14="500米范围内",1.2,IF(F14="500-1000米",1.1,1))</f>
        <v>1</v>
      </c>
      <c r="G15" s="947">
        <v>1</v>
      </c>
      <c r="H15" s="947">
        <v>1</v>
      </c>
      <c r="I15" s="947">
        <v>1</v>
      </c>
      <c r="J15" s="948">
        <v>1</v>
      </c>
      <c r="K15" s="1371"/>
      <c r="L15" s="2777" t="s">
        <v>2815</v>
      </c>
      <c r="M15" s="918" t="s">
        <v>2879</v>
      </c>
      <c r="N15" s="918" t="s">
        <v>2880</v>
      </c>
      <c r="O15" s="918" t="s">
        <v>2881</v>
      </c>
      <c r="P15" s="2778" t="s">
        <v>2882</v>
      </c>
      <c r="Q15" s="1371"/>
      <c r="R15" s="1603">
        <v>14</v>
      </c>
      <c r="S15" s="1604"/>
      <c r="T15" s="1603">
        <f t="shared" ca="1" si="0"/>
        <v>0</v>
      </c>
      <c r="U15" s="1604"/>
      <c r="V15" s="1603">
        <f t="shared" ca="1" si="1"/>
        <v>0</v>
      </c>
      <c r="W15" s="1607"/>
      <c r="X15" s="1607"/>
      <c r="Y15" s="1607"/>
      <c r="Z15" s="1607"/>
      <c r="AA15" s="1607"/>
      <c r="AB15" s="1607"/>
      <c r="AC15" s="1608"/>
      <c r="AD15" s="1609"/>
      <c r="AE15" s="1609"/>
      <c r="AF15" s="1609"/>
      <c r="AG15" s="1609"/>
      <c r="AH15" s="1609"/>
      <c r="AI15" s="1609"/>
      <c r="AJ15" s="1610"/>
    </row>
    <row r="16" spans="1:36" ht="24">
      <c r="A16" s="3326" t="s">
        <v>2883</v>
      </c>
      <c r="B16" s="2745" t="s">
        <v>2884</v>
      </c>
      <c r="C16" s="1799">
        <f>ROUND(SUM(G17:J17)/C17,0)</f>
        <v>35</v>
      </c>
      <c r="D16" s="2779" t="s">
        <v>2885</v>
      </c>
      <c r="E16" s="2780" t="s">
        <v>3082</v>
      </c>
      <c r="F16" s="2781" t="s">
        <v>3090</v>
      </c>
      <c r="G16" s="2782" t="s">
        <v>3088</v>
      </c>
      <c r="H16" s="2782" t="s">
        <v>3089</v>
      </c>
      <c r="I16" s="2782"/>
      <c r="J16" s="2783"/>
      <c r="K16" s="1371"/>
      <c r="L16" s="2784" t="s">
        <v>2886</v>
      </c>
      <c r="M16" s="920">
        <v>0.25</v>
      </c>
      <c r="N16" s="920">
        <v>0.2</v>
      </c>
      <c r="O16" s="920">
        <v>0.15</v>
      </c>
      <c r="P16" s="1370">
        <v>0.1</v>
      </c>
      <c r="Q16" s="1371"/>
      <c r="R16" s="1603">
        <v>15</v>
      </c>
      <c r="S16" s="1604"/>
      <c r="T16" s="1603">
        <f t="shared" ca="1" si="0"/>
        <v>0</v>
      </c>
      <c r="U16" s="1604"/>
      <c r="V16" s="1603">
        <f t="shared" ca="1" si="1"/>
        <v>0</v>
      </c>
      <c r="W16" s="1607"/>
      <c r="X16" s="1607"/>
      <c r="Y16" s="1607"/>
      <c r="Z16" s="1607"/>
      <c r="AA16" s="1607"/>
      <c r="AB16" s="1607"/>
      <c r="AC16" s="1608"/>
      <c r="AD16" s="1609"/>
      <c r="AE16" s="1609"/>
      <c r="AF16" s="1609"/>
      <c r="AG16" s="1609"/>
      <c r="AH16" s="1609"/>
      <c r="AI16" s="1609"/>
      <c r="AJ16" s="1610"/>
    </row>
    <row r="17" spans="1:37" ht="13.5" thickBot="1">
      <c r="A17" s="3327"/>
      <c r="B17" s="2785" t="s">
        <v>2887</v>
      </c>
      <c r="C17" s="922">
        <f>SUMPRODUCT((修正!A2:A5=E2)*(修正!B1:M1=G2)*(修正!B2:M5))</f>
        <v>2</v>
      </c>
      <c r="D17" s="2786" t="s">
        <v>2888</v>
      </c>
      <c r="E17" s="921" t="str">
        <f>IF(OR(G2="八级",G2="九级",G2="十级",G2="十一级",G2="十二级"),"五通一平","七通一平")</f>
        <v>五通一平</v>
      </c>
      <c r="F17" s="922" t="s">
        <v>2889</v>
      </c>
      <c r="G17" s="922">
        <f>SUMPRODUCT((七通一平=G16)*(修正!B1:M1=G2)*(修正!B6:M14))</f>
        <v>40</v>
      </c>
      <c r="H17" s="922">
        <f>SUMPRODUCT((七通一平=H16)*(修正!B1:M1=G2)*(修正!B6:M14))</f>
        <v>30</v>
      </c>
      <c r="I17" s="922">
        <f>SUMPRODUCT((七通一平=I16)*(修正!B1:M1=G2)*(修正!B6:M14))</f>
        <v>0</v>
      </c>
      <c r="J17" s="923">
        <f>SUMPRODUCT((七通一平=J16)*(修正!B1:M1=G2)*(修正!B6:M14))</f>
        <v>0</v>
      </c>
      <c r="K17" s="1371"/>
      <c r="L17" s="2787" t="s">
        <v>2890</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88"/>
      <c r="AF17" s="2788"/>
      <c r="AG17" s="2720"/>
      <c r="AH17" s="2720"/>
      <c r="AI17" s="2720"/>
      <c r="AJ17" s="2720"/>
    </row>
    <row r="18" spans="1:37" s="2738" customFormat="1" ht="15.75" thickBot="1">
      <c r="A18" s="2789" t="s">
        <v>808</v>
      </c>
      <c r="B18" s="2790" t="s">
        <v>2891</v>
      </c>
      <c r="C18" s="924">
        <f>SUMIF(修正!C18:C39,E3,修正!E18:E39)</f>
        <v>1</v>
      </c>
      <c r="D18" s="2791"/>
      <c r="E18" s="2792"/>
      <c r="F18" s="2793"/>
      <c r="G18" s="2794"/>
      <c r="H18" s="2794"/>
      <c r="I18" s="2794"/>
      <c r="J18" s="2795"/>
      <c r="K18" s="1378"/>
      <c r="O18" s="1376"/>
      <c r="P18" s="1376"/>
      <c r="Q18" s="1377"/>
      <c r="R18" s="1377"/>
      <c r="S18" s="1377"/>
      <c r="T18" s="1372"/>
      <c r="U18" s="1372"/>
      <c r="V18" s="1372"/>
      <c r="W18" s="1371"/>
      <c r="X18" s="1371"/>
      <c r="Y18" s="1371"/>
      <c r="Z18" s="1378"/>
      <c r="AA18" s="1379"/>
      <c r="AB18" s="1379"/>
      <c r="AC18" s="1379"/>
      <c r="AD18" s="1379"/>
      <c r="AE18" s="1373"/>
      <c r="AF18" s="1373"/>
      <c r="AG18" s="2796"/>
      <c r="AH18" s="2796"/>
      <c r="AI18" s="2796"/>
    </row>
    <row r="19" spans="1:37" s="2738" customFormat="1" ht="29.25" thickBot="1">
      <c r="A19" s="2789" t="s">
        <v>809</v>
      </c>
      <c r="B19" s="2790" t="s">
        <v>2892</v>
      </c>
      <c r="C19" s="925">
        <f>ROUND(IF(H19="按公示增长率计算",SUMPRODUCT((地价!A3:A24=YEAR(G19)&amp;"-"&amp;ROUNDUP(MONTH(G19)/3,0))*(地价!X2:AB2=E2)*(地价!X3:AB24)),IF(H19="地价指数",M20/M19,(1+I19)^O19)),4)</f>
        <v>0</v>
      </c>
      <c r="D19" s="2797" t="s">
        <v>2893</v>
      </c>
      <c r="E19" s="926">
        <v>41640</v>
      </c>
      <c r="F19" s="2797" t="s">
        <v>2894</v>
      </c>
      <c r="G19" s="927">
        <f>'数据-取费表'!B2</f>
        <v>43570</v>
      </c>
      <c r="H19" s="2798" t="s">
        <v>3091</v>
      </c>
      <c r="I19" s="928" t="str">
        <f>IF(H19="季度增幅（自定义）",SUMIF(N21:N24,E2,O21:O24),"")</f>
        <v/>
      </c>
      <c r="J19" s="2795"/>
      <c r="K19" s="1378"/>
      <c r="L19" s="2799" t="s">
        <v>2895</v>
      </c>
      <c r="M19" s="1732">
        <f>ROUND(SUMIF(地价!B2:F2,E2,地价!B24:F24),0)</f>
        <v>258</v>
      </c>
      <c r="N19" s="2800" t="s">
        <v>2896</v>
      </c>
      <c r="O19" s="929">
        <f>ROUNDDOWN(DATEDIF(E19,G19,"M")/3,0)</f>
        <v>21</v>
      </c>
      <c r="P19" s="1375"/>
      <c r="Q19" s="1377"/>
      <c r="R19" s="1377"/>
      <c r="S19" s="1377"/>
      <c r="T19" s="1372"/>
      <c r="U19" s="1372"/>
      <c r="V19" s="1372"/>
      <c r="W19" s="1371"/>
      <c r="X19" s="1371"/>
      <c r="Y19" s="1371"/>
      <c r="Z19" s="1378"/>
      <c r="AA19" s="1379"/>
      <c r="AB19" s="1379"/>
      <c r="AC19" s="1379"/>
      <c r="AD19" s="1379"/>
      <c r="AE19" s="1379"/>
      <c r="AF19" s="2801"/>
      <c r="AG19" s="2802"/>
      <c r="AH19" s="2796"/>
      <c r="AI19" s="2803"/>
      <c r="AJ19" s="2803"/>
      <c r="AK19" s="2803"/>
    </row>
    <row r="20" spans="1:37" s="2738" customFormat="1" ht="27.75" thickBot="1">
      <c r="A20" s="2804" t="s">
        <v>810</v>
      </c>
      <c r="B20" s="2805" t="s">
        <v>2897</v>
      </c>
      <c r="C20" s="930">
        <f ca="1">ROUND(POWER(1+G20,J20-I20)*(POWER(1+G20,I20)-1)/(POWER(1+G20,J20)-1),4)</f>
        <v>0.97330000000000005</v>
      </c>
      <c r="D20" s="2806" t="s">
        <v>2898</v>
      </c>
      <c r="E20" s="1766">
        <f ca="1">存贷款利率!D4/100</f>
        <v>4.3499999999999997E-2</v>
      </c>
      <c r="F20" s="2806" t="s">
        <v>2890</v>
      </c>
      <c r="G20" s="935">
        <f ca="1">SUMIF(M15:P15,E2,M17:P17)</f>
        <v>5.1999999999999998E-2</v>
      </c>
      <c r="H20" s="2806" t="s">
        <v>2899</v>
      </c>
      <c r="I20" s="936">
        <f>SUMIF('数据-取费表'!C6:C15,E2,'数据-取费表'!F6:F15)/COUNTIF('数据-取费表'!C6:C15,E2)</f>
        <v>44.68</v>
      </c>
      <c r="J20" s="937">
        <f>IF(E2="住宅",70,IF(E2="商业",40,50))</f>
        <v>50</v>
      </c>
      <c r="K20" s="1378"/>
      <c r="L20" s="2807" t="s">
        <v>2900</v>
      </c>
      <c r="M20" s="1733">
        <f>ROUND(SUMPRODUCT((地价!A4:A24=YEAR(G19)&amp;"-"&amp;ROUNDUP(MONTH(G19)/3,0))*(地价!B2:F2=E2)*(地价!B4:F24)),0)</f>
        <v>0</v>
      </c>
      <c r="N20" s="2808" t="s">
        <v>2901</v>
      </c>
      <c r="O20" s="2809" t="s">
        <v>2902</v>
      </c>
      <c r="P20" s="2810" t="s">
        <v>2903</v>
      </c>
      <c r="R20" s="1377"/>
      <c r="S20" s="1377"/>
      <c r="T20" s="1372"/>
      <c r="U20" s="1372"/>
      <c r="V20" s="1372"/>
      <c r="W20" s="1371"/>
      <c r="X20" s="1371"/>
      <c r="Y20" s="1371"/>
      <c r="Z20" s="1378"/>
      <c r="AA20" s="1379"/>
      <c r="AB20" s="1379"/>
      <c r="AC20" s="1379"/>
      <c r="AD20" s="1379"/>
      <c r="AE20" s="1379"/>
      <c r="AF20" s="1379"/>
    </row>
    <row r="21" spans="1:37" s="2738" customFormat="1" ht="15">
      <c r="A21" s="2811" t="s">
        <v>811</v>
      </c>
      <c r="B21" s="2812" t="s">
        <v>3092</v>
      </c>
      <c r="C21" s="938">
        <f>IF(B21="容积率修正",IF(G3&lt;=10,D22,J22),C23)</f>
        <v>0.86170000000000002</v>
      </c>
      <c r="D21" s="2813"/>
      <c r="E21" s="2813"/>
      <c r="F21" s="2813"/>
      <c r="G21" s="2813"/>
      <c r="H21" s="2813"/>
      <c r="I21" s="2813"/>
      <c r="J21" s="2814"/>
      <c r="K21" s="1378"/>
      <c r="N21" s="2815" t="s">
        <v>2904</v>
      </c>
      <c r="O21" s="1562"/>
      <c r="P21" s="1563">
        <f>SUMPRODUCT((地价!A3:A24=YEAR(G19)&amp;"-"&amp;ROUNDUP(MONTH(G19)/3,0))*(地价!AD2:AH2=N21)*(地价!AD3:AH24))</f>
        <v>0</v>
      </c>
      <c r="R21" s="1377"/>
      <c r="S21" s="1377"/>
      <c r="T21" s="1372"/>
      <c r="U21" s="1372"/>
      <c r="V21" s="1372"/>
      <c r="W21" s="1371"/>
      <c r="X21" s="1371"/>
      <c r="Y21" s="1371"/>
      <c r="Z21" s="1378"/>
      <c r="AA21" s="1379"/>
      <c r="AB21" s="1379"/>
      <c r="AC21" s="1379"/>
      <c r="AD21" s="1379"/>
      <c r="AE21" s="1379"/>
      <c r="AF21" s="1379"/>
    </row>
    <row r="22" spans="1:37" s="2738" customFormat="1" ht="14.25">
      <c r="A22" s="2665" t="s">
        <v>2905</v>
      </c>
      <c r="B22" s="2816" t="s">
        <v>2906</v>
      </c>
      <c r="C22" s="1808" t="s">
        <v>2907</v>
      </c>
      <c r="D22" s="1808">
        <f>IF(E22=G22,F22,IF(G3&lt;=10,ROUND(F22+(H22-F22)*(G3-E22)/(G22-E22),4),"——"))</f>
        <v>0.86170000000000002</v>
      </c>
      <c r="E22" s="914">
        <f>ROUNDDOWN(G3,1)</f>
        <v>3</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0.86970000000000003</v>
      </c>
      <c r="G22" s="914">
        <f>ROUNDUP(G3,1)</f>
        <v>3.1</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0.85970000000000002</v>
      </c>
      <c r="I22" s="1808" t="s">
        <v>155</v>
      </c>
      <c r="J22" s="939" t="str">
        <f>IF(G3&gt;10,D113,"——")</f>
        <v>——</v>
      </c>
      <c r="K22" s="1378"/>
      <c r="N22" s="2815" t="s">
        <v>2908</v>
      </c>
      <c r="O22" s="1562"/>
      <c r="P22" s="1563">
        <f>SUMPRODUCT((地价!A3:A24=YEAR(G19)&amp;"-"&amp;ROUNDUP(MONTH(G19)/3,0))*(地价!AD2:AH2=N22)*(地价!AD3:AH24))</f>
        <v>0</v>
      </c>
      <c r="R22" s="1377"/>
      <c r="S22" s="1377"/>
      <c r="T22" s="1372"/>
      <c r="U22" s="1372"/>
      <c r="V22" s="1372"/>
      <c r="W22" s="1371"/>
      <c r="X22" s="1371"/>
      <c r="Y22" s="1371"/>
      <c r="Z22" s="1378"/>
      <c r="AA22" s="1379"/>
      <c r="AB22" s="1379"/>
      <c r="AC22" s="1379"/>
      <c r="AD22" s="1379"/>
      <c r="AE22" s="1379"/>
      <c r="AF22" s="1379"/>
    </row>
    <row r="23" spans="1:37" ht="27.75" thickBot="1">
      <c r="A23" s="2665" t="s">
        <v>2909</v>
      </c>
      <c r="B23" s="2817" t="s">
        <v>2910</v>
      </c>
      <c r="C23" s="1014">
        <f>ROUND(IF(G3&gt;1,IF(I3&lt;7,SUMPRODUCT((B93:B98=I3)*(C92:N92=G2)*(C93:N98)),SUMIF(C92:N92,G2,C100:N100)),IF(I3&lt;7,SUMPRODUCT((B102:B107=I3)*(C92:N92=G2)*(C102:N107)),SUMIF(C92:N92,G2,C109:N109))),4)</f>
        <v>0</v>
      </c>
      <c r="D23" s="2773"/>
      <c r="E23" s="2773"/>
      <c r="F23" s="2818"/>
      <c r="G23" s="2819"/>
      <c r="H23" s="2820"/>
      <c r="I23" s="2821"/>
      <c r="J23" s="2822"/>
      <c r="K23" s="1371"/>
      <c r="N23" s="2815" t="s">
        <v>2911</v>
      </c>
      <c r="O23" s="1562"/>
      <c r="P23" s="1563">
        <f>SUMPRODUCT((地价!A3:A24=YEAR(G19)&amp;"-"&amp;ROUNDUP(MONTH(G19)/3,0))*(地价!AD2:AH2=N23)*(地价!AD3:AH24))</f>
        <v>0</v>
      </c>
      <c r="R23" s="1377"/>
      <c r="S23" s="1377"/>
      <c r="T23" s="1372"/>
      <c r="U23" s="1372"/>
      <c r="V23" s="1372"/>
      <c r="W23" s="1371"/>
      <c r="X23" s="1371"/>
      <c r="Y23" s="1371"/>
      <c r="Z23" s="1378"/>
      <c r="AA23" s="1379"/>
      <c r="AB23" s="1379"/>
      <c r="AC23" s="1379"/>
      <c r="AD23" s="1379"/>
      <c r="AK23" s="2796"/>
    </row>
    <row r="24" spans="1:37" s="2738" customFormat="1" ht="15.75" thickBot="1">
      <c r="A24" s="2804" t="s">
        <v>812</v>
      </c>
      <c r="B24" s="2790" t="s">
        <v>2912</v>
      </c>
      <c r="C24" s="925">
        <f>SUMIF(A45:A88,E2,B45:B88)</f>
        <v>1.0875999999999999</v>
      </c>
      <c r="D24" s="2793"/>
      <c r="E24" s="2823"/>
      <c r="F24" s="2823"/>
      <c r="G24" s="2823"/>
      <c r="H24" s="2823"/>
      <c r="I24" s="2823"/>
      <c r="J24" s="2824"/>
      <c r="K24" s="1378"/>
      <c r="N24" s="2825" t="s">
        <v>2913</v>
      </c>
      <c r="O24" s="1564"/>
      <c r="P24" s="1565">
        <f>SUMPRODUCT((地价!A3:A24=YEAR(G19)&amp;"-"&amp;ROUNDUP(MONTH(G19)/3,0))*(地价!AD2:AH2=N24)*(地价!AD3:AH24))</f>
        <v>0</v>
      </c>
      <c r="R24" s="1377"/>
      <c r="S24" s="1377"/>
      <c r="T24" s="1372"/>
      <c r="U24" s="1372"/>
      <c r="V24" s="1372"/>
      <c r="W24" s="1371"/>
      <c r="X24" s="1371"/>
      <c r="Y24" s="1371"/>
      <c r="Z24" s="1378"/>
      <c r="AA24" s="1379"/>
      <c r="AB24" s="1379"/>
      <c r="AC24" s="1379"/>
      <c r="AD24" s="1379"/>
      <c r="AE24" s="1379"/>
      <c r="AF24" s="1379"/>
    </row>
    <row r="25" spans="1:37" ht="15.75" thickBot="1">
      <c r="A25" s="2804" t="s">
        <v>813</v>
      </c>
      <c r="B25" s="2826" t="s">
        <v>2914</v>
      </c>
      <c r="C25" s="931"/>
      <c r="D25" s="2748"/>
      <c r="E25" s="2748"/>
      <c r="F25" s="2827"/>
      <c r="G25" s="2748"/>
      <c r="H25" s="2748"/>
      <c r="I25" s="2748"/>
      <c r="J25" s="2749"/>
      <c r="K25" s="1371"/>
      <c r="N25" s="2828" t="s">
        <v>2915</v>
      </c>
      <c r="O25" s="1566"/>
      <c r="P25" s="1565">
        <f>SUMPRODUCT((地价!A3:A24=YEAR(G19)&amp;"-"&amp;ROUNDUP(MONTH(G19)/3,0))*(地价!AD2:AH2=N25)*(地价!AD3:AH24))</f>
        <v>0</v>
      </c>
      <c r="R25" s="1377"/>
      <c r="S25" s="1377"/>
      <c r="T25" s="1372"/>
      <c r="U25" s="1372"/>
      <c r="V25" s="1372"/>
      <c r="W25" s="1371"/>
      <c r="X25" s="1371"/>
      <c r="Y25" s="1371"/>
      <c r="Z25" s="1378"/>
      <c r="AA25" s="1379"/>
      <c r="AB25" s="1379"/>
      <c r="AC25" s="1379"/>
      <c r="AD25" s="1379"/>
    </row>
    <row r="26" spans="1:37" ht="15">
      <c r="A26" s="2829"/>
      <c r="B26" s="2816" t="s">
        <v>2916</v>
      </c>
      <c r="C26" s="206">
        <f ca="1">E29+SUM(E33:E39)</f>
        <v>0</v>
      </c>
      <c r="D26" s="2830"/>
      <c r="E26" s="2773"/>
      <c r="F26" s="2831"/>
      <c r="G26" s="2773"/>
      <c r="H26" s="2773"/>
      <c r="I26" s="2773"/>
      <c r="J26" s="2832"/>
      <c r="K26" s="1371"/>
      <c r="R26" s="1377"/>
      <c r="S26" s="1377"/>
      <c r="T26" s="1372"/>
      <c r="U26" s="1372"/>
      <c r="V26" s="1372"/>
      <c r="W26" s="1371"/>
      <c r="X26" s="1371"/>
      <c r="Y26" s="1371"/>
      <c r="Z26" s="1378"/>
      <c r="AA26" s="1379"/>
      <c r="AB26" s="1379"/>
      <c r="AC26" s="1379"/>
      <c r="AD26" s="1379"/>
    </row>
    <row r="27" spans="1:37" ht="15.75" thickBot="1">
      <c r="A27" s="2829"/>
      <c r="B27" s="2833" t="s">
        <v>2917</v>
      </c>
      <c r="C27" s="932">
        <f ca="1">E30+SUM(I33:I39)</f>
        <v>0</v>
      </c>
      <c r="D27" s="2834"/>
      <c r="E27" s="2835"/>
      <c r="F27" s="2836"/>
      <c r="G27" s="2835"/>
      <c r="H27" s="2835"/>
      <c r="I27" s="2835"/>
      <c r="J27" s="2837"/>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8"/>
      <c r="B28" s="2839" t="s">
        <v>2918</v>
      </c>
      <c r="C28" s="2840" t="s">
        <v>2919</v>
      </c>
      <c r="D28" s="2840" t="s">
        <v>2920</v>
      </c>
      <c r="E28" s="2841" t="s">
        <v>2921</v>
      </c>
      <c r="F28" s="2842"/>
      <c r="G28" s="2761"/>
      <c r="H28" s="2761"/>
      <c r="I28" s="2761"/>
      <c r="J28" s="2762"/>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3"/>
      <c r="B29" s="2844" t="s">
        <v>2922</v>
      </c>
      <c r="C29" s="206">
        <f ca="1">ROUND(C5*C18*C19*C20*C21*C24,0)</f>
        <v>0</v>
      </c>
      <c r="D29" s="2845">
        <f>'数据-汇总表'!F20</f>
        <v>31807.97</v>
      </c>
      <c r="E29" s="943">
        <f ca="1">ROUND(C29*D29/10000,0)</f>
        <v>0</v>
      </c>
      <c r="F29" s="2846" t="s">
        <v>2923</v>
      </c>
      <c r="G29" s="2847"/>
      <c r="H29" s="2847"/>
      <c r="I29" s="2847"/>
      <c r="J29" s="2848"/>
      <c r="K29" s="1371"/>
      <c r="L29" s="1371"/>
      <c r="M29" s="1371"/>
      <c r="N29" s="1371"/>
      <c r="O29" s="1376"/>
      <c r="P29" s="1376"/>
      <c r="Q29" s="1377"/>
      <c r="R29" s="1377"/>
      <c r="S29" s="1377"/>
      <c r="T29" s="1372"/>
      <c r="U29" s="1372"/>
      <c r="V29" s="1372"/>
      <c r="W29" s="1371"/>
      <c r="X29" s="1371"/>
      <c r="Y29" s="1371"/>
      <c r="Z29" s="1378"/>
      <c r="AA29" s="1379"/>
      <c r="AB29" s="1379"/>
      <c r="AC29" s="1379"/>
      <c r="AD29" s="1379"/>
      <c r="AE29" s="2788"/>
      <c r="AF29" s="2788"/>
      <c r="AG29" s="2720"/>
      <c r="AH29" s="2720"/>
      <c r="AI29" s="2720"/>
      <c r="AJ29" s="2720"/>
    </row>
    <row r="30" spans="1:37" ht="25.5" thickBot="1">
      <c r="A30" s="2849"/>
      <c r="B30" s="2850" t="s">
        <v>2924</v>
      </c>
      <c r="C30" s="229">
        <f ca="1">ROUND(IF(E2="工业",C29*M39,C29*M38),0)</f>
        <v>0</v>
      </c>
      <c r="D30" s="2851"/>
      <c r="E30" s="943">
        <f ca="1">ROUND(C30*D30/10000,0)</f>
        <v>0</v>
      </c>
      <c r="F30" s="2852" t="s">
        <v>2925</v>
      </c>
      <c r="G30" s="2853"/>
      <c r="H30" s="2853"/>
      <c r="I30" s="2853"/>
      <c r="J30" s="2854"/>
      <c r="K30" s="1371"/>
      <c r="L30" s="1371"/>
      <c r="M30" s="1371"/>
      <c r="N30" s="1371"/>
      <c r="O30" s="1376"/>
      <c r="P30" s="1376"/>
      <c r="Q30" s="1377"/>
      <c r="R30" s="1377"/>
      <c r="S30" s="1377"/>
      <c r="T30" s="1372"/>
      <c r="U30" s="1372"/>
      <c r="V30" s="1372"/>
      <c r="W30" s="1371"/>
      <c r="X30" s="1371"/>
      <c r="Y30" s="1371"/>
      <c r="Z30" s="1378"/>
      <c r="AA30" s="1379"/>
      <c r="AB30" s="1379"/>
      <c r="AC30" s="1379"/>
      <c r="AD30" s="1379"/>
      <c r="AE30" s="2788"/>
      <c r="AF30" s="2788"/>
      <c r="AG30" s="2720"/>
      <c r="AH30" s="2720"/>
      <c r="AI30" s="2720"/>
      <c r="AJ30" s="2720"/>
    </row>
    <row r="31" spans="1:37" ht="14.25">
      <c r="A31" s="2855"/>
      <c r="B31" s="2856" t="s">
        <v>2926</v>
      </c>
      <c r="C31" s="2857" t="s">
        <v>2927</v>
      </c>
      <c r="D31" s="2761"/>
      <c r="E31" s="2857"/>
      <c r="F31" s="2857"/>
      <c r="G31" s="2759" t="s">
        <v>2928</v>
      </c>
      <c r="H31" s="2761"/>
      <c r="I31" s="2858"/>
      <c r="J31" s="2762"/>
      <c r="K31" s="1371"/>
      <c r="L31" s="1371"/>
      <c r="M31" s="1371"/>
      <c r="N31" s="1371"/>
      <c r="O31" s="1376"/>
      <c r="P31" s="1376"/>
      <c r="Q31" s="1377"/>
      <c r="R31" s="1377"/>
      <c r="S31" s="1377"/>
      <c r="T31" s="1372"/>
      <c r="U31" s="1372"/>
      <c r="V31" s="1372"/>
      <c r="W31" s="1371"/>
      <c r="X31" s="1371"/>
      <c r="Y31" s="1371"/>
      <c r="Z31" s="1378"/>
      <c r="AA31" s="1379"/>
      <c r="AB31" s="1379"/>
      <c r="AC31" s="1379"/>
      <c r="AD31" s="1379"/>
      <c r="AE31" s="2788"/>
      <c r="AF31" s="2788"/>
      <c r="AG31" s="2720"/>
      <c r="AH31" s="2720"/>
      <c r="AI31" s="2720"/>
      <c r="AJ31" s="2720"/>
    </row>
    <row r="32" spans="1:37" ht="24">
      <c r="A32" s="2843"/>
      <c r="B32" s="2859"/>
      <c r="C32" s="501" t="s">
        <v>2919</v>
      </c>
      <c r="D32" s="498" t="s">
        <v>2920</v>
      </c>
      <c r="E32" s="498" t="s">
        <v>2921</v>
      </c>
      <c r="F32" s="388" t="s">
        <v>2929</v>
      </c>
      <c r="G32" s="2860" t="s">
        <v>2919</v>
      </c>
      <c r="H32" s="2860" t="s">
        <v>2920</v>
      </c>
      <c r="I32" s="2860" t="s">
        <v>2921</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88"/>
      <c r="AF32" s="2788"/>
      <c r="AG32" s="2720"/>
      <c r="AH32" s="2720"/>
      <c r="AI32" s="2720"/>
      <c r="AJ32" s="2720"/>
    </row>
    <row r="33" spans="1:37" ht="36" customHeight="1">
      <c r="A33" s="3334" t="s">
        <v>2930</v>
      </c>
      <c r="B33" s="2861" t="s">
        <v>2931</v>
      </c>
      <c r="C33" s="206">
        <f ca="1">ROUND(D5*C19*C20*C24*F33,0)</f>
        <v>0</v>
      </c>
      <c r="D33" s="2845"/>
      <c r="E33" s="200">
        <f ca="1">ROUND(C33*D33/10000,0)</f>
        <v>0</v>
      </c>
      <c r="F33" s="200">
        <f>SUMIF(修正!A45:A56,G2,修正!B45:B56)</f>
        <v>0.6</v>
      </c>
      <c r="G33" s="200">
        <f t="shared" ref="G33" ca="1" si="6">ROUND(IF(E2="工业",C33*$M$39,C33*$M$38),0)</f>
        <v>0</v>
      </c>
      <c r="H33" s="200">
        <f>D33</f>
        <v>0</v>
      </c>
      <c r="I33" s="200">
        <f ca="1">ROUND(G33*H33/10000,0)</f>
        <v>0</v>
      </c>
      <c r="J33" s="2862"/>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335"/>
      <c r="B34" s="2765" t="s">
        <v>2932</v>
      </c>
      <c r="C34" s="206">
        <f ca="1">ROUND(D5*C19*C20*C24*F34,0)</f>
        <v>0</v>
      </c>
      <c r="D34" s="2845"/>
      <c r="E34" s="200">
        <f t="shared" ref="E34:E39" ca="1" si="7">ROUND(C34*D34/10000,0)</f>
        <v>0</v>
      </c>
      <c r="F34" s="200">
        <f>SUMIF(修正!A45:A56,G2,修正!C45:C56)</f>
        <v>0.3</v>
      </c>
      <c r="G34" s="200">
        <f ca="1">ROUND(IF(E2="工业",C34*$M$39,C34*$M$38),0)</f>
        <v>0</v>
      </c>
      <c r="H34" s="200">
        <f t="shared" ref="H34:H39" si="8">D34</f>
        <v>0</v>
      </c>
      <c r="I34" s="200">
        <f t="shared" ref="I34:I39" ca="1" si="9">ROUND(G34*H34/10000,0)</f>
        <v>0</v>
      </c>
      <c r="J34" s="2862"/>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335"/>
      <c r="B35" s="2765" t="s">
        <v>2933</v>
      </c>
      <c r="C35" s="206">
        <f ca="1">ROUND(D5*C19*C20*C24*F35,0)</f>
        <v>0</v>
      </c>
      <c r="D35" s="2845"/>
      <c r="E35" s="200">
        <f t="shared" ca="1" si="7"/>
        <v>0</v>
      </c>
      <c r="F35" s="200">
        <f>SUMIF(修正!A45:A56,G2,修正!D45:D56)</f>
        <v>0.2</v>
      </c>
      <c r="G35" s="200">
        <f ca="1">ROUND(IF(E2="工业",C35*$M$39,C35*$M$38),0)</f>
        <v>0</v>
      </c>
      <c r="H35" s="200">
        <f t="shared" si="8"/>
        <v>0</v>
      </c>
      <c r="I35" s="200">
        <f t="shared" ca="1" si="9"/>
        <v>0</v>
      </c>
      <c r="J35" s="2862"/>
      <c r="K35" s="1371"/>
      <c r="L35" s="1371"/>
      <c r="M35" s="1371"/>
      <c r="N35" s="1371"/>
      <c r="O35" s="1371"/>
      <c r="P35" s="1371"/>
      <c r="Q35" s="1371"/>
      <c r="R35" s="1371"/>
      <c r="S35" s="1371"/>
      <c r="T35" s="1371"/>
      <c r="U35" s="1371"/>
      <c r="V35" s="1371"/>
      <c r="W35" s="1371"/>
      <c r="X35" s="1371"/>
      <c r="Y35" s="1371"/>
      <c r="Z35" s="1372"/>
    </row>
    <row r="36" spans="1:37" ht="13.5" thickBot="1">
      <c r="A36" s="3336"/>
      <c r="B36" s="2765" t="s">
        <v>2934</v>
      </c>
      <c r="C36" s="206">
        <f ca="1">ROUND(D5*C19*C20*C24*F36,0)</f>
        <v>0</v>
      </c>
      <c r="D36" s="2845"/>
      <c r="E36" s="200">
        <f t="shared" ca="1" si="7"/>
        <v>0</v>
      </c>
      <c r="F36" s="200">
        <f>SUMIF(修正!A45:A56,G2,修正!E45:E56)</f>
        <v>0.2</v>
      </c>
      <c r="G36" s="200">
        <f ca="1">ROUND(IF(E2="工业",C36*$M$39,C36*$M$38),0)</f>
        <v>0</v>
      </c>
      <c r="H36" s="200">
        <f t="shared" si="8"/>
        <v>0</v>
      </c>
      <c r="I36" s="200">
        <f t="shared" ca="1" si="9"/>
        <v>0</v>
      </c>
      <c r="J36" s="2862"/>
      <c r="K36" s="1371"/>
      <c r="L36" s="2719"/>
      <c r="M36" s="2719"/>
      <c r="N36" s="1371"/>
      <c r="O36" s="1371"/>
      <c r="P36" s="1371"/>
      <c r="Q36" s="1371"/>
      <c r="R36" s="1371"/>
      <c r="S36" s="1371"/>
      <c r="T36" s="1371"/>
      <c r="U36" s="1371"/>
      <c r="V36" s="1371"/>
      <c r="W36" s="1371"/>
      <c r="X36" s="1371"/>
      <c r="Y36" s="1371"/>
      <c r="Z36" s="1372"/>
    </row>
    <row r="37" spans="1:37">
      <c r="A37" s="2863"/>
      <c r="B37" s="2765" t="s">
        <v>2935</v>
      </c>
      <c r="C37" s="200">
        <f ca="1">ROUND(D5*C19*C20*C24*F37,0)</f>
        <v>0</v>
      </c>
      <c r="D37" s="2845"/>
      <c r="E37" s="200">
        <f t="shared" ca="1" si="7"/>
        <v>0</v>
      </c>
      <c r="F37" s="206">
        <f>SUMIF(修正!A45:A56,G2,修正!F45:F56)</f>
        <v>0.2</v>
      </c>
      <c r="G37" s="200">
        <f ca="1">ROUND(IF(E2="工业",C37*$M$39,C37*$M$38),0)</f>
        <v>0</v>
      </c>
      <c r="H37" s="200">
        <f t="shared" si="8"/>
        <v>0</v>
      </c>
      <c r="I37" s="200">
        <f t="shared" ca="1" si="9"/>
        <v>0</v>
      </c>
      <c r="J37" s="2862"/>
      <c r="K37" s="1371"/>
      <c r="L37" s="2864" t="s">
        <v>2936</v>
      </c>
      <c r="M37" s="2865"/>
      <c r="N37" s="1371"/>
      <c r="O37" s="1371"/>
      <c r="P37" s="1371"/>
      <c r="Q37" s="1371"/>
      <c r="R37" s="1371"/>
      <c r="S37" s="1371"/>
      <c r="T37" s="1371"/>
      <c r="U37" s="1371"/>
      <c r="V37" s="1371"/>
      <c r="W37" s="1371"/>
      <c r="X37" s="1371"/>
      <c r="Y37" s="1371"/>
      <c r="Z37" s="1372"/>
    </row>
    <row r="38" spans="1:37">
      <c r="A38" s="2863"/>
      <c r="B38" s="2765" t="s">
        <v>2937</v>
      </c>
      <c r="C38" s="200">
        <f ca="1">ROUND(D5*C19*C41*C24*F38,0)</f>
        <v>0</v>
      </c>
      <c r="D38" s="2845"/>
      <c r="E38" s="200">
        <f t="shared" ca="1" si="7"/>
        <v>0</v>
      </c>
      <c r="F38" s="206">
        <f>SUMIF(修正!A45:A56,G2,修正!G45:G56)</f>
        <v>0.2</v>
      </c>
      <c r="G38" s="200">
        <f ca="1">ROUND(IF(E2="工业",C38*$M$39,C38*$M$38),0)</f>
        <v>0</v>
      </c>
      <c r="H38" s="200">
        <f t="shared" si="8"/>
        <v>0</v>
      </c>
      <c r="I38" s="200">
        <f t="shared" ca="1" si="9"/>
        <v>0</v>
      </c>
      <c r="J38" s="2862"/>
      <c r="K38" s="1371"/>
      <c r="L38" s="1885" t="s">
        <v>2938</v>
      </c>
      <c r="M38" s="2866">
        <v>0.25</v>
      </c>
      <c r="N38" s="1371"/>
      <c r="O38" s="1371"/>
      <c r="P38" s="1371"/>
      <c r="Q38" s="1371"/>
      <c r="R38" s="1371"/>
      <c r="S38" s="1371"/>
      <c r="T38" s="1371"/>
      <c r="U38" s="1371"/>
      <c r="V38" s="1371"/>
      <c r="W38" s="1371"/>
      <c r="X38" s="1371"/>
      <c r="Y38" s="1371"/>
      <c r="Z38" s="1372"/>
    </row>
    <row r="39" spans="1:37" ht="13.5" thickBot="1">
      <c r="A39" s="2849"/>
      <c r="B39" s="2867" t="s">
        <v>2939</v>
      </c>
      <c r="C39" s="229">
        <f ca="1">ROUND(D5*C19*C41*C24*F39,0)</f>
        <v>0</v>
      </c>
      <c r="D39" s="2851"/>
      <c r="E39" s="229">
        <f t="shared" ca="1" si="7"/>
        <v>0</v>
      </c>
      <c r="F39" s="933">
        <f>SUMIF(修正!A45:A56,G2,修正!H45:H56)</f>
        <v>0.15</v>
      </c>
      <c r="G39" s="229">
        <f ca="1">ROUND(IF(E2="工业",C39*$M$39,C39*$M$38),0)</f>
        <v>0</v>
      </c>
      <c r="H39" s="229">
        <f t="shared" si="8"/>
        <v>0</v>
      </c>
      <c r="I39" s="229">
        <f t="shared" ca="1" si="9"/>
        <v>0</v>
      </c>
      <c r="J39" s="2868"/>
      <c r="K39" s="1371"/>
      <c r="L39" s="2869" t="s">
        <v>2882</v>
      </c>
      <c r="M39" s="2870">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943" t="s">
        <v>3049</v>
      </c>
      <c r="C41" s="388">
        <f ca="1">ROUND(POWER(1+E41,H41-G41)*(POWER(1+E41,G41)-1)/(POWER(1+E41,H41)-1),4)</f>
        <v>0.97330000000000005</v>
      </c>
      <c r="D41" s="200" t="s">
        <v>2890</v>
      </c>
      <c r="E41" s="2942">
        <f ca="1">G20</f>
        <v>5.1999999999999998E-2</v>
      </c>
      <c r="F41" s="200" t="s">
        <v>2899</v>
      </c>
      <c r="G41" s="218">
        <f>项目基本情况!F15</f>
        <v>44.68</v>
      </c>
      <c r="H41" s="200">
        <v>50</v>
      </c>
      <c r="Z41" s="1372"/>
      <c r="AA41" s="1372"/>
      <c r="AB41" s="1372"/>
      <c r="AC41" s="1372"/>
      <c r="AD41" s="1372"/>
      <c r="AE41" s="1372"/>
      <c r="AF41" s="1372"/>
      <c r="AG41" s="1372"/>
      <c r="AH41" s="1372"/>
      <c r="AI41" s="1372"/>
      <c r="AJ41" s="1372"/>
    </row>
    <row r="42" spans="1:37" s="1371" customFormat="1">
      <c r="A42" s="1372"/>
      <c r="B42" s="2871"/>
      <c r="Z42" s="1372"/>
      <c r="AA42" s="1372"/>
      <c r="AB42" s="1372"/>
      <c r="AC42" s="1372"/>
      <c r="AD42" s="1372"/>
      <c r="AE42" s="1372"/>
      <c r="AF42" s="1372"/>
      <c r="AG42" s="1372"/>
      <c r="AH42" s="1372"/>
      <c r="AI42" s="1372"/>
      <c r="AJ42" s="1372"/>
    </row>
    <row r="43" spans="1:37" s="1371" customFormat="1">
      <c r="A43" s="1372"/>
      <c r="B43" s="2871"/>
      <c r="Z43" s="1372"/>
      <c r="AA43" s="1372"/>
      <c r="AB43" s="1372"/>
      <c r="AC43" s="1372"/>
      <c r="AD43" s="1372"/>
      <c r="AE43" s="1372"/>
      <c r="AF43" s="1372"/>
      <c r="AG43" s="1372"/>
      <c r="AH43" s="1372"/>
      <c r="AI43" s="1372"/>
      <c r="AJ43" s="1372"/>
    </row>
    <row r="44" spans="1:37" s="1371" customFormat="1">
      <c r="A44" s="1372"/>
      <c r="B44" s="2871"/>
      <c r="Z44" s="1372"/>
      <c r="AA44" s="1372"/>
      <c r="AB44" s="1372"/>
      <c r="AC44" s="1372"/>
      <c r="AD44" s="1372"/>
      <c r="AE44" s="1372"/>
      <c r="AF44" s="1372"/>
      <c r="AG44" s="1372"/>
      <c r="AH44" s="1372"/>
      <c r="AI44" s="1372"/>
      <c r="AJ44" s="1372"/>
    </row>
    <row r="45" spans="1:37" s="1371" customFormat="1" ht="15.75" thickBot="1">
      <c r="A45" s="2872" t="s">
        <v>2940</v>
      </c>
      <c r="B45" s="2873"/>
      <c r="C45" s="7"/>
      <c r="D45" s="7"/>
      <c r="E45" s="7"/>
      <c r="F45" s="6"/>
      <c r="G45" s="6"/>
      <c r="H45" s="6"/>
      <c r="I45" s="7"/>
      <c r="J45" s="7"/>
      <c r="K45" s="7"/>
      <c r="L45" s="7"/>
      <c r="M45" s="7"/>
      <c r="N45" s="2788"/>
      <c r="Z45" s="1372"/>
      <c r="AA45" s="1372"/>
      <c r="AB45" s="1372"/>
      <c r="AC45" s="1372"/>
      <c r="AD45" s="1372"/>
      <c r="AE45" s="1372"/>
      <c r="AF45" s="1372"/>
      <c r="AG45" s="1372"/>
      <c r="AH45" s="1372"/>
      <c r="AI45" s="1372"/>
      <c r="AJ45" s="1372"/>
    </row>
    <row r="46" spans="1:37" s="1371" customFormat="1" ht="15">
      <c r="A46" s="2874" t="s">
        <v>2941</v>
      </c>
      <c r="B46" s="2875">
        <f>1+E48</f>
        <v>1</v>
      </c>
      <c r="C46" s="2876"/>
      <c r="D46" s="812"/>
      <c r="E46" s="813"/>
      <c r="F46" s="2877"/>
      <c r="G46" s="6"/>
      <c r="H46" s="7"/>
      <c r="I46" s="7"/>
      <c r="J46" s="7"/>
      <c r="K46" s="7"/>
      <c r="L46" s="7"/>
      <c r="M46" s="7"/>
      <c r="N46" s="2788"/>
      <c r="Z46" s="1372"/>
      <c r="AA46" s="1372"/>
      <c r="AB46" s="1372"/>
      <c r="AC46" s="1372"/>
      <c r="AD46" s="1372"/>
      <c r="AE46" s="1372"/>
      <c r="AF46" s="1372"/>
      <c r="AG46" s="1372"/>
      <c r="AH46" s="1372"/>
      <c r="AI46" s="1372"/>
      <c r="AJ46" s="1372"/>
    </row>
    <row r="47" spans="1:37" s="1371" customFormat="1" ht="24.75">
      <c r="A47" s="2878" t="s">
        <v>2942</v>
      </c>
      <c r="B47" s="1807" t="s">
        <v>2943</v>
      </c>
      <c r="C47" s="1807" t="s">
        <v>2944</v>
      </c>
      <c r="D47" s="1807" t="s">
        <v>2945</v>
      </c>
      <c r="E47" s="817" t="s">
        <v>2946</v>
      </c>
      <c r="F47" s="2879" t="s">
        <v>2947</v>
      </c>
      <c r="G47" s="1807" t="s">
        <v>754</v>
      </c>
      <c r="H47" s="2880" t="s">
        <v>2948</v>
      </c>
      <c r="I47" s="1807" t="s">
        <v>2949</v>
      </c>
      <c r="J47" s="603" t="s">
        <v>2598</v>
      </c>
      <c r="K47" s="603" t="s">
        <v>2599</v>
      </c>
      <c r="L47" s="603" t="s">
        <v>2600</v>
      </c>
      <c r="M47" s="603" t="s">
        <v>2601</v>
      </c>
      <c r="N47" s="603" t="s">
        <v>2602</v>
      </c>
      <c r="AA47" s="1372"/>
      <c r="AB47" s="1372"/>
      <c r="AC47" s="1372"/>
      <c r="AD47" s="1372"/>
      <c r="AE47" s="1372"/>
      <c r="AF47" s="1372"/>
      <c r="AG47" s="1372"/>
      <c r="AH47" s="1372"/>
      <c r="AI47" s="1372"/>
      <c r="AJ47" s="1372"/>
      <c r="AK47" s="1372"/>
    </row>
    <row r="48" spans="1:37" s="1371" customFormat="1" ht="38.25">
      <c r="A48" s="2878" t="s">
        <v>2950</v>
      </c>
      <c r="B48" s="2881" t="str">
        <f>估价对象房地状况!C4</f>
        <v>估价对象位于XX商圈，周边商业氛围成熟，人流量大，商业繁华度好</v>
      </c>
      <c r="C48" s="2770"/>
      <c r="D48" s="1287">
        <f t="shared" ref="D48:D56" si="10">SUMIF($J$47:$N$47,C48,J48:N48)</f>
        <v>0</v>
      </c>
      <c r="E48" s="819">
        <f>ROUND(SUM(D48:D56),4)</f>
        <v>0</v>
      </c>
      <c r="F48" s="2502"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78" t="s">
        <v>2951</v>
      </c>
      <c r="B49" s="2882" t="str">
        <f>估价对象房地状况!C18</f>
        <v>估价对象周边道路状况、公共交通通达情况、停车便捷程度，综合评价交通便捷度较好</v>
      </c>
      <c r="C49" s="2770"/>
      <c r="D49" s="1287">
        <f t="shared" si="10"/>
        <v>0</v>
      </c>
      <c r="E49" s="820"/>
      <c r="F49" s="2502"/>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78" t="s">
        <v>2952</v>
      </c>
      <c r="B50" s="2882">
        <f>估价对象房地状况!C19</f>
        <v>0</v>
      </c>
      <c r="C50" s="2770"/>
      <c r="D50" s="1287">
        <f t="shared" si="10"/>
        <v>0</v>
      </c>
      <c r="E50" s="820"/>
      <c r="F50" s="2502"/>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78" t="s">
        <v>2953</v>
      </c>
      <c r="B51" s="2883" t="s">
        <v>2954</v>
      </c>
      <c r="C51" s="2770"/>
      <c r="D51" s="1287">
        <f t="shared" si="10"/>
        <v>0</v>
      </c>
      <c r="E51" s="820"/>
      <c r="F51" s="2502"/>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78" t="s">
        <v>2955</v>
      </c>
      <c r="B52" s="2882">
        <f>估价对象房地状况!C24</f>
        <v>0</v>
      </c>
      <c r="C52" s="2770"/>
      <c r="D52" s="1287">
        <f t="shared" si="10"/>
        <v>0</v>
      </c>
      <c r="E52" s="820"/>
      <c r="F52" s="2502"/>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78" t="s">
        <v>2956</v>
      </c>
      <c r="B53" s="2884" t="s">
        <v>2957</v>
      </c>
      <c r="C53" s="2770"/>
      <c r="D53" s="1287">
        <f t="shared" si="10"/>
        <v>0</v>
      </c>
      <c r="E53" s="820"/>
      <c r="F53" s="2502"/>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5" t="s">
        <v>2958</v>
      </c>
      <c r="B54" s="1723" t="str">
        <f>估价对象房地状况!C21</f>
        <v>估价对象所在区域公共配套设施齐备情况</v>
      </c>
      <c r="C54" s="2770"/>
      <c r="D54" s="1287">
        <f t="shared" si="10"/>
        <v>0</v>
      </c>
      <c r="E54" s="820"/>
      <c r="F54" s="2502"/>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5" t="s">
        <v>2959</v>
      </c>
      <c r="B55" s="2882" t="str">
        <f>估价对象房地状况!C22</f>
        <v>估价对象所在区域基础设施水平</v>
      </c>
      <c r="C55" s="2770"/>
      <c r="D55" s="1287">
        <f t="shared" si="10"/>
        <v>0</v>
      </c>
      <c r="E55" s="820"/>
      <c r="F55" s="2502"/>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86" t="s">
        <v>2960</v>
      </c>
      <c r="B56" s="2887" t="str">
        <f>估价对象房地状况!C20</f>
        <v>区域自然环境：；人文环境；综合评价环境状况一般</v>
      </c>
      <c r="C56" s="2770"/>
      <c r="D56" s="1287">
        <f t="shared" si="10"/>
        <v>0</v>
      </c>
      <c r="E56" s="823"/>
      <c r="F56" s="2502"/>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4" t="s">
        <v>2961</v>
      </c>
      <c r="B57" s="2875">
        <f>1+E59</f>
        <v>1.0875999999999999</v>
      </c>
      <c r="C57" s="812"/>
      <c r="D57" s="812"/>
      <c r="E57" s="813"/>
      <c r="F57" s="2877"/>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8" t="s">
        <v>2942</v>
      </c>
      <c r="B58" s="1807"/>
      <c r="C58" s="1807" t="s">
        <v>2944</v>
      </c>
      <c r="D58" s="1807" t="s">
        <v>2945</v>
      </c>
      <c r="E58" s="817" t="s">
        <v>2946</v>
      </c>
      <c r="F58" s="2879" t="s">
        <v>2962</v>
      </c>
      <c r="G58" s="1807" t="s">
        <v>754</v>
      </c>
      <c r="H58" s="2880" t="s">
        <v>2948</v>
      </c>
      <c r="I58" s="1807" t="s">
        <v>2949</v>
      </c>
      <c r="J58" s="603" t="s">
        <v>2598</v>
      </c>
      <c r="K58" s="603" t="s">
        <v>2599</v>
      </c>
      <c r="L58" s="603" t="s">
        <v>2600</v>
      </c>
      <c r="M58" s="603" t="s">
        <v>2601</v>
      </c>
      <c r="N58" s="603" t="s">
        <v>2602</v>
      </c>
      <c r="AA58" s="1372"/>
      <c r="AB58" s="1372"/>
      <c r="AC58" s="1372"/>
      <c r="AD58" s="1372"/>
      <c r="AE58" s="1372"/>
      <c r="AF58" s="1372"/>
      <c r="AG58" s="1372"/>
      <c r="AH58" s="1372"/>
      <c r="AI58" s="1372"/>
      <c r="AJ58" s="1372"/>
      <c r="AK58" s="1372"/>
    </row>
    <row r="59" spans="1:37" s="1371" customFormat="1" ht="38.25">
      <c r="A59" s="2878" t="s">
        <v>2963</v>
      </c>
      <c r="B59" s="2881" t="str">
        <f>估价对象房地状况!C17</f>
        <v>估价对象位于XX商圈，周边办公楼项目较多，入驻率高，办公集聚程度较好</v>
      </c>
      <c r="C59" s="2770" t="s">
        <v>3093</v>
      </c>
      <c r="D59" s="1287">
        <f t="shared" ref="D59:D67" si="15">SUMIF($J$58:$N$58,C59,J59:N59)</f>
        <v>1.7999999999999999E-2</v>
      </c>
      <c r="E59" s="819">
        <f>ROUND(SUM(D59:D67),4)</f>
        <v>8.7599999999999997E-2</v>
      </c>
      <c r="F59" s="2502">
        <f>IF(E2="办公",SUMIF(L1:L12,G2,N1:N12),"——")</f>
        <v>0.15</v>
      </c>
      <c r="G59" s="1285">
        <f>H59</f>
        <v>1.7999999999999999E-2</v>
      </c>
      <c r="H59" s="1289">
        <f t="shared" ref="H59:H67" si="16">IFERROR(ROUNDDOWN($F$59*I59/2,4),"——")</f>
        <v>1.7999999999999999E-2</v>
      </c>
      <c r="I59" s="818">
        <v>0.24</v>
      </c>
      <c r="J59" s="1286">
        <f t="shared" ref="J59:J67" si="17">K59+$G59</f>
        <v>3.5999999999999997E-2</v>
      </c>
      <c r="K59" s="1286">
        <f t="shared" ref="K59:K67" si="18">$L59+$G59</f>
        <v>1.7999999999999999E-2</v>
      </c>
      <c r="L59" s="1286">
        <v>0</v>
      </c>
      <c r="M59" s="1286">
        <f t="shared" ref="M59:N67" si="19">L59-$G59</f>
        <v>-1.7999999999999999E-2</v>
      </c>
      <c r="N59" s="1286">
        <f t="shared" si="19"/>
        <v>-3.5999999999999997E-2</v>
      </c>
      <c r="AA59" s="1372"/>
      <c r="AB59" s="1372"/>
      <c r="AC59" s="1372"/>
      <c r="AD59" s="1372"/>
      <c r="AE59" s="1372"/>
      <c r="AF59" s="1372"/>
      <c r="AG59" s="1372"/>
      <c r="AH59" s="1372"/>
      <c r="AI59" s="1372"/>
      <c r="AJ59" s="1372"/>
      <c r="AK59" s="1372"/>
    </row>
    <row r="60" spans="1:37" s="1371" customFormat="1" ht="51">
      <c r="A60" s="2878" t="s">
        <v>2951</v>
      </c>
      <c r="B60" s="2882" t="str">
        <f>估价对象房地状况!C18</f>
        <v>估价对象周边道路状况、公共交通通达情况、停车便捷程度，综合评价交通便捷度较好</v>
      </c>
      <c r="C60" s="2770" t="s">
        <v>3093</v>
      </c>
      <c r="D60" s="1287">
        <f t="shared" si="15"/>
        <v>2.2499999999999999E-2</v>
      </c>
      <c r="E60" s="820"/>
      <c r="F60" s="2502"/>
      <c r="G60" s="1285">
        <f t="shared" ref="G60:G67" si="20">H60</f>
        <v>2.2499999999999999E-2</v>
      </c>
      <c r="H60" s="1289">
        <f t="shared" si="16"/>
        <v>2.2499999999999999E-2</v>
      </c>
      <c r="I60" s="818">
        <v>0.3</v>
      </c>
      <c r="J60" s="1286">
        <f t="shared" si="17"/>
        <v>4.4999999999999998E-2</v>
      </c>
      <c r="K60" s="1286">
        <f t="shared" si="18"/>
        <v>2.2499999999999999E-2</v>
      </c>
      <c r="L60" s="1286">
        <v>0</v>
      </c>
      <c r="M60" s="1286">
        <f t="shared" si="19"/>
        <v>-2.2499999999999999E-2</v>
      </c>
      <c r="N60" s="1286">
        <f t="shared" si="19"/>
        <v>-4.4999999999999998E-2</v>
      </c>
      <c r="AA60" s="1372"/>
      <c r="AB60" s="1372"/>
      <c r="AC60" s="1372"/>
      <c r="AD60" s="1372"/>
      <c r="AE60" s="1372"/>
      <c r="AF60" s="1372"/>
      <c r="AG60" s="1372"/>
      <c r="AH60" s="1372"/>
      <c r="AI60" s="1372"/>
      <c r="AJ60" s="1372"/>
      <c r="AK60" s="1372"/>
    </row>
    <row r="61" spans="1:37" s="1371" customFormat="1" ht="24">
      <c r="A61" s="2878" t="s">
        <v>2952</v>
      </c>
      <c r="B61" s="2882">
        <f>估价对象房地状况!C19</f>
        <v>0</v>
      </c>
      <c r="C61" s="2770" t="s">
        <v>3093</v>
      </c>
      <c r="D61" s="1287">
        <f t="shared" si="15"/>
        <v>6.0000000000000001E-3</v>
      </c>
      <c r="E61" s="820"/>
      <c r="F61" s="2502"/>
      <c r="G61" s="1285">
        <f t="shared" si="20"/>
        <v>6.0000000000000001E-3</v>
      </c>
      <c r="H61" s="1289">
        <f t="shared" si="16"/>
        <v>6.0000000000000001E-3</v>
      </c>
      <c r="I61" s="818">
        <v>0.08</v>
      </c>
      <c r="J61" s="1286">
        <f t="shared" si="17"/>
        <v>1.2E-2</v>
      </c>
      <c r="K61" s="1286">
        <f t="shared" si="18"/>
        <v>6.0000000000000001E-3</v>
      </c>
      <c r="L61" s="1286">
        <v>0</v>
      </c>
      <c r="M61" s="1286">
        <f t="shared" si="19"/>
        <v>-6.0000000000000001E-3</v>
      </c>
      <c r="N61" s="1286">
        <f t="shared" si="19"/>
        <v>-1.2E-2</v>
      </c>
      <c r="AA61" s="1372"/>
      <c r="AB61" s="1372"/>
      <c r="AC61" s="1372"/>
      <c r="AD61" s="1372"/>
      <c r="AE61" s="1372"/>
      <c r="AF61" s="1372"/>
      <c r="AG61" s="1372"/>
      <c r="AH61" s="1372"/>
      <c r="AI61" s="1372"/>
      <c r="AJ61" s="1372"/>
      <c r="AK61" s="1372"/>
    </row>
    <row r="62" spans="1:37" s="1371" customFormat="1" ht="36.75">
      <c r="A62" s="2878" t="s">
        <v>2953</v>
      </c>
      <c r="B62" s="2883" t="s">
        <v>2954</v>
      </c>
      <c r="C62" s="2770" t="s">
        <v>3093</v>
      </c>
      <c r="D62" s="1287">
        <f t="shared" si="15"/>
        <v>3.0000000000000001E-3</v>
      </c>
      <c r="E62" s="820"/>
      <c r="F62" s="2502"/>
      <c r="G62" s="1285">
        <f t="shared" si="20"/>
        <v>3.0000000000000001E-3</v>
      </c>
      <c r="H62" s="1289">
        <f t="shared" si="16"/>
        <v>3.0000000000000001E-3</v>
      </c>
      <c r="I62" s="818">
        <v>0.04</v>
      </c>
      <c r="J62" s="1286">
        <f t="shared" si="17"/>
        <v>6.0000000000000001E-3</v>
      </c>
      <c r="K62" s="1286">
        <f t="shared" si="18"/>
        <v>3.0000000000000001E-3</v>
      </c>
      <c r="L62" s="1286">
        <v>0</v>
      </c>
      <c r="M62" s="1286">
        <f t="shared" si="19"/>
        <v>-3.0000000000000001E-3</v>
      </c>
      <c r="N62" s="1286">
        <f t="shared" si="19"/>
        <v>-6.0000000000000001E-3</v>
      </c>
      <c r="AA62" s="1372"/>
      <c r="AB62" s="1372"/>
      <c r="AC62" s="1372"/>
      <c r="AD62" s="1372"/>
      <c r="AE62" s="1372"/>
      <c r="AF62" s="1372"/>
      <c r="AG62" s="1372"/>
      <c r="AH62" s="1372"/>
      <c r="AI62" s="1372"/>
      <c r="AJ62" s="1372"/>
      <c r="AK62" s="1372"/>
    </row>
    <row r="63" spans="1:37" s="1371" customFormat="1" ht="24">
      <c r="A63" s="2878" t="s">
        <v>2955</v>
      </c>
      <c r="B63" s="2882">
        <f>估价对象房地状况!C24</f>
        <v>0</v>
      </c>
      <c r="C63" s="2770" t="s">
        <v>3094</v>
      </c>
      <c r="D63" s="1287">
        <f t="shared" si="15"/>
        <v>7.4000000000000003E-3</v>
      </c>
      <c r="E63" s="820"/>
      <c r="F63" s="2502"/>
      <c r="G63" s="1285">
        <f t="shared" si="20"/>
        <v>3.7000000000000002E-3</v>
      </c>
      <c r="H63" s="1289">
        <f t="shared" si="16"/>
        <v>3.7000000000000002E-3</v>
      </c>
      <c r="I63" s="818">
        <v>0.05</v>
      </c>
      <c r="J63" s="1286">
        <f t="shared" si="17"/>
        <v>7.4000000000000003E-3</v>
      </c>
      <c r="K63" s="1286">
        <f t="shared" si="18"/>
        <v>3.7000000000000002E-3</v>
      </c>
      <c r="L63" s="1286">
        <v>0</v>
      </c>
      <c r="M63" s="1286">
        <f t="shared" si="19"/>
        <v>-3.7000000000000002E-3</v>
      </c>
      <c r="N63" s="1286">
        <f t="shared" si="19"/>
        <v>-7.4000000000000003E-3</v>
      </c>
      <c r="AA63" s="1372"/>
      <c r="AB63" s="1372"/>
      <c r="AC63" s="1372"/>
      <c r="AD63" s="1372"/>
      <c r="AE63" s="1372"/>
      <c r="AF63" s="1372"/>
      <c r="AG63" s="1372"/>
      <c r="AH63" s="1372"/>
      <c r="AI63" s="1372"/>
      <c r="AJ63" s="1372"/>
      <c r="AK63" s="1372"/>
    </row>
    <row r="64" spans="1:37" s="1371" customFormat="1" ht="24">
      <c r="A64" s="2878" t="s">
        <v>2956</v>
      </c>
      <c r="B64" s="2884" t="s">
        <v>2957</v>
      </c>
      <c r="C64" s="2770" t="s">
        <v>3093</v>
      </c>
      <c r="D64" s="1287">
        <f t="shared" si="15"/>
        <v>3.7000000000000002E-3</v>
      </c>
      <c r="E64" s="820"/>
      <c r="F64" s="2502"/>
      <c r="G64" s="1285">
        <f t="shared" si="20"/>
        <v>3.7000000000000002E-3</v>
      </c>
      <c r="H64" s="1289">
        <f t="shared" si="16"/>
        <v>3.7000000000000002E-3</v>
      </c>
      <c r="I64" s="818">
        <v>0.05</v>
      </c>
      <c r="J64" s="1286">
        <f t="shared" si="17"/>
        <v>7.4000000000000003E-3</v>
      </c>
      <c r="K64" s="1286">
        <f t="shared" si="18"/>
        <v>3.7000000000000002E-3</v>
      </c>
      <c r="L64" s="1286">
        <v>0</v>
      </c>
      <c r="M64" s="1286">
        <f t="shared" si="19"/>
        <v>-3.7000000000000002E-3</v>
      </c>
      <c r="N64" s="1286">
        <f t="shared" si="19"/>
        <v>-7.4000000000000003E-3</v>
      </c>
      <c r="AA64" s="1372"/>
      <c r="AB64" s="1372"/>
      <c r="AC64" s="1372"/>
      <c r="AD64" s="1372"/>
      <c r="AE64" s="1372"/>
      <c r="AF64" s="1372"/>
      <c r="AG64" s="1372"/>
      <c r="AH64" s="1372"/>
      <c r="AI64" s="1372"/>
      <c r="AJ64" s="1372"/>
      <c r="AK64" s="1372"/>
    </row>
    <row r="65" spans="1:37" s="1371" customFormat="1" ht="25.5">
      <c r="A65" s="2878" t="s">
        <v>2958</v>
      </c>
      <c r="B65" s="1723" t="str">
        <f>估价对象房地状况!C21</f>
        <v>估价对象所在区域公共配套设施齐备情况</v>
      </c>
      <c r="C65" s="2770" t="s">
        <v>3093</v>
      </c>
      <c r="D65" s="1287">
        <f t="shared" si="15"/>
        <v>4.4999999999999997E-3</v>
      </c>
      <c r="E65" s="820"/>
      <c r="F65" s="2502"/>
      <c r="G65" s="1285">
        <f t="shared" si="20"/>
        <v>4.4999999999999997E-3</v>
      </c>
      <c r="H65" s="1289">
        <f t="shared" si="16"/>
        <v>4.4999999999999997E-3</v>
      </c>
      <c r="I65" s="818">
        <v>0.06</v>
      </c>
      <c r="J65" s="1286">
        <f t="shared" si="17"/>
        <v>8.9999999999999993E-3</v>
      </c>
      <c r="K65" s="1286">
        <f t="shared" si="18"/>
        <v>4.4999999999999997E-3</v>
      </c>
      <c r="L65" s="1286">
        <v>0</v>
      </c>
      <c r="M65" s="1286">
        <f t="shared" si="19"/>
        <v>-4.4999999999999997E-3</v>
      </c>
      <c r="N65" s="1286">
        <f t="shared" si="19"/>
        <v>-8.9999999999999993E-3</v>
      </c>
      <c r="AA65" s="1372"/>
      <c r="AB65" s="1372"/>
      <c r="AC65" s="1372"/>
      <c r="AD65" s="1372"/>
      <c r="AE65" s="1372"/>
      <c r="AF65" s="1372"/>
      <c r="AG65" s="1372"/>
      <c r="AH65" s="1372"/>
      <c r="AI65" s="1372"/>
      <c r="AJ65" s="1372"/>
      <c r="AK65" s="1372"/>
    </row>
    <row r="66" spans="1:37" s="1371" customFormat="1" ht="25.5">
      <c r="A66" s="2878" t="s">
        <v>2959</v>
      </c>
      <c r="B66" s="1723" t="str">
        <f>估价对象房地状况!C22</f>
        <v>估价对象所在区域基础设施水平</v>
      </c>
      <c r="C66" s="2770" t="s">
        <v>3094</v>
      </c>
      <c r="D66" s="1287">
        <f t="shared" si="15"/>
        <v>1.7999999999999999E-2</v>
      </c>
      <c r="E66" s="820"/>
      <c r="F66" s="2502"/>
      <c r="G66" s="1285">
        <f t="shared" si="20"/>
        <v>8.9999999999999993E-3</v>
      </c>
      <c r="H66" s="1289">
        <f t="shared" si="16"/>
        <v>8.9999999999999993E-3</v>
      </c>
      <c r="I66" s="818">
        <v>0.12</v>
      </c>
      <c r="J66" s="1286">
        <f t="shared" si="17"/>
        <v>1.7999999999999999E-2</v>
      </c>
      <c r="K66" s="1286">
        <f t="shared" si="18"/>
        <v>8.9999999999999993E-3</v>
      </c>
      <c r="L66" s="1286">
        <v>0</v>
      </c>
      <c r="M66" s="1286">
        <f t="shared" si="19"/>
        <v>-8.9999999999999993E-3</v>
      </c>
      <c r="N66" s="1286">
        <f t="shared" si="19"/>
        <v>-1.7999999999999999E-2</v>
      </c>
      <c r="AA66" s="1372"/>
      <c r="AB66" s="1372"/>
      <c r="AC66" s="1372"/>
      <c r="AD66" s="1372"/>
      <c r="AE66" s="1372"/>
      <c r="AF66" s="1372"/>
      <c r="AG66" s="1372"/>
      <c r="AH66" s="1372"/>
      <c r="AI66" s="1372"/>
      <c r="AJ66" s="1372"/>
      <c r="AK66" s="1372"/>
    </row>
    <row r="67" spans="1:37" s="1371" customFormat="1" ht="39" thickBot="1">
      <c r="A67" s="2886" t="s">
        <v>2960</v>
      </c>
      <c r="B67" s="2888" t="str">
        <f>估价对象房地状况!C20</f>
        <v>区域自然环境：；人文环境；综合评价环境状况一般</v>
      </c>
      <c r="C67" s="2770" t="s">
        <v>3093</v>
      </c>
      <c r="D67" s="1287">
        <f t="shared" si="15"/>
        <v>4.4999999999999997E-3</v>
      </c>
      <c r="E67" s="823"/>
      <c r="F67" s="2502"/>
      <c r="G67" s="1285">
        <f t="shared" si="20"/>
        <v>4.4999999999999997E-3</v>
      </c>
      <c r="H67" s="1289">
        <f t="shared" si="16"/>
        <v>4.4999999999999997E-3</v>
      </c>
      <c r="I67" s="822">
        <v>0.06</v>
      </c>
      <c r="J67" s="1286">
        <f t="shared" si="17"/>
        <v>8.9999999999999993E-3</v>
      </c>
      <c r="K67" s="1286">
        <f t="shared" si="18"/>
        <v>4.4999999999999997E-3</v>
      </c>
      <c r="L67" s="1286">
        <v>0</v>
      </c>
      <c r="M67" s="1286">
        <f t="shared" si="19"/>
        <v>-4.4999999999999997E-3</v>
      </c>
      <c r="N67" s="1286">
        <f t="shared" si="19"/>
        <v>-8.9999999999999993E-3</v>
      </c>
      <c r="AA67" s="1372"/>
      <c r="AB67" s="1372"/>
      <c r="AC67" s="1372"/>
      <c r="AD67" s="1372"/>
      <c r="AE67" s="1372"/>
      <c r="AF67" s="1372"/>
      <c r="AG67" s="1372"/>
      <c r="AH67" s="1372"/>
      <c r="AI67" s="1372"/>
      <c r="AJ67" s="1372"/>
      <c r="AK67" s="1372"/>
    </row>
    <row r="68" spans="1:37" s="1371" customFormat="1" ht="15">
      <c r="A68" s="2874" t="s">
        <v>2964</v>
      </c>
      <c r="B68" s="2875">
        <f>1+E70</f>
        <v>1</v>
      </c>
      <c r="C68" s="812"/>
      <c r="D68" s="812"/>
      <c r="E68" s="813"/>
      <c r="F68" s="2877"/>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8" t="s">
        <v>2942</v>
      </c>
      <c r="B69" s="1807"/>
      <c r="C69" s="1807" t="s">
        <v>2944</v>
      </c>
      <c r="D69" s="1807" t="s">
        <v>2945</v>
      </c>
      <c r="E69" s="817" t="s">
        <v>2946</v>
      </c>
      <c r="F69" s="2879" t="s">
        <v>2962</v>
      </c>
      <c r="G69" s="1807" t="s">
        <v>754</v>
      </c>
      <c r="H69" s="2880" t="s">
        <v>2948</v>
      </c>
      <c r="I69" s="1807" t="s">
        <v>2949</v>
      </c>
      <c r="J69" s="603" t="s">
        <v>2598</v>
      </c>
      <c r="K69" s="603" t="s">
        <v>2599</v>
      </c>
      <c r="L69" s="603" t="s">
        <v>2600</v>
      </c>
      <c r="M69" s="603" t="s">
        <v>2601</v>
      </c>
      <c r="N69" s="603" t="s">
        <v>2602</v>
      </c>
      <c r="AA69" s="1372"/>
      <c r="AB69" s="1372"/>
      <c r="AC69" s="1372"/>
      <c r="AD69" s="1372"/>
      <c r="AE69" s="1372"/>
      <c r="AF69" s="1372"/>
      <c r="AG69" s="1372"/>
      <c r="AH69" s="1372"/>
      <c r="AI69" s="1372"/>
      <c r="AJ69" s="1372"/>
      <c r="AK69" s="1372"/>
    </row>
    <row r="70" spans="1:37" s="1371" customFormat="1" ht="51">
      <c r="A70" s="2878" t="s">
        <v>2965</v>
      </c>
      <c r="B70" s="2881" t="str">
        <f>估价对象房地状况!C15</f>
        <v>估价对象周边居住用地比例、居住小区规模和社区发展完善程度，综合评价居住社区成熟度一般</v>
      </c>
      <c r="C70" s="2770"/>
      <c r="D70" s="1287">
        <f t="shared" ref="D70:D78" si="21">SUMIF($J$69:$N$69,C70,J70:N70)</f>
        <v>0</v>
      </c>
      <c r="E70" s="819">
        <f>ROUND(SUM(D70:D78),4)</f>
        <v>0</v>
      </c>
      <c r="F70" s="2502" t="str">
        <f>IF(E2="住宅",SUMIF(L1:L12,G2,N1:N12),"——")</f>
        <v>——</v>
      </c>
      <c r="G70" s="1285"/>
      <c r="H70" s="1289" t="str">
        <f t="shared" ref="H70:H78" si="22">IFERROR(ROUNDDOWN($F$70*I70/2,4),"——")</f>
        <v>——</v>
      </c>
      <c r="I70" s="818">
        <v>0.14000000000000001</v>
      </c>
      <c r="J70" s="1286">
        <f t="shared" ref="J70:J78" si="23">K70+$G70</f>
        <v>0</v>
      </c>
      <c r="K70" s="1286">
        <f t="shared" ref="K70:K78" si="24">$L70+$G70</f>
        <v>0</v>
      </c>
      <c r="L70" s="1286">
        <v>0</v>
      </c>
      <c r="M70" s="1286">
        <f t="shared" ref="M70:N78" si="25">L70-$G70</f>
        <v>0</v>
      </c>
      <c r="N70" s="1286">
        <f t="shared" si="25"/>
        <v>0</v>
      </c>
      <c r="AA70" s="1372"/>
      <c r="AB70" s="1372"/>
      <c r="AC70" s="1372"/>
      <c r="AD70" s="1372"/>
      <c r="AE70" s="1372"/>
      <c r="AF70" s="1372"/>
      <c r="AG70" s="1372"/>
      <c r="AH70" s="1372"/>
      <c r="AI70" s="1372"/>
      <c r="AJ70" s="1372"/>
      <c r="AK70" s="1372"/>
    </row>
    <row r="71" spans="1:37" s="1371" customFormat="1" ht="51">
      <c r="A71" s="2878" t="s">
        <v>2951</v>
      </c>
      <c r="B71" s="2882" t="str">
        <f>估价对象房地状况!C18</f>
        <v>估价对象周边道路状况、公共交通通达情况、停车便捷程度，综合评价交通便捷度较好</v>
      </c>
      <c r="C71" s="2770"/>
      <c r="D71" s="1287">
        <f t="shared" si="21"/>
        <v>0</v>
      </c>
      <c r="E71" s="824"/>
      <c r="F71" s="2502"/>
      <c r="G71" s="1285"/>
      <c r="H71" s="1289" t="str">
        <f t="shared" si="22"/>
        <v>——</v>
      </c>
      <c r="I71" s="818">
        <v>0.3</v>
      </c>
      <c r="J71" s="1286">
        <f t="shared" si="23"/>
        <v>0</v>
      </c>
      <c r="K71" s="1286">
        <f t="shared" si="24"/>
        <v>0</v>
      </c>
      <c r="L71" s="1286">
        <v>0</v>
      </c>
      <c r="M71" s="1286">
        <f t="shared" si="25"/>
        <v>0</v>
      </c>
      <c r="N71" s="1286">
        <f t="shared" si="25"/>
        <v>0</v>
      </c>
      <c r="AA71" s="1372"/>
      <c r="AB71" s="1372"/>
      <c r="AC71" s="1372"/>
      <c r="AD71" s="1372"/>
      <c r="AE71" s="1372"/>
      <c r="AF71" s="1372"/>
      <c r="AG71" s="1372"/>
      <c r="AH71" s="1372"/>
      <c r="AI71" s="1372"/>
      <c r="AJ71" s="1372"/>
      <c r="AK71" s="1372"/>
    </row>
    <row r="72" spans="1:37" s="1371" customFormat="1" ht="24">
      <c r="A72" s="2878" t="s">
        <v>2952</v>
      </c>
      <c r="B72" s="2882">
        <f>估价对象房地状况!C19</f>
        <v>0</v>
      </c>
      <c r="C72" s="2770"/>
      <c r="D72" s="1287">
        <f t="shared" si="21"/>
        <v>0</v>
      </c>
      <c r="E72" s="824"/>
      <c r="F72" s="2502"/>
      <c r="G72" s="1285"/>
      <c r="H72" s="1289" t="str">
        <f t="shared" si="22"/>
        <v>——</v>
      </c>
      <c r="I72" s="818">
        <v>0.08</v>
      </c>
      <c r="J72" s="1286">
        <f t="shared" si="23"/>
        <v>0</v>
      </c>
      <c r="K72" s="1286">
        <f t="shared" si="24"/>
        <v>0</v>
      </c>
      <c r="L72" s="1286">
        <v>0</v>
      </c>
      <c r="M72" s="1286">
        <f t="shared" si="25"/>
        <v>0</v>
      </c>
      <c r="N72" s="1286">
        <f t="shared" si="25"/>
        <v>0</v>
      </c>
      <c r="AA72" s="1372"/>
      <c r="AB72" s="1372"/>
      <c r="AC72" s="1372"/>
      <c r="AD72" s="1372"/>
      <c r="AE72" s="1372"/>
      <c r="AF72" s="1372"/>
      <c r="AG72" s="1372"/>
      <c r="AH72" s="1372"/>
      <c r="AI72" s="1372"/>
      <c r="AJ72" s="1372"/>
      <c r="AK72" s="1372"/>
    </row>
    <row r="73" spans="1:37" s="1371" customFormat="1" ht="14.25">
      <c r="A73" s="2878" t="s">
        <v>2966</v>
      </c>
      <c r="B73" s="2882">
        <f>估价对象房地状况!C24</f>
        <v>0</v>
      </c>
      <c r="C73" s="2770"/>
      <c r="D73" s="1287">
        <f t="shared" si="21"/>
        <v>0</v>
      </c>
      <c r="E73" s="824"/>
      <c r="F73" s="2502"/>
      <c r="G73" s="1285"/>
      <c r="H73" s="1289" t="str">
        <f t="shared" si="22"/>
        <v>——</v>
      </c>
      <c r="I73" s="818">
        <v>0.04</v>
      </c>
      <c r="J73" s="1286">
        <f t="shared" si="23"/>
        <v>0</v>
      </c>
      <c r="K73" s="1286">
        <f t="shared" si="24"/>
        <v>0</v>
      </c>
      <c r="L73" s="1286">
        <v>0</v>
      </c>
      <c r="M73" s="1286">
        <f t="shared" si="25"/>
        <v>0</v>
      </c>
      <c r="N73" s="1286">
        <f t="shared" si="25"/>
        <v>0</v>
      </c>
      <c r="AA73" s="1372"/>
      <c r="AB73" s="1372"/>
      <c r="AC73" s="1372"/>
      <c r="AD73" s="1372"/>
      <c r="AE73" s="1372"/>
      <c r="AF73" s="1372"/>
      <c r="AG73" s="1372"/>
      <c r="AH73" s="1372"/>
      <c r="AI73" s="1372"/>
      <c r="AJ73" s="1372"/>
      <c r="AK73" s="1372"/>
    </row>
    <row r="74" spans="1:37" s="1371" customFormat="1" ht="25.5">
      <c r="A74" s="2878" t="s">
        <v>2958</v>
      </c>
      <c r="B74" s="1723" t="str">
        <f>估价对象房地状况!C21</f>
        <v>估价对象所在区域公共配套设施齐备情况</v>
      </c>
      <c r="C74" s="2770"/>
      <c r="D74" s="1287">
        <f t="shared" si="21"/>
        <v>0</v>
      </c>
      <c r="E74" s="824"/>
      <c r="F74" s="2502"/>
      <c r="G74" s="1285"/>
      <c r="H74" s="1289" t="str">
        <f t="shared" si="22"/>
        <v>——</v>
      </c>
      <c r="I74" s="818">
        <v>0.08</v>
      </c>
      <c r="J74" s="1286">
        <f t="shared" si="23"/>
        <v>0</v>
      </c>
      <c r="K74" s="1286">
        <f t="shared" si="24"/>
        <v>0</v>
      </c>
      <c r="L74" s="1286">
        <v>0</v>
      </c>
      <c r="M74" s="1286">
        <f t="shared" si="25"/>
        <v>0</v>
      </c>
      <c r="N74" s="1286">
        <f t="shared" si="25"/>
        <v>0</v>
      </c>
      <c r="AA74" s="1372"/>
      <c r="AB74" s="1372"/>
      <c r="AC74" s="1372"/>
      <c r="AD74" s="1372"/>
      <c r="AE74" s="1372"/>
      <c r="AF74" s="1372"/>
      <c r="AG74" s="1372"/>
      <c r="AH74" s="1372"/>
      <c r="AI74" s="1372"/>
      <c r="AJ74" s="1372"/>
      <c r="AK74" s="1372"/>
    </row>
    <row r="75" spans="1:37" s="1371" customFormat="1" ht="25.5">
      <c r="A75" s="2878" t="s">
        <v>2959</v>
      </c>
      <c r="B75" s="1723" t="str">
        <f>估价对象房地状况!C22</f>
        <v>估价对象所在区域基础设施水平</v>
      </c>
      <c r="C75" s="2770"/>
      <c r="D75" s="1287">
        <f t="shared" si="21"/>
        <v>0</v>
      </c>
      <c r="E75" s="824"/>
      <c r="F75" s="2502"/>
      <c r="G75" s="1285"/>
      <c r="H75" s="1289" t="str">
        <f t="shared" si="22"/>
        <v>——</v>
      </c>
      <c r="I75" s="818">
        <v>0.12</v>
      </c>
      <c r="J75" s="1286">
        <f t="shared" si="23"/>
        <v>0</v>
      </c>
      <c r="K75" s="1286">
        <f t="shared" si="24"/>
        <v>0</v>
      </c>
      <c r="L75" s="1286">
        <v>0</v>
      </c>
      <c r="M75" s="1286">
        <f t="shared" si="25"/>
        <v>0</v>
      </c>
      <c r="N75" s="1286">
        <f t="shared" si="25"/>
        <v>0</v>
      </c>
      <c r="AA75" s="1372"/>
      <c r="AB75" s="1372"/>
      <c r="AC75" s="1372"/>
      <c r="AD75" s="1372"/>
      <c r="AE75" s="1372"/>
      <c r="AF75" s="1372"/>
      <c r="AG75" s="1372"/>
      <c r="AH75" s="1372"/>
      <c r="AI75" s="1372"/>
      <c r="AJ75" s="1372"/>
      <c r="AK75" s="1372"/>
    </row>
    <row r="76" spans="1:37" s="2719" customFormat="1" ht="24">
      <c r="A76" s="2878" t="s">
        <v>2956</v>
      </c>
      <c r="B76" s="2884" t="s">
        <v>2957</v>
      </c>
      <c r="C76" s="2770"/>
      <c r="D76" s="1287">
        <f t="shared" si="21"/>
        <v>0</v>
      </c>
      <c r="E76" s="824"/>
      <c r="F76" s="2502"/>
      <c r="G76" s="1285"/>
      <c r="H76" s="1289" t="str">
        <f t="shared" si="22"/>
        <v>——</v>
      </c>
      <c r="I76" s="818">
        <v>0.05</v>
      </c>
      <c r="J76" s="1286">
        <f t="shared" si="23"/>
        <v>0</v>
      </c>
      <c r="K76" s="1286">
        <f t="shared" si="24"/>
        <v>0</v>
      </c>
      <c r="L76" s="1286">
        <v>0</v>
      </c>
      <c r="M76" s="1286">
        <f t="shared" si="25"/>
        <v>0</v>
      </c>
      <c r="N76" s="1286">
        <f t="shared" si="25"/>
        <v>0</v>
      </c>
      <c r="AA76" s="2889"/>
      <c r="AB76" s="1372"/>
      <c r="AC76" s="1372"/>
      <c r="AD76" s="1372"/>
      <c r="AE76" s="1372"/>
      <c r="AF76" s="1372"/>
      <c r="AG76" s="1372"/>
      <c r="AH76" s="2889"/>
      <c r="AI76" s="2889"/>
      <c r="AJ76" s="2889"/>
      <c r="AK76" s="2889"/>
    </row>
    <row r="77" spans="1:37" ht="38.25">
      <c r="A77" s="2878" t="s">
        <v>2960</v>
      </c>
      <c r="B77" s="2881" t="str">
        <f>估价对象房地状况!C20</f>
        <v>区域自然环境：；人文环境；综合评价环境状况一般</v>
      </c>
      <c r="C77" s="2770"/>
      <c r="D77" s="1287">
        <f t="shared" si="21"/>
        <v>0</v>
      </c>
      <c r="E77" s="824"/>
      <c r="F77" s="2502"/>
      <c r="G77" s="1285"/>
      <c r="H77" s="1289" t="str">
        <f t="shared" si="22"/>
        <v>——</v>
      </c>
      <c r="I77" s="818">
        <v>0.15</v>
      </c>
      <c r="J77" s="1286">
        <f t="shared" si="23"/>
        <v>0</v>
      </c>
      <c r="K77" s="1286">
        <f t="shared" si="24"/>
        <v>0</v>
      </c>
      <c r="L77" s="1286">
        <v>0</v>
      </c>
      <c r="M77" s="1286">
        <f t="shared" si="25"/>
        <v>0</v>
      </c>
      <c r="N77" s="1286">
        <f t="shared" si="25"/>
        <v>0</v>
      </c>
      <c r="Z77" s="2720"/>
      <c r="AA77" s="2796"/>
      <c r="AG77" s="1373"/>
      <c r="AK77" s="2796"/>
    </row>
    <row r="78" spans="1:37" ht="24.75" thickBot="1">
      <c r="A78" s="2886" t="s">
        <v>2967</v>
      </c>
      <c r="B78" s="2890"/>
      <c r="C78" s="2770"/>
      <c r="D78" s="1287">
        <f t="shared" si="21"/>
        <v>0</v>
      </c>
      <c r="E78" s="825"/>
      <c r="F78" s="2502"/>
      <c r="G78" s="1285"/>
      <c r="H78" s="1289" t="str">
        <f t="shared" si="22"/>
        <v>——</v>
      </c>
      <c r="I78" s="822">
        <v>0.04</v>
      </c>
      <c r="J78" s="1286">
        <f t="shared" si="23"/>
        <v>0</v>
      </c>
      <c r="K78" s="1286">
        <f t="shared" si="24"/>
        <v>0</v>
      </c>
      <c r="L78" s="1286">
        <v>0</v>
      </c>
      <c r="M78" s="1286">
        <f t="shared" si="25"/>
        <v>0</v>
      </c>
      <c r="N78" s="1286">
        <f t="shared" si="25"/>
        <v>0</v>
      </c>
      <c r="Z78" s="2720"/>
      <c r="AA78" s="2796"/>
      <c r="AG78" s="1373"/>
      <c r="AK78" s="2796"/>
    </row>
    <row r="79" spans="1:37" ht="15">
      <c r="A79" s="2874" t="s">
        <v>2968</v>
      </c>
      <c r="B79" s="2875">
        <f>1+E81</f>
        <v>1</v>
      </c>
      <c r="C79" s="812"/>
      <c r="D79" s="812"/>
      <c r="E79" s="813"/>
      <c r="F79" s="2877"/>
      <c r="G79" s="6"/>
      <c r="H79" s="6"/>
      <c r="I79" s="6"/>
      <c r="J79" s="7"/>
      <c r="K79" s="7"/>
      <c r="L79" s="7"/>
      <c r="M79" s="7"/>
      <c r="N79" s="7"/>
      <c r="Z79" s="2720"/>
      <c r="AA79" s="2796"/>
      <c r="AG79" s="1373"/>
      <c r="AK79" s="2796"/>
    </row>
    <row r="80" spans="1:37" ht="24.75">
      <c r="A80" s="2878" t="s">
        <v>2942</v>
      </c>
      <c r="B80" s="1807"/>
      <c r="C80" s="1807" t="s">
        <v>2944</v>
      </c>
      <c r="D80" s="1807" t="s">
        <v>2945</v>
      </c>
      <c r="E80" s="817" t="s">
        <v>2946</v>
      </c>
      <c r="F80" s="2879" t="s">
        <v>2962</v>
      </c>
      <c r="G80" s="1807" t="s">
        <v>754</v>
      </c>
      <c r="H80" s="2880" t="s">
        <v>2948</v>
      </c>
      <c r="I80" s="1807" t="s">
        <v>2949</v>
      </c>
      <c r="J80" s="603" t="s">
        <v>2598</v>
      </c>
      <c r="K80" s="603" t="s">
        <v>2599</v>
      </c>
      <c r="L80" s="603" t="s">
        <v>2600</v>
      </c>
      <c r="M80" s="603" t="s">
        <v>2601</v>
      </c>
      <c r="N80" s="603" t="s">
        <v>2602</v>
      </c>
      <c r="Z80" s="2720"/>
      <c r="AA80" s="2796"/>
      <c r="AG80" s="1373"/>
      <c r="AK80" s="2796"/>
    </row>
    <row r="81" spans="1:37" ht="38.25">
      <c r="A81" s="2878" t="s">
        <v>2969</v>
      </c>
      <c r="B81" s="2882" t="str">
        <f>估价对象房地状况!G15</f>
        <v>估价对象位于XX开发区，园区建设成熟度XX，产业集聚程度XX</v>
      </c>
      <c r="C81" s="2770"/>
      <c r="D81" s="1287">
        <f t="shared" ref="D81:D88" si="26">SUMIF($J$80:$N$80,C81,J81:N81)</f>
        <v>0</v>
      </c>
      <c r="E81" s="819">
        <f>ROUND(SUM(D81:D88),4)</f>
        <v>0</v>
      </c>
      <c r="F81" s="2502" t="str">
        <f>IF(E2="工业",SUMIF(L1:L12,G2,N1:N12),"——")</f>
        <v>——</v>
      </c>
      <c r="G81" s="1285"/>
      <c r="H81" s="1289" t="str">
        <f t="shared" ref="H81:H88" si="27">IFERROR(ROUNDDOWN($F$81*I81/2,4),"——")</f>
        <v>——</v>
      </c>
      <c r="I81" s="818">
        <v>0.26</v>
      </c>
      <c r="J81" s="1286">
        <f t="shared" ref="J81:J88" si="28">K81+$G81</f>
        <v>0</v>
      </c>
      <c r="K81" s="1286">
        <f t="shared" ref="K81:K88" si="29">$L81+$G81</f>
        <v>0</v>
      </c>
      <c r="L81" s="1286">
        <v>0</v>
      </c>
      <c r="M81" s="1286">
        <f t="shared" ref="M81:N88" si="30">L81-$G81</f>
        <v>0</v>
      </c>
      <c r="N81" s="1286">
        <f t="shared" si="30"/>
        <v>0</v>
      </c>
      <c r="Z81" s="2720"/>
      <c r="AA81" s="2796"/>
      <c r="AG81" s="1373"/>
      <c r="AK81" s="2796"/>
    </row>
    <row r="82" spans="1:37" ht="51">
      <c r="A82" s="2878" t="s">
        <v>2951</v>
      </c>
      <c r="B82" s="2882" t="str">
        <f>估价对象房地状况!G16</f>
        <v>估价对象周边道路状况、公共交通通达情况、停车便捷程度，综合评价交通便捷度较好</v>
      </c>
      <c r="C82" s="2770"/>
      <c r="D82" s="1287">
        <f t="shared" si="26"/>
        <v>0</v>
      </c>
      <c r="E82" s="824"/>
      <c r="F82" s="2502"/>
      <c r="G82" s="1285"/>
      <c r="H82" s="1289" t="str">
        <f t="shared" si="27"/>
        <v>——</v>
      </c>
      <c r="I82" s="818">
        <v>0.33</v>
      </c>
      <c r="J82" s="1286">
        <f t="shared" si="28"/>
        <v>0</v>
      </c>
      <c r="K82" s="1286">
        <f t="shared" si="29"/>
        <v>0</v>
      </c>
      <c r="L82" s="1286">
        <v>0</v>
      </c>
      <c r="M82" s="1286">
        <f t="shared" si="30"/>
        <v>0</v>
      </c>
      <c r="N82" s="1286">
        <f t="shared" si="30"/>
        <v>0</v>
      </c>
      <c r="Z82" s="2720"/>
      <c r="AA82" s="2796"/>
      <c r="AG82" s="1373"/>
      <c r="AK82" s="2796"/>
    </row>
    <row r="83" spans="1:37" ht="24">
      <c r="A83" s="2878" t="s">
        <v>2952</v>
      </c>
      <c r="B83" s="2882">
        <f>估价对象房地状况!G17</f>
        <v>0</v>
      </c>
      <c r="C83" s="2770"/>
      <c r="D83" s="1287">
        <f t="shared" si="26"/>
        <v>0</v>
      </c>
      <c r="E83" s="824"/>
      <c r="F83" s="2502"/>
      <c r="G83" s="1285"/>
      <c r="H83" s="1289" t="str">
        <f t="shared" si="27"/>
        <v>——</v>
      </c>
      <c r="I83" s="818">
        <v>0.05</v>
      </c>
      <c r="J83" s="1286">
        <f t="shared" si="28"/>
        <v>0</v>
      </c>
      <c r="K83" s="1286">
        <f t="shared" si="29"/>
        <v>0</v>
      </c>
      <c r="L83" s="1286">
        <v>0</v>
      </c>
      <c r="M83" s="1286">
        <f t="shared" si="30"/>
        <v>0</v>
      </c>
      <c r="N83" s="1286">
        <f t="shared" si="30"/>
        <v>0</v>
      </c>
      <c r="Z83" s="2720"/>
      <c r="AA83" s="2796"/>
      <c r="AG83" s="1373"/>
      <c r="AK83" s="2796"/>
    </row>
    <row r="84" spans="1:37" ht="14.25">
      <c r="A84" s="2878" t="s">
        <v>2966</v>
      </c>
      <c r="B84" s="2882">
        <f>估价对象房地状况!G22</f>
        <v>0</v>
      </c>
      <c r="C84" s="2770"/>
      <c r="D84" s="1287">
        <f t="shared" si="26"/>
        <v>0</v>
      </c>
      <c r="E84" s="824"/>
      <c r="F84" s="2502"/>
      <c r="G84" s="1285"/>
      <c r="H84" s="1289" t="str">
        <f t="shared" si="27"/>
        <v>——</v>
      </c>
      <c r="I84" s="818">
        <v>0.04</v>
      </c>
      <c r="J84" s="1286">
        <f t="shared" si="28"/>
        <v>0</v>
      </c>
      <c r="K84" s="1286">
        <f t="shared" si="29"/>
        <v>0</v>
      </c>
      <c r="L84" s="1286">
        <v>0</v>
      </c>
      <c r="M84" s="1286">
        <f t="shared" si="30"/>
        <v>0</v>
      </c>
      <c r="N84" s="1286">
        <f t="shared" si="30"/>
        <v>0</v>
      </c>
      <c r="Z84" s="2720"/>
      <c r="AA84" s="2796"/>
      <c r="AG84" s="1373"/>
      <c r="AK84" s="2796"/>
    </row>
    <row r="85" spans="1:37" ht="25.5">
      <c r="A85" s="2878" t="s">
        <v>2958</v>
      </c>
      <c r="B85" s="1723" t="str">
        <f>估价对象房地状况!G19</f>
        <v>估价对象所在区域公共配套设施齐备情况</v>
      </c>
      <c r="C85" s="2770"/>
      <c r="D85" s="1287">
        <f t="shared" si="26"/>
        <v>0</v>
      </c>
      <c r="E85" s="824"/>
      <c r="F85" s="2502"/>
      <c r="G85" s="1285"/>
      <c r="H85" s="1289" t="str">
        <f t="shared" si="27"/>
        <v>——</v>
      </c>
      <c r="I85" s="818">
        <v>0.06</v>
      </c>
      <c r="J85" s="1286">
        <f t="shared" si="28"/>
        <v>0</v>
      </c>
      <c r="K85" s="1286">
        <f t="shared" si="29"/>
        <v>0</v>
      </c>
      <c r="L85" s="1286">
        <v>0</v>
      </c>
      <c r="M85" s="1286">
        <f t="shared" si="30"/>
        <v>0</v>
      </c>
      <c r="N85" s="1286">
        <f t="shared" si="30"/>
        <v>0</v>
      </c>
      <c r="Z85" s="2720"/>
      <c r="AA85" s="2796"/>
      <c r="AG85" s="1373"/>
      <c r="AK85" s="2796"/>
    </row>
    <row r="86" spans="1:37" ht="25.5">
      <c r="A86" s="2878" t="s">
        <v>2959</v>
      </c>
      <c r="B86" s="1723" t="str">
        <f>估价对象房地状况!G20</f>
        <v>估价对象所在区域基础设施水平</v>
      </c>
      <c r="C86" s="2770"/>
      <c r="D86" s="1287">
        <f t="shared" si="26"/>
        <v>0</v>
      </c>
      <c r="E86" s="824"/>
      <c r="F86" s="2502"/>
      <c r="G86" s="1285"/>
      <c r="H86" s="1289" t="str">
        <f t="shared" si="27"/>
        <v>——</v>
      </c>
      <c r="I86" s="818">
        <v>0.15</v>
      </c>
      <c r="J86" s="1286">
        <f t="shared" si="28"/>
        <v>0</v>
      </c>
      <c r="K86" s="1286">
        <f t="shared" si="29"/>
        <v>0</v>
      </c>
      <c r="L86" s="1286">
        <v>0</v>
      </c>
      <c r="M86" s="1286">
        <f t="shared" si="30"/>
        <v>0</v>
      </c>
      <c r="N86" s="1286">
        <f t="shared" si="30"/>
        <v>0</v>
      </c>
      <c r="Z86" s="2720"/>
      <c r="AA86" s="2796"/>
      <c r="AG86" s="1373"/>
      <c r="AK86" s="2796"/>
    </row>
    <row r="87" spans="1:37" ht="24">
      <c r="A87" s="2878" t="s">
        <v>2956</v>
      </c>
      <c r="B87" s="2884" t="s">
        <v>2970</v>
      </c>
      <c r="C87" s="2770"/>
      <c r="D87" s="1287">
        <f t="shared" si="26"/>
        <v>0</v>
      </c>
      <c r="E87" s="824"/>
      <c r="F87" s="2502"/>
      <c r="G87" s="1285"/>
      <c r="H87" s="1289" t="str">
        <f t="shared" si="27"/>
        <v>——</v>
      </c>
      <c r="I87" s="818">
        <v>0.05</v>
      </c>
      <c r="J87" s="1286">
        <f t="shared" si="28"/>
        <v>0</v>
      </c>
      <c r="K87" s="1286">
        <f t="shared" si="29"/>
        <v>0</v>
      </c>
      <c r="L87" s="1286">
        <v>0</v>
      </c>
      <c r="M87" s="1286">
        <f t="shared" si="30"/>
        <v>0</v>
      </c>
      <c r="N87" s="1286">
        <f t="shared" si="30"/>
        <v>0</v>
      </c>
      <c r="Z87" s="2720"/>
      <c r="AA87" s="2796"/>
      <c r="AG87" s="1373"/>
      <c r="AK87" s="2796"/>
    </row>
    <row r="88" spans="1:37" ht="39" thickBot="1">
      <c r="A88" s="2886" t="s">
        <v>2971</v>
      </c>
      <c r="B88" s="2891" t="str">
        <f>估价对象房地状况!G18</f>
        <v>该园区内是否有污染型企业，绿化情况，卫生条件，整体环境状况判断</v>
      </c>
      <c r="C88" s="2770"/>
      <c r="D88" s="1287">
        <f t="shared" si="26"/>
        <v>0</v>
      </c>
      <c r="E88" s="825"/>
      <c r="F88" s="2502"/>
      <c r="G88" s="1285"/>
      <c r="H88" s="1289" t="str">
        <f t="shared" si="27"/>
        <v>——</v>
      </c>
      <c r="I88" s="822">
        <v>0.06</v>
      </c>
      <c r="J88" s="1286">
        <f t="shared" si="28"/>
        <v>0</v>
      </c>
      <c r="K88" s="1286">
        <f t="shared" si="29"/>
        <v>0</v>
      </c>
      <c r="L88" s="1286">
        <v>0</v>
      </c>
      <c r="M88" s="1286">
        <f t="shared" si="30"/>
        <v>0</v>
      </c>
      <c r="N88" s="1286">
        <f t="shared" si="30"/>
        <v>0</v>
      </c>
      <c r="Z88" s="2720"/>
      <c r="AA88" s="2796"/>
      <c r="AG88" s="1373"/>
      <c r="AK88" s="2796"/>
    </row>
    <row r="90" spans="1:37">
      <c r="A90" s="3328" t="s">
        <v>2972</v>
      </c>
      <c r="B90" s="3328"/>
      <c r="C90" s="3328"/>
      <c r="D90" s="3328"/>
      <c r="E90" s="3328"/>
      <c r="F90" s="3328"/>
      <c r="G90" s="3328"/>
      <c r="H90" s="3328"/>
      <c r="I90" s="3328"/>
      <c r="J90" s="3328"/>
      <c r="K90" s="2892"/>
      <c r="L90" s="2892"/>
      <c r="M90" s="2892"/>
      <c r="N90" s="2892"/>
    </row>
    <row r="91" spans="1:37">
      <c r="A91" s="3330" t="s">
        <v>2973</v>
      </c>
      <c r="B91" s="3330" t="s">
        <v>2974</v>
      </c>
      <c r="C91" s="2846" t="s">
        <v>2975</v>
      </c>
      <c r="D91" s="2847"/>
      <c r="E91" s="2847"/>
      <c r="F91" s="2847"/>
      <c r="G91" s="2847"/>
      <c r="H91" s="2847"/>
      <c r="I91" s="2847"/>
      <c r="J91" s="2893"/>
      <c r="K91" s="2894"/>
      <c r="L91" s="2894"/>
      <c r="M91" s="2894"/>
      <c r="N91" s="2894"/>
    </row>
    <row r="92" spans="1:37">
      <c r="A92" s="3330"/>
      <c r="B92" s="3330"/>
      <c r="C92" s="943" t="s">
        <v>2841</v>
      </c>
      <c r="D92" s="943" t="s">
        <v>2842</v>
      </c>
      <c r="E92" s="943" t="s">
        <v>2843</v>
      </c>
      <c r="F92" s="943" t="s">
        <v>2844</v>
      </c>
      <c r="G92" s="943" t="s">
        <v>2845</v>
      </c>
      <c r="H92" s="943" t="s">
        <v>2846</v>
      </c>
      <c r="I92" s="943" t="s">
        <v>2847</v>
      </c>
      <c r="J92" s="943" t="s">
        <v>2848</v>
      </c>
      <c r="K92" s="943" t="s">
        <v>2849</v>
      </c>
      <c r="L92" s="943" t="s">
        <v>2850</v>
      </c>
      <c r="M92" s="943" t="s">
        <v>2851</v>
      </c>
      <c r="N92" s="943" t="s">
        <v>2852</v>
      </c>
    </row>
    <row r="93" spans="1:37">
      <c r="A93" s="3331" t="s">
        <v>2976</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332"/>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332"/>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332"/>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332"/>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332"/>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332"/>
      <c r="B99" s="2895" t="s">
        <v>2857</v>
      </c>
      <c r="C99" s="2897">
        <f>$I$3</f>
        <v>0</v>
      </c>
      <c r="D99" s="2897">
        <f t="shared" ref="D99:M99" si="31">$I$3</f>
        <v>0</v>
      </c>
      <c r="E99" s="2897">
        <f t="shared" si="31"/>
        <v>0</v>
      </c>
      <c r="F99" s="2897">
        <f t="shared" si="31"/>
        <v>0</v>
      </c>
      <c r="G99" s="2897">
        <f t="shared" si="31"/>
        <v>0</v>
      </c>
      <c r="H99" s="2897">
        <f t="shared" si="31"/>
        <v>0</v>
      </c>
      <c r="I99" s="2897">
        <f t="shared" si="31"/>
        <v>0</v>
      </c>
      <c r="J99" s="2897">
        <f t="shared" si="31"/>
        <v>0</v>
      </c>
      <c r="K99" s="2897">
        <f t="shared" si="31"/>
        <v>0</v>
      </c>
      <c r="L99" s="2897">
        <f t="shared" si="31"/>
        <v>0</v>
      </c>
      <c r="M99" s="2897">
        <f t="shared" si="31"/>
        <v>0</v>
      </c>
      <c r="N99" s="2897">
        <f>$I$3</f>
        <v>0</v>
      </c>
    </row>
    <row r="100" spans="1:14">
      <c r="A100" s="3333"/>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331" t="s">
        <v>2977</v>
      </c>
      <c r="B101" s="2899" t="s">
        <v>2978</v>
      </c>
      <c r="C101" s="2900">
        <f>$G$3</f>
        <v>3.08</v>
      </c>
      <c r="D101" s="2900">
        <f t="shared" ref="D101:N101" si="32">$G$3</f>
        <v>3.08</v>
      </c>
      <c r="E101" s="2900">
        <f t="shared" si="32"/>
        <v>3.08</v>
      </c>
      <c r="F101" s="2900">
        <f t="shared" si="32"/>
        <v>3.08</v>
      </c>
      <c r="G101" s="2900">
        <f t="shared" si="32"/>
        <v>3.08</v>
      </c>
      <c r="H101" s="2900">
        <f t="shared" si="32"/>
        <v>3.08</v>
      </c>
      <c r="I101" s="2900">
        <f t="shared" si="32"/>
        <v>3.08</v>
      </c>
      <c r="J101" s="2900">
        <f t="shared" si="32"/>
        <v>3.08</v>
      </c>
      <c r="K101" s="2900">
        <f t="shared" si="32"/>
        <v>3.08</v>
      </c>
      <c r="L101" s="2900">
        <f t="shared" si="32"/>
        <v>3.08</v>
      </c>
      <c r="M101" s="2900">
        <f t="shared" si="32"/>
        <v>3.08</v>
      </c>
      <c r="N101" s="2900">
        <f t="shared" si="32"/>
        <v>3.08</v>
      </c>
    </row>
    <row r="102" spans="1:14">
      <c r="A102" s="3332"/>
      <c r="B102" s="2895">
        <v>1</v>
      </c>
      <c r="C102" s="2896">
        <f>1.9362/C101</f>
        <v>0.62863636363636355</v>
      </c>
      <c r="D102" s="2896">
        <f>1.9362/D101</f>
        <v>0.62863636363636355</v>
      </c>
      <c r="E102" s="2896">
        <f>1.8629/E101</f>
        <v>0.60483766233766234</v>
      </c>
      <c r="F102" s="2896">
        <f>1.8629/F101</f>
        <v>0.60483766233766234</v>
      </c>
      <c r="G102" s="2896">
        <f>1.8629/G101</f>
        <v>0.60483766233766234</v>
      </c>
      <c r="H102" s="2896">
        <f>1.8629/H101</f>
        <v>0.60483766233766234</v>
      </c>
      <c r="I102" s="2896">
        <f>1.8629/I101</f>
        <v>0.60483766233766234</v>
      </c>
      <c r="J102" s="2896">
        <f>1.942/J101</f>
        <v>0.63051948051948048</v>
      </c>
      <c r="K102" s="2896">
        <f>1.942/K101</f>
        <v>0.63051948051948048</v>
      </c>
      <c r="L102" s="2896">
        <f>1.942/L101</f>
        <v>0.63051948051948048</v>
      </c>
      <c r="M102" s="2896">
        <f>1.942/M101</f>
        <v>0.63051948051948048</v>
      </c>
      <c r="N102" s="2896">
        <f>1.942/N101</f>
        <v>0.63051948051948048</v>
      </c>
    </row>
    <row r="103" spans="1:14">
      <c r="A103" s="3332"/>
      <c r="B103" s="2895">
        <v>2</v>
      </c>
      <c r="C103" s="2896">
        <f>1.4198/C101</f>
        <v>0.46097402597402592</v>
      </c>
      <c r="D103" s="2896">
        <f>1.4198/D101</f>
        <v>0.46097402597402592</v>
      </c>
      <c r="E103" s="2896">
        <f>1.3372/E101</f>
        <v>0.43415584415584413</v>
      </c>
      <c r="F103" s="2896">
        <f>1.3372/F101</f>
        <v>0.43415584415584413</v>
      </c>
      <c r="G103" s="2896">
        <f>1.3372/G101</f>
        <v>0.43415584415584413</v>
      </c>
      <c r="H103" s="2896">
        <f>1.3372/H101</f>
        <v>0.43415584415584413</v>
      </c>
      <c r="I103" s="2896">
        <f>1.3372/I101</f>
        <v>0.43415584415584413</v>
      </c>
      <c r="J103" s="2896">
        <f>1.2799/J101</f>
        <v>0.41555194805194806</v>
      </c>
      <c r="K103" s="2896">
        <f>1.2799/K101</f>
        <v>0.41555194805194806</v>
      </c>
      <c r="L103" s="2896">
        <f>1.2799/L101</f>
        <v>0.41555194805194806</v>
      </c>
      <c r="M103" s="2896">
        <f>1.2799/M101</f>
        <v>0.41555194805194806</v>
      </c>
      <c r="N103" s="2896">
        <f>1.2799/N101</f>
        <v>0.41555194805194806</v>
      </c>
    </row>
    <row r="104" spans="1:14">
      <c r="A104" s="3332"/>
      <c r="B104" s="2895">
        <v>3</v>
      </c>
      <c r="C104" s="2896">
        <f>1.1594/C101</f>
        <v>0.37642857142857139</v>
      </c>
      <c r="D104" s="2896">
        <f>1.1594/D101</f>
        <v>0.37642857142857139</v>
      </c>
      <c r="E104" s="2896">
        <f>1.0788/E101</f>
        <v>0.35025974025974027</v>
      </c>
      <c r="F104" s="2896">
        <f>1.0788/F101</f>
        <v>0.35025974025974027</v>
      </c>
      <c r="G104" s="2896">
        <f>1.0788/G101</f>
        <v>0.35025974025974027</v>
      </c>
      <c r="H104" s="2896">
        <f>1.0788/H101</f>
        <v>0.35025974025974027</v>
      </c>
      <c r="I104" s="2896">
        <f>1.0788/I101</f>
        <v>0.35025974025974027</v>
      </c>
      <c r="J104" s="2896">
        <f>1.0072/J101</f>
        <v>0.32701298701298703</v>
      </c>
      <c r="K104" s="2896">
        <f>1.0072/K101</f>
        <v>0.32701298701298703</v>
      </c>
      <c r="L104" s="2896">
        <f>1.0072/L101</f>
        <v>0.32701298701298703</v>
      </c>
      <c r="M104" s="2896">
        <f>1.0072/M101</f>
        <v>0.32701298701298703</v>
      </c>
      <c r="N104" s="2896">
        <f>1.0072/N101</f>
        <v>0.32701298701298703</v>
      </c>
    </row>
    <row r="105" spans="1:14">
      <c r="A105" s="3332"/>
      <c r="B105" s="2895">
        <v>4</v>
      </c>
      <c r="C105" s="2896">
        <f>0.9622/C101</f>
        <v>0.3124025974025974</v>
      </c>
      <c r="D105" s="2896">
        <f>0.9622/D101</f>
        <v>0.3124025974025974</v>
      </c>
      <c r="E105" s="2896">
        <f>0.8656/E101</f>
        <v>0.28103896103896103</v>
      </c>
      <c r="F105" s="2896">
        <f>0.8656/F101</f>
        <v>0.28103896103896103</v>
      </c>
      <c r="G105" s="2896">
        <f>0.8656/G101</f>
        <v>0.28103896103896103</v>
      </c>
      <c r="H105" s="2896">
        <f>0.8656/H101</f>
        <v>0.28103896103896103</v>
      </c>
      <c r="I105" s="2896">
        <f>0.8656/I101</f>
        <v>0.28103896103896103</v>
      </c>
      <c r="J105" s="2896">
        <f>0.7525/J101</f>
        <v>0.2443181818181818</v>
      </c>
      <c r="K105" s="2896">
        <f>0.7525/K101</f>
        <v>0.2443181818181818</v>
      </c>
      <c r="L105" s="2896">
        <f>0.7525/L101</f>
        <v>0.2443181818181818</v>
      </c>
      <c r="M105" s="2896">
        <f>0.7525/M101</f>
        <v>0.2443181818181818</v>
      </c>
      <c r="N105" s="2896">
        <f>0.7525/N101</f>
        <v>0.2443181818181818</v>
      </c>
    </row>
    <row r="106" spans="1:14">
      <c r="A106" s="3332"/>
      <c r="B106" s="2895">
        <v>5</v>
      </c>
      <c r="C106" s="2896">
        <f>0.8417/C101</f>
        <v>0.27327922077922079</v>
      </c>
      <c r="D106" s="2896">
        <f>0.8417/D101</f>
        <v>0.27327922077922079</v>
      </c>
      <c r="E106" s="2896">
        <f>0.7371/E101</f>
        <v>0.23931818181818182</v>
      </c>
      <c r="F106" s="2896">
        <f>0.7371/F101</f>
        <v>0.23931818181818182</v>
      </c>
      <c r="G106" s="2896">
        <f>0.7371/G101</f>
        <v>0.23931818181818182</v>
      </c>
      <c r="H106" s="2896">
        <f>0.7371/H101</f>
        <v>0.23931818181818182</v>
      </c>
      <c r="I106" s="2896">
        <f>0.7371/I101</f>
        <v>0.23931818181818182</v>
      </c>
      <c r="J106" s="2896">
        <f>0.5659/J101</f>
        <v>0.18373376623376622</v>
      </c>
      <c r="K106" s="2896">
        <f>0.5659/K101</f>
        <v>0.18373376623376622</v>
      </c>
      <c r="L106" s="2896">
        <f>0.5659/L101</f>
        <v>0.18373376623376622</v>
      </c>
      <c r="M106" s="2896">
        <f>0.5659/M101</f>
        <v>0.18373376623376622</v>
      </c>
      <c r="N106" s="2896">
        <f>0.5659/N101</f>
        <v>0.18373376623376622</v>
      </c>
    </row>
    <row r="107" spans="1:14">
      <c r="A107" s="3332"/>
      <c r="B107" s="2895">
        <v>6</v>
      </c>
      <c r="C107" s="2896">
        <f>0.7608/C101</f>
        <v>0.24701298701298702</v>
      </c>
      <c r="D107" s="2896">
        <f>0.7608/D101</f>
        <v>0.24701298701298702</v>
      </c>
      <c r="E107" s="2896">
        <f>0.6482/E101</f>
        <v>0.21045454545454545</v>
      </c>
      <c r="F107" s="2896">
        <f>0.6482/F101</f>
        <v>0.21045454545454545</v>
      </c>
      <c r="G107" s="2896">
        <f>0.6482/G101</f>
        <v>0.21045454545454545</v>
      </c>
      <c r="H107" s="2896">
        <f>0.6482/H101</f>
        <v>0.21045454545454545</v>
      </c>
      <c r="I107" s="2896">
        <f>0.6482/I101</f>
        <v>0.21045454545454545</v>
      </c>
      <c r="J107" s="2896">
        <f>0.4525/J101</f>
        <v>0.14691558441558442</v>
      </c>
      <c r="K107" s="2896">
        <f>0.4525/K101</f>
        <v>0.14691558441558442</v>
      </c>
      <c r="L107" s="2896">
        <f>0.4525/L101</f>
        <v>0.14691558441558442</v>
      </c>
      <c r="M107" s="2896">
        <f>0.4525/M101</f>
        <v>0.14691558441558442</v>
      </c>
      <c r="N107" s="2896">
        <f>0.4525/N101</f>
        <v>0.14691558441558442</v>
      </c>
    </row>
    <row r="108" spans="1:14">
      <c r="A108" s="3332"/>
      <c r="B108" s="3156" t="s">
        <v>2979</v>
      </c>
      <c r="C108" s="2897">
        <f>C99</f>
        <v>0</v>
      </c>
      <c r="D108" s="2897">
        <f t="shared" ref="D108:N108" si="33">D99</f>
        <v>0</v>
      </c>
      <c r="E108" s="2897">
        <f t="shared" si="33"/>
        <v>0</v>
      </c>
      <c r="F108" s="2897">
        <f t="shared" si="33"/>
        <v>0</v>
      </c>
      <c r="G108" s="2897">
        <f t="shared" si="33"/>
        <v>0</v>
      </c>
      <c r="H108" s="2897">
        <f t="shared" si="33"/>
        <v>0</v>
      </c>
      <c r="I108" s="2897">
        <f t="shared" si="33"/>
        <v>0</v>
      </c>
      <c r="J108" s="2897">
        <f t="shared" si="33"/>
        <v>0</v>
      </c>
      <c r="K108" s="2897">
        <f t="shared" si="33"/>
        <v>0</v>
      </c>
      <c r="L108" s="2897">
        <f t="shared" si="33"/>
        <v>0</v>
      </c>
      <c r="M108" s="2897">
        <f t="shared" si="33"/>
        <v>0</v>
      </c>
      <c r="N108" s="2897">
        <f t="shared" si="33"/>
        <v>0</v>
      </c>
    </row>
    <row r="109" spans="1:14">
      <c r="A109" s="3333"/>
      <c r="B109" s="3157"/>
      <c r="C109" s="2898">
        <f>(-0.163*(C108^2)-0.59*C108+7617)*(10^(-4))/C101</f>
        <v>0.24730519480519481</v>
      </c>
      <c r="D109" s="2898">
        <f>(-0.163*(D108^2)-0.59*D108+7617)*(10^(-4))/D101</f>
        <v>0.24730519480519481</v>
      </c>
      <c r="E109" s="2898">
        <f>(-0.161*(E108^2)-7.509*E108+6533)*(10^(-4))/E101</f>
        <v>0.21211038961038961</v>
      </c>
      <c r="F109" s="2898">
        <f>(-0.161*(F108^2)-7.509*F108+6533)*(10^(-4))/F101</f>
        <v>0.21211038961038961</v>
      </c>
      <c r="G109" s="2898">
        <f>(-0.161*(G108^2)-7.509*G108+6533)*(10^(-4))/G101</f>
        <v>0.21211038961038961</v>
      </c>
      <c r="H109" s="2898">
        <f>(-0.161*(H108^2)-7.509*H108+6533)*(10^(-4))/H101</f>
        <v>0.21211038961038961</v>
      </c>
      <c r="I109" s="2898">
        <f>(-0.161*(I108^2)-7.509*I108+6533)*(10^(-4))/I101</f>
        <v>0.21211038961038961</v>
      </c>
      <c r="J109" s="2898">
        <f>(-0.214*(J108^2)-21.991*J108+4665)*(10^(-4))/J101</f>
        <v>0.15146103896103896</v>
      </c>
      <c r="K109" s="2898">
        <f>(-0.214*(K108^2)-21.991*K108+4665)*(10^(-4))/K101</f>
        <v>0.15146103896103896</v>
      </c>
      <c r="L109" s="2898">
        <f>(-0.214*(L108^2)-21.991*L108+4665)*(10^(-4))/L101</f>
        <v>0.15146103896103896</v>
      </c>
      <c r="M109" s="2898">
        <f>(-0.214*(M108^2)-21.991*M108+4665)*(10^(-4))/M101</f>
        <v>0.15146103896103896</v>
      </c>
      <c r="N109" s="2898">
        <f>(-0.214*(N108^2)-21.991*N108+4665)*(10^(-4))/N101</f>
        <v>0.15146103896103896</v>
      </c>
    </row>
    <row r="110" spans="1:14">
      <c r="A110" s="3329" t="s">
        <v>2980</v>
      </c>
      <c r="B110" s="3329"/>
      <c r="C110" s="3329"/>
      <c r="D110" s="3329"/>
      <c r="E110" s="3329"/>
      <c r="F110" s="3329"/>
      <c r="G110" s="3329"/>
      <c r="H110" s="3329"/>
      <c r="I110" s="3329"/>
      <c r="J110" s="3329"/>
      <c r="K110" s="2901"/>
      <c r="L110" s="2901"/>
      <c r="M110" s="2901"/>
      <c r="N110" s="2901"/>
    </row>
    <row r="112" spans="1:14" ht="13.5" thickBot="1"/>
    <row r="113" spans="1:13" ht="25.5" thickBot="1">
      <c r="A113" s="901" t="s">
        <v>2981</v>
      </c>
      <c r="B113" s="1288">
        <f>G3</f>
        <v>3.08</v>
      </c>
      <c r="C113" s="902" t="s">
        <v>2982</v>
      </c>
      <c r="D113" s="903">
        <f>SUMPRODUCT((A115:A118=F113)*(B114:M114=H113)*B115:M118)</f>
        <v>0.72629999999999995</v>
      </c>
      <c r="E113" s="2724" t="s">
        <v>2815</v>
      </c>
      <c r="F113" s="2903" t="str">
        <f>E2</f>
        <v>办公</v>
      </c>
      <c r="G113" s="2724" t="s">
        <v>2816</v>
      </c>
      <c r="H113" s="2903" t="str">
        <f>G2</f>
        <v>八级</v>
      </c>
      <c r="I113" s="2724"/>
      <c r="J113" s="2904"/>
      <c r="K113" s="2904"/>
      <c r="L113" s="2904"/>
      <c r="M113" s="2904"/>
    </row>
    <row r="114" spans="1:13">
      <c r="A114" s="906"/>
      <c r="B114" s="2905" t="s">
        <v>2983</v>
      </c>
      <c r="C114" s="2905" t="s">
        <v>2984</v>
      </c>
      <c r="D114" s="2905" t="s">
        <v>2985</v>
      </c>
      <c r="E114" s="2906" t="s">
        <v>2986</v>
      </c>
      <c r="F114" s="2906" t="s">
        <v>2987</v>
      </c>
      <c r="G114" s="2906" t="s">
        <v>2988</v>
      </c>
      <c r="H114" s="2907" t="s">
        <v>2989</v>
      </c>
      <c r="I114" s="2907" t="s">
        <v>2990</v>
      </c>
      <c r="J114" s="2908" t="s">
        <v>2991</v>
      </c>
      <c r="K114" s="2908" t="s">
        <v>2992</v>
      </c>
      <c r="L114" s="2908" t="s">
        <v>2993</v>
      </c>
      <c r="M114" s="2909" t="s">
        <v>2994</v>
      </c>
    </row>
    <row r="115" spans="1:13">
      <c r="A115" s="907" t="s">
        <v>2879</v>
      </c>
      <c r="B115" s="908">
        <f>ROUND(0.9335-0.0094*B113,4)</f>
        <v>0.90449999999999997</v>
      </c>
      <c r="C115" s="908">
        <f>B115</f>
        <v>0.90449999999999997</v>
      </c>
      <c r="D115" s="908">
        <f>ROUND(0.8331-0.0109*B113,4)</f>
        <v>0.79949999999999999</v>
      </c>
      <c r="E115" s="908">
        <f>D115</f>
        <v>0.79949999999999999</v>
      </c>
      <c r="F115" s="908">
        <f>E115</f>
        <v>0.79949999999999999</v>
      </c>
      <c r="G115" s="908">
        <f>F115</f>
        <v>0.79949999999999999</v>
      </c>
      <c r="H115" s="908">
        <f>G115</f>
        <v>0.79949999999999999</v>
      </c>
      <c r="I115" s="908">
        <f>ROUND(0.689-0.0155*B113,4)</f>
        <v>0.64129999999999998</v>
      </c>
      <c r="J115" s="908">
        <f t="shared" ref="J115:M118" si="34">I115</f>
        <v>0.64129999999999998</v>
      </c>
      <c r="K115" s="908">
        <f t="shared" si="34"/>
        <v>0.64129999999999998</v>
      </c>
      <c r="L115" s="908">
        <f t="shared" si="34"/>
        <v>0.64129999999999998</v>
      </c>
      <c r="M115" s="909">
        <f t="shared" si="34"/>
        <v>0.64129999999999998</v>
      </c>
    </row>
    <row r="116" spans="1:13">
      <c r="A116" s="907" t="s">
        <v>2880</v>
      </c>
      <c r="B116" s="908">
        <f>ROUND(0.949-0.012*B113,4)</f>
        <v>0.91200000000000003</v>
      </c>
      <c r="C116" s="908">
        <f>B116</f>
        <v>0.91200000000000003</v>
      </c>
      <c r="D116" s="908">
        <f>ROUND(0.8567-0.013*B113,4)</f>
        <v>0.81669999999999998</v>
      </c>
      <c r="E116" s="908">
        <f t="shared" ref="E116:H117" si="35">D116</f>
        <v>0.81669999999999998</v>
      </c>
      <c r="F116" s="908">
        <f t="shared" si="35"/>
        <v>0.81669999999999998</v>
      </c>
      <c r="G116" s="908">
        <f t="shared" si="35"/>
        <v>0.81669999999999998</v>
      </c>
      <c r="H116" s="908">
        <f t="shared" si="35"/>
        <v>0.81669999999999998</v>
      </c>
      <c r="I116" s="908">
        <f>ROUND(0.7694-0.014*B113,4)</f>
        <v>0.72629999999999995</v>
      </c>
      <c r="J116" s="908">
        <f t="shared" si="34"/>
        <v>0.72629999999999995</v>
      </c>
      <c r="K116" s="908">
        <f t="shared" si="34"/>
        <v>0.72629999999999995</v>
      </c>
      <c r="L116" s="908">
        <f t="shared" si="34"/>
        <v>0.72629999999999995</v>
      </c>
      <c r="M116" s="909">
        <f t="shared" si="34"/>
        <v>0.72629999999999995</v>
      </c>
    </row>
    <row r="117" spans="1:13">
      <c r="A117" s="907" t="s">
        <v>2881</v>
      </c>
      <c r="B117" s="908">
        <f>ROUND(0.8808-0.006*B113,4)</f>
        <v>0.86229999999999996</v>
      </c>
      <c r="C117" s="908">
        <f>B117</f>
        <v>0.86229999999999996</v>
      </c>
      <c r="D117" s="908">
        <f>ROUND(0.8748-0.008*B113,4)</f>
        <v>0.85019999999999996</v>
      </c>
      <c r="E117" s="908">
        <f t="shared" si="35"/>
        <v>0.85019999999999996</v>
      </c>
      <c r="F117" s="908">
        <f t="shared" si="35"/>
        <v>0.85019999999999996</v>
      </c>
      <c r="G117" s="908">
        <f t="shared" si="35"/>
        <v>0.85019999999999996</v>
      </c>
      <c r="H117" s="908">
        <f t="shared" si="35"/>
        <v>0.85019999999999996</v>
      </c>
      <c r="I117" s="908">
        <f>ROUND(0.7412-0.0095*B113,4)</f>
        <v>0.71189999999999998</v>
      </c>
      <c r="J117" s="908">
        <f t="shared" si="34"/>
        <v>0.71189999999999998</v>
      </c>
      <c r="K117" s="908">
        <f t="shared" si="34"/>
        <v>0.71189999999999998</v>
      </c>
      <c r="L117" s="908">
        <f t="shared" si="34"/>
        <v>0.71189999999999998</v>
      </c>
      <c r="M117" s="909">
        <f t="shared" si="34"/>
        <v>0.71189999999999998</v>
      </c>
    </row>
    <row r="118" spans="1:13" ht="13.5" thickBot="1">
      <c r="A118" s="712" t="s">
        <v>2882</v>
      </c>
      <c r="B118" s="910">
        <f>ROUND(0.7275-0.01*B113,4)</f>
        <v>0.69669999999999999</v>
      </c>
      <c r="C118" s="910">
        <f>B118</f>
        <v>0.69669999999999999</v>
      </c>
      <c r="D118" s="910">
        <f>ROUND(0.7043-0.012*B113,4)</f>
        <v>0.6673</v>
      </c>
      <c r="E118" s="910">
        <f>D118</f>
        <v>0.6673</v>
      </c>
      <c r="F118" s="910">
        <f>E118</f>
        <v>0.6673</v>
      </c>
      <c r="G118" s="910">
        <f>ROUND(0.6299-0.0122*B113,4)</f>
        <v>0.59230000000000005</v>
      </c>
      <c r="H118" s="910">
        <f>G118</f>
        <v>0.59230000000000005</v>
      </c>
      <c r="I118" s="910">
        <f>ROUND(0.5667-0.0136*B113,4)</f>
        <v>0.52480000000000004</v>
      </c>
      <c r="J118" s="910">
        <f t="shared" si="34"/>
        <v>0.52480000000000004</v>
      </c>
      <c r="K118" s="910">
        <f t="shared" si="34"/>
        <v>0.52480000000000004</v>
      </c>
      <c r="L118" s="910">
        <f t="shared" si="34"/>
        <v>0.52480000000000004</v>
      </c>
      <c r="M118" s="911">
        <f t="shared" si="34"/>
        <v>0.52480000000000004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30" priority="5" stopIfTrue="1" operator="notEqual">
      <formula>"——"</formula>
    </cfRule>
  </conditionalFormatting>
  <conditionalFormatting sqref="F59">
    <cfRule type="cellIs" dxfId="29" priority="4" stopIfTrue="1" operator="notEqual">
      <formula>"——"</formula>
    </cfRule>
  </conditionalFormatting>
  <conditionalFormatting sqref="F70">
    <cfRule type="cellIs" dxfId="28" priority="3" stopIfTrue="1" operator="notEqual">
      <formula>"——"</formula>
    </cfRule>
  </conditionalFormatting>
  <conditionalFormatting sqref="F81">
    <cfRule type="cellIs" dxfId="27" priority="2" stopIfTrue="1" operator="notEqual">
      <formula>"——"</formula>
    </cfRule>
  </conditionalFormatting>
  <conditionalFormatting sqref="H48:H56 H59:H67 H70:H78 H81:H88">
    <cfRule type="cellIs" dxfId="2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346" t="s">
        <v>183</v>
      </c>
      <c r="B18" s="880" t="s">
        <v>560</v>
      </c>
      <c r="C18" s="881" t="s">
        <v>561</v>
      </c>
      <c r="D18" s="882"/>
      <c r="E18" s="880">
        <v>1</v>
      </c>
      <c r="F18" s="883" t="s">
        <v>562</v>
      </c>
      <c r="G18" s="884"/>
      <c r="H18" s="876"/>
      <c r="I18" s="876"/>
    </row>
    <row r="19" spans="1:9" s="885" customFormat="1" ht="19.5" customHeight="1">
      <c r="A19" s="3346"/>
      <c r="B19" s="3346" t="s">
        <v>563</v>
      </c>
      <c r="C19" s="881" t="s">
        <v>564</v>
      </c>
      <c r="D19" s="882"/>
      <c r="E19" s="880">
        <v>0.9</v>
      </c>
      <c r="F19" s="883" t="s">
        <v>565</v>
      </c>
      <c r="G19" s="884"/>
      <c r="H19" s="876"/>
      <c r="I19" s="876"/>
    </row>
    <row r="20" spans="1:9" s="885" customFormat="1" ht="19.5" customHeight="1">
      <c r="A20" s="3346"/>
      <c r="B20" s="3346"/>
      <c r="C20" s="881" t="s">
        <v>566</v>
      </c>
      <c r="D20" s="882"/>
      <c r="E20" s="880">
        <v>1.1000000000000001</v>
      </c>
      <c r="F20" s="883" t="s">
        <v>567</v>
      </c>
      <c r="G20" s="884"/>
      <c r="H20" s="876"/>
      <c r="I20" s="876"/>
    </row>
    <row r="21" spans="1:9" s="885" customFormat="1" ht="19.5" customHeight="1">
      <c r="A21" s="3346"/>
      <c r="B21" s="3346"/>
      <c r="C21" s="881" t="s">
        <v>568</v>
      </c>
      <c r="D21" s="882"/>
      <c r="E21" s="880">
        <v>0.8</v>
      </c>
      <c r="F21" s="883" t="s">
        <v>569</v>
      </c>
      <c r="G21" s="884"/>
      <c r="H21" s="876"/>
      <c r="I21" s="876"/>
    </row>
    <row r="22" spans="1:9" s="885" customFormat="1" ht="19.5" customHeight="1">
      <c r="A22" s="3346"/>
      <c r="B22" s="3346"/>
      <c r="C22" s="881" t="s">
        <v>570</v>
      </c>
      <c r="D22" s="882"/>
      <c r="E22" s="880">
        <v>0.5</v>
      </c>
      <c r="F22" s="883"/>
      <c r="G22" s="884"/>
      <c r="H22" s="876"/>
      <c r="I22" s="876"/>
    </row>
    <row r="23" spans="1:9" s="885" customFormat="1" ht="19.5" customHeight="1">
      <c r="A23" s="3346" t="s">
        <v>184</v>
      </c>
      <c r="B23" s="880" t="s">
        <v>560</v>
      </c>
      <c r="C23" s="881" t="s">
        <v>571</v>
      </c>
      <c r="D23" s="882"/>
      <c r="E23" s="880">
        <v>1</v>
      </c>
      <c r="F23" s="883" t="s">
        <v>572</v>
      </c>
      <c r="G23" s="884"/>
      <c r="H23" s="876"/>
      <c r="I23" s="876"/>
    </row>
    <row r="24" spans="1:9" s="885" customFormat="1" ht="19.5" customHeight="1">
      <c r="A24" s="3346"/>
      <c r="B24" s="3346" t="s">
        <v>563</v>
      </c>
      <c r="C24" s="881" t="s">
        <v>573</v>
      </c>
      <c r="D24" s="882"/>
      <c r="E24" s="880">
        <v>0.5</v>
      </c>
      <c r="F24" s="883"/>
      <c r="G24" s="884"/>
      <c r="H24" s="876"/>
      <c r="I24" s="876"/>
    </row>
    <row r="25" spans="1:9" s="885" customFormat="1" ht="19.5" customHeight="1">
      <c r="A25" s="3346"/>
      <c r="B25" s="3346"/>
      <c r="C25" s="881" t="s">
        <v>574</v>
      </c>
      <c r="D25" s="882"/>
      <c r="E25" s="880">
        <v>1.1000000000000001</v>
      </c>
      <c r="F25" s="883"/>
      <c r="G25" s="884"/>
      <c r="H25" s="876"/>
      <c r="I25" s="876"/>
    </row>
    <row r="26" spans="1:9" s="885" customFormat="1" ht="19.5" customHeight="1">
      <c r="A26" s="3346"/>
      <c r="B26" s="3346"/>
      <c r="C26" s="881" t="s">
        <v>575</v>
      </c>
      <c r="D26" s="882"/>
      <c r="E26" s="880">
        <v>1.1000000000000001</v>
      </c>
      <c r="F26" s="883"/>
      <c r="G26" s="884"/>
      <c r="H26" s="876"/>
      <c r="I26" s="876"/>
    </row>
    <row r="27" spans="1:9" s="885" customFormat="1" ht="19.5" customHeight="1">
      <c r="A27" s="3346"/>
      <c r="B27" s="3346"/>
      <c r="C27" s="881" t="s">
        <v>576</v>
      </c>
      <c r="D27" s="882"/>
      <c r="E27" s="880">
        <v>0.9</v>
      </c>
      <c r="F27" s="883" t="s">
        <v>577</v>
      </c>
      <c r="G27" s="884"/>
      <c r="H27" s="876"/>
      <c r="I27" s="876"/>
    </row>
    <row r="28" spans="1:9" s="885" customFormat="1" ht="19.5" customHeight="1">
      <c r="A28" s="3346"/>
      <c r="B28" s="3346"/>
      <c r="C28" s="881" t="s">
        <v>578</v>
      </c>
      <c r="D28" s="882"/>
      <c r="E28" s="880">
        <v>0.9</v>
      </c>
      <c r="F28" s="883" t="s">
        <v>579</v>
      </c>
      <c r="G28" s="884"/>
      <c r="H28" s="876"/>
      <c r="I28" s="876"/>
    </row>
    <row r="29" spans="1:9" s="885" customFormat="1" ht="19.5" customHeight="1">
      <c r="A29" s="3346"/>
      <c r="B29" s="3346"/>
      <c r="C29" s="881" t="s">
        <v>580</v>
      </c>
      <c r="D29" s="882"/>
      <c r="E29" s="880">
        <v>0.9</v>
      </c>
      <c r="F29" s="883" t="s">
        <v>581</v>
      </c>
      <c r="G29" s="884"/>
      <c r="H29" s="876"/>
      <c r="I29" s="876"/>
    </row>
    <row r="30" spans="1:9" s="885" customFormat="1" ht="19.5" customHeight="1">
      <c r="A30" s="3346"/>
      <c r="B30" s="3346"/>
      <c r="C30" s="881" t="s">
        <v>582</v>
      </c>
      <c r="D30" s="882"/>
      <c r="E30" s="880">
        <v>0.9</v>
      </c>
      <c r="F30" s="883" t="s">
        <v>583</v>
      </c>
      <c r="G30" s="884"/>
      <c r="H30" s="876"/>
      <c r="I30" s="876"/>
    </row>
    <row r="31" spans="1:9" s="885" customFormat="1" ht="19.5" customHeight="1">
      <c r="A31" s="3346"/>
      <c r="B31" s="3346"/>
      <c r="C31" s="881" t="s">
        <v>584</v>
      </c>
      <c r="D31" s="882"/>
      <c r="E31" s="880">
        <v>0.8</v>
      </c>
      <c r="F31" s="883" t="s">
        <v>585</v>
      </c>
      <c r="G31" s="884"/>
      <c r="H31" s="876"/>
      <c r="I31" s="876"/>
    </row>
    <row r="32" spans="1:9" s="885" customFormat="1" ht="19.5" customHeight="1">
      <c r="A32" s="3346"/>
      <c r="B32" s="3346"/>
      <c r="C32" s="881" t="s">
        <v>586</v>
      </c>
      <c r="D32" s="882"/>
      <c r="E32" s="880">
        <v>0.8</v>
      </c>
      <c r="F32" s="883" t="s">
        <v>587</v>
      </c>
      <c r="G32" s="884"/>
      <c r="H32" s="876"/>
      <c r="I32" s="876"/>
    </row>
    <row r="33" spans="1:9" s="885" customFormat="1" ht="19.5" customHeight="1">
      <c r="A33" s="3346" t="s">
        <v>185</v>
      </c>
      <c r="B33" s="880" t="s">
        <v>560</v>
      </c>
      <c r="C33" s="881" t="s">
        <v>588</v>
      </c>
      <c r="D33" s="882"/>
      <c r="E33" s="880">
        <v>1</v>
      </c>
      <c r="F33" s="883" t="s">
        <v>589</v>
      </c>
      <c r="G33" s="884"/>
      <c r="H33" s="876"/>
      <c r="I33" s="876"/>
    </row>
    <row r="34" spans="1:9" s="885" customFormat="1" ht="19.5" customHeight="1">
      <c r="A34" s="3346"/>
      <c r="B34" s="880" t="s">
        <v>563</v>
      </c>
      <c r="C34" s="881" t="s">
        <v>590</v>
      </c>
      <c r="D34" s="882"/>
      <c r="E34" s="880">
        <v>1.5</v>
      </c>
      <c r="F34" s="883" t="s">
        <v>591</v>
      </c>
      <c r="G34" s="884"/>
      <c r="H34" s="876"/>
      <c r="I34" s="876"/>
    </row>
    <row r="35" spans="1:9" s="885" customFormat="1" ht="19.5" customHeight="1">
      <c r="A35" s="3346" t="s">
        <v>186</v>
      </c>
      <c r="B35" s="880" t="s">
        <v>560</v>
      </c>
      <c r="C35" s="881" t="s">
        <v>592</v>
      </c>
      <c r="D35" s="882"/>
      <c r="E35" s="880">
        <v>1</v>
      </c>
      <c r="F35" s="883" t="s">
        <v>593</v>
      </c>
      <c r="G35" s="884"/>
      <c r="H35" s="876"/>
      <c r="I35" s="876"/>
    </row>
    <row r="36" spans="1:9" s="885" customFormat="1" ht="19.5" customHeight="1">
      <c r="A36" s="3346"/>
      <c r="B36" s="3346" t="s">
        <v>563</v>
      </c>
      <c r="C36" s="881" t="s">
        <v>594</v>
      </c>
      <c r="D36" s="882"/>
      <c r="E36" s="880">
        <v>1</v>
      </c>
      <c r="F36" s="883" t="s">
        <v>595</v>
      </c>
      <c r="G36" s="884"/>
      <c r="H36" s="876"/>
      <c r="I36" s="876"/>
    </row>
    <row r="37" spans="1:9" s="885" customFormat="1" ht="19.5" customHeight="1">
      <c r="A37" s="3346"/>
      <c r="B37" s="3346"/>
      <c r="C37" s="881" t="s">
        <v>596</v>
      </c>
      <c r="D37" s="882"/>
      <c r="E37" s="880">
        <v>1.5</v>
      </c>
      <c r="F37" s="883" t="s">
        <v>597</v>
      </c>
      <c r="G37" s="884"/>
      <c r="H37" s="876"/>
      <c r="I37" s="876"/>
    </row>
    <row r="38" spans="1:9" s="885" customFormat="1" ht="19.5" customHeight="1">
      <c r="A38" s="3346"/>
      <c r="B38" s="3346"/>
      <c r="C38" s="881" t="s">
        <v>598</v>
      </c>
      <c r="D38" s="882"/>
      <c r="E38" s="880">
        <v>1</v>
      </c>
      <c r="F38" s="883" t="s">
        <v>599</v>
      </c>
      <c r="G38" s="884"/>
      <c r="H38" s="876"/>
      <c r="I38" s="876"/>
    </row>
    <row r="39" spans="1:9" s="885" customFormat="1" ht="19.5" customHeight="1">
      <c r="A39" s="3346"/>
      <c r="B39" s="3346"/>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346" t="s">
        <v>614</v>
      </c>
      <c r="C61" s="816" t="s">
        <v>615</v>
      </c>
      <c r="D61" s="816" t="s">
        <v>616</v>
      </c>
      <c r="E61" s="893">
        <v>0.5</v>
      </c>
      <c r="F61" s="880">
        <v>80</v>
      </c>
    </row>
    <row r="62" spans="1:8" s="876" customFormat="1" ht="24">
      <c r="A62" s="880">
        <v>2</v>
      </c>
      <c r="B62" s="3346"/>
      <c r="C62" s="816" t="s">
        <v>617</v>
      </c>
      <c r="D62" s="816" t="s">
        <v>618</v>
      </c>
      <c r="E62" s="893">
        <v>0.5</v>
      </c>
      <c r="F62" s="880">
        <v>80</v>
      </c>
    </row>
    <row r="63" spans="1:8" s="876" customFormat="1" ht="36">
      <c r="A63" s="880">
        <v>3</v>
      </c>
      <c r="B63" s="3346"/>
      <c r="C63" s="816" t="s">
        <v>619</v>
      </c>
      <c r="D63" s="816" t="s">
        <v>620</v>
      </c>
      <c r="E63" s="893">
        <v>0.5</v>
      </c>
      <c r="F63" s="880">
        <v>80</v>
      </c>
    </row>
    <row r="64" spans="1:8" s="876" customFormat="1" ht="36">
      <c r="A64" s="880">
        <v>4</v>
      </c>
      <c r="B64" s="3346"/>
      <c r="C64" s="816" t="s">
        <v>621</v>
      </c>
      <c r="D64" s="816" t="s">
        <v>622</v>
      </c>
      <c r="E64" s="893">
        <v>0.4</v>
      </c>
      <c r="F64" s="880">
        <v>60</v>
      </c>
    </row>
    <row r="65" spans="1:6" s="876" customFormat="1" ht="36">
      <c r="A65" s="880">
        <v>5</v>
      </c>
      <c r="B65" s="3346"/>
      <c r="C65" s="816" t="s">
        <v>623</v>
      </c>
      <c r="D65" s="816" t="s">
        <v>624</v>
      </c>
      <c r="E65" s="893">
        <v>0.2</v>
      </c>
      <c r="F65" s="880">
        <v>30</v>
      </c>
    </row>
    <row r="66" spans="1:6" s="876" customFormat="1" ht="36">
      <c r="A66" s="880">
        <v>6</v>
      </c>
      <c r="B66" s="3346"/>
      <c r="C66" s="816" t="s">
        <v>625</v>
      </c>
      <c r="D66" s="816" t="s">
        <v>626</v>
      </c>
      <c r="E66" s="893">
        <v>0.3</v>
      </c>
      <c r="F66" s="880">
        <v>50</v>
      </c>
    </row>
    <row r="67" spans="1:6" s="876" customFormat="1" ht="36">
      <c r="A67" s="880">
        <v>7</v>
      </c>
      <c r="B67" s="3346"/>
      <c r="C67" s="816" t="s">
        <v>627</v>
      </c>
      <c r="D67" s="816" t="s">
        <v>628</v>
      </c>
      <c r="E67" s="893">
        <v>0.2</v>
      </c>
      <c r="F67" s="880">
        <v>30</v>
      </c>
    </row>
    <row r="68" spans="1:6" s="876" customFormat="1" ht="36">
      <c r="A68" s="880">
        <v>8</v>
      </c>
      <c r="B68" s="3346"/>
      <c r="C68" s="816" t="s">
        <v>629</v>
      </c>
      <c r="D68" s="816" t="s">
        <v>630</v>
      </c>
      <c r="E68" s="893">
        <v>0.2</v>
      </c>
      <c r="F68" s="880">
        <v>30</v>
      </c>
    </row>
    <row r="69" spans="1:6" s="876" customFormat="1" ht="36">
      <c r="A69" s="880">
        <v>9</v>
      </c>
      <c r="B69" s="3346"/>
      <c r="C69" s="816" t="s">
        <v>631</v>
      </c>
      <c r="D69" s="816" t="s">
        <v>632</v>
      </c>
      <c r="E69" s="893">
        <v>0.2</v>
      </c>
      <c r="F69" s="880">
        <v>30</v>
      </c>
    </row>
    <row r="70" spans="1:6" s="876" customFormat="1" ht="48">
      <c r="A70" s="880">
        <v>10</v>
      </c>
      <c r="B70" s="3346"/>
      <c r="C70" s="816" t="s">
        <v>633</v>
      </c>
      <c r="D70" s="816" t="s">
        <v>634</v>
      </c>
      <c r="E70" s="893">
        <v>0.2</v>
      </c>
      <c r="F70" s="880">
        <v>30</v>
      </c>
    </row>
    <row r="71" spans="1:6" s="876" customFormat="1" ht="48">
      <c r="A71" s="880">
        <v>11</v>
      </c>
      <c r="B71" s="3346"/>
      <c r="C71" s="816" t="s">
        <v>635</v>
      </c>
      <c r="D71" s="816" t="s">
        <v>636</v>
      </c>
      <c r="E71" s="893">
        <v>0.2</v>
      </c>
      <c r="F71" s="880">
        <v>30</v>
      </c>
    </row>
    <row r="72" spans="1:6" s="876" customFormat="1" ht="36">
      <c r="A72" s="880">
        <v>12</v>
      </c>
      <c r="B72" s="3346"/>
      <c r="C72" s="816" t="s">
        <v>637</v>
      </c>
      <c r="D72" s="816" t="s">
        <v>638</v>
      </c>
      <c r="E72" s="893">
        <v>0.5</v>
      </c>
      <c r="F72" s="880">
        <v>80</v>
      </c>
    </row>
    <row r="73" spans="1:6" s="876" customFormat="1" ht="24">
      <c r="A73" s="880">
        <v>13</v>
      </c>
      <c r="B73" s="3346"/>
      <c r="C73" s="816" t="s">
        <v>639</v>
      </c>
      <c r="D73" s="816" t="s">
        <v>640</v>
      </c>
      <c r="E73" s="893">
        <v>0.4</v>
      </c>
      <c r="F73" s="880">
        <v>60</v>
      </c>
    </row>
    <row r="74" spans="1:6" s="876" customFormat="1" ht="24">
      <c r="A74" s="880">
        <v>14</v>
      </c>
      <c r="B74" s="3346"/>
      <c r="C74" s="816" t="s">
        <v>641</v>
      </c>
      <c r="D74" s="816" t="s">
        <v>642</v>
      </c>
      <c r="E74" s="893">
        <v>0.2</v>
      </c>
      <c r="F74" s="880">
        <v>30</v>
      </c>
    </row>
    <row r="75" spans="1:6" s="876" customFormat="1" ht="24">
      <c r="A75" s="880">
        <v>15</v>
      </c>
      <c r="B75" s="3346"/>
      <c r="C75" s="816" t="s">
        <v>643</v>
      </c>
      <c r="D75" s="816" t="s">
        <v>644</v>
      </c>
      <c r="E75" s="893">
        <v>0.2</v>
      </c>
      <c r="F75" s="880">
        <v>30</v>
      </c>
    </row>
    <row r="76" spans="1:6" s="876" customFormat="1" ht="24">
      <c r="A76" s="880">
        <v>16</v>
      </c>
      <c r="B76" s="3346" t="s">
        <v>645</v>
      </c>
      <c r="C76" s="816" t="s">
        <v>646</v>
      </c>
      <c r="D76" s="816" t="s">
        <v>647</v>
      </c>
      <c r="E76" s="893">
        <v>0.5</v>
      </c>
      <c r="F76" s="880">
        <v>80</v>
      </c>
    </row>
    <row r="77" spans="1:6" s="876" customFormat="1" ht="24">
      <c r="A77" s="880">
        <v>17</v>
      </c>
      <c r="B77" s="3346"/>
      <c r="C77" s="816" t="s">
        <v>648</v>
      </c>
      <c r="D77" s="816" t="s">
        <v>649</v>
      </c>
      <c r="E77" s="893">
        <v>0.5</v>
      </c>
      <c r="F77" s="880">
        <v>80</v>
      </c>
    </row>
    <row r="78" spans="1:6" s="876" customFormat="1" ht="24">
      <c r="A78" s="880">
        <v>18</v>
      </c>
      <c r="B78" s="3346"/>
      <c r="C78" s="816" t="s">
        <v>650</v>
      </c>
      <c r="D78" s="816" t="s">
        <v>651</v>
      </c>
      <c r="E78" s="893">
        <v>0.2</v>
      </c>
      <c r="F78" s="880">
        <v>30</v>
      </c>
    </row>
    <row r="79" spans="1:6" s="876" customFormat="1" ht="24">
      <c r="A79" s="880">
        <v>19</v>
      </c>
      <c r="B79" s="3346"/>
      <c r="C79" s="816" t="s">
        <v>652</v>
      </c>
      <c r="D79" s="816" t="s">
        <v>653</v>
      </c>
      <c r="E79" s="893">
        <v>0.5</v>
      </c>
      <c r="F79" s="880">
        <v>80</v>
      </c>
    </row>
    <row r="80" spans="1:6" s="876" customFormat="1" ht="36">
      <c r="A80" s="880">
        <v>20</v>
      </c>
      <c r="B80" s="3346"/>
      <c r="C80" s="816" t="s">
        <v>654</v>
      </c>
      <c r="D80" s="816" t="s">
        <v>655</v>
      </c>
      <c r="E80" s="893">
        <v>0.2</v>
      </c>
      <c r="F80" s="880">
        <v>30</v>
      </c>
    </row>
    <row r="81" spans="1:6" s="876" customFormat="1" ht="36">
      <c r="A81" s="880">
        <v>21</v>
      </c>
      <c r="B81" s="3346"/>
      <c r="C81" s="816" t="s">
        <v>656</v>
      </c>
      <c r="D81" s="816" t="s">
        <v>657</v>
      </c>
      <c r="E81" s="893">
        <v>0.2</v>
      </c>
      <c r="F81" s="880">
        <v>30</v>
      </c>
    </row>
    <row r="82" spans="1:6" s="876" customFormat="1" ht="48">
      <c r="A82" s="880">
        <v>22</v>
      </c>
      <c r="B82" s="3346"/>
      <c r="C82" s="816" t="s">
        <v>658</v>
      </c>
      <c r="D82" s="816" t="s">
        <v>659</v>
      </c>
      <c r="E82" s="893">
        <v>0.2</v>
      </c>
      <c r="F82" s="880">
        <v>30</v>
      </c>
    </row>
    <row r="83" spans="1:6" s="876" customFormat="1" ht="48">
      <c r="A83" s="880">
        <v>23</v>
      </c>
      <c r="B83" s="3346"/>
      <c r="C83" s="816" t="s">
        <v>660</v>
      </c>
      <c r="D83" s="816" t="s">
        <v>661</v>
      </c>
      <c r="E83" s="893">
        <v>0.2</v>
      </c>
      <c r="F83" s="880">
        <v>30</v>
      </c>
    </row>
    <row r="84" spans="1:6" s="876" customFormat="1" ht="36">
      <c r="A84" s="880">
        <v>24</v>
      </c>
      <c r="B84" s="3346"/>
      <c r="C84" s="816" t="s">
        <v>662</v>
      </c>
      <c r="D84" s="816" t="s">
        <v>663</v>
      </c>
      <c r="E84" s="893">
        <v>0.2</v>
      </c>
      <c r="F84" s="880">
        <v>30</v>
      </c>
    </row>
    <row r="85" spans="1:6" s="876" customFormat="1" ht="36">
      <c r="A85" s="880">
        <v>25</v>
      </c>
      <c r="B85" s="3346"/>
      <c r="C85" s="816" t="s">
        <v>664</v>
      </c>
      <c r="D85" s="816" t="s">
        <v>665</v>
      </c>
      <c r="E85" s="893">
        <v>0.5</v>
      </c>
      <c r="F85" s="880">
        <v>80</v>
      </c>
    </row>
    <row r="86" spans="1:6" s="876" customFormat="1" ht="36">
      <c r="A86" s="880">
        <v>26</v>
      </c>
      <c r="B86" s="3346"/>
      <c r="C86" s="816" t="s">
        <v>666</v>
      </c>
      <c r="D86" s="816" t="s">
        <v>667</v>
      </c>
      <c r="E86" s="893">
        <v>0.2</v>
      </c>
      <c r="F86" s="880">
        <v>30</v>
      </c>
    </row>
    <row r="87" spans="1:6" s="876" customFormat="1" ht="36">
      <c r="A87" s="880">
        <v>27</v>
      </c>
      <c r="B87" s="3346"/>
      <c r="C87" s="816" t="s">
        <v>668</v>
      </c>
      <c r="D87" s="816" t="s">
        <v>669</v>
      </c>
      <c r="E87" s="893">
        <v>0.2</v>
      </c>
      <c r="F87" s="880">
        <v>30</v>
      </c>
    </row>
    <row r="88" spans="1:6" s="876" customFormat="1" ht="36">
      <c r="A88" s="880">
        <v>28</v>
      </c>
      <c r="B88" s="3346"/>
      <c r="C88" s="816" t="s">
        <v>670</v>
      </c>
      <c r="D88" s="816" t="s">
        <v>671</v>
      </c>
      <c r="E88" s="893">
        <v>0.2</v>
      </c>
      <c r="F88" s="880">
        <v>30</v>
      </c>
    </row>
    <row r="89" spans="1:6" s="876" customFormat="1" ht="24">
      <c r="A89" s="880">
        <v>29</v>
      </c>
      <c r="B89" s="3346"/>
      <c r="C89" s="816" t="s">
        <v>672</v>
      </c>
      <c r="D89" s="816" t="s">
        <v>673</v>
      </c>
      <c r="E89" s="893">
        <v>0.2</v>
      </c>
      <c r="F89" s="880">
        <v>30</v>
      </c>
    </row>
    <row r="90" spans="1:6" s="876" customFormat="1" ht="24">
      <c r="A90" s="880">
        <v>30</v>
      </c>
      <c r="B90" s="3346"/>
      <c r="C90" s="816" t="s">
        <v>674</v>
      </c>
      <c r="D90" s="816" t="s">
        <v>675</v>
      </c>
      <c r="E90" s="893">
        <v>0.2</v>
      </c>
      <c r="F90" s="880">
        <v>30</v>
      </c>
    </row>
    <row r="91" spans="1:6" s="876" customFormat="1" ht="36">
      <c r="A91" s="880">
        <v>31</v>
      </c>
      <c r="B91" s="3346"/>
      <c r="C91" s="816" t="s">
        <v>676</v>
      </c>
      <c r="D91" s="816" t="s">
        <v>677</v>
      </c>
      <c r="E91" s="893">
        <v>0.2</v>
      </c>
      <c r="F91" s="880">
        <v>30</v>
      </c>
    </row>
    <row r="92" spans="1:6" s="876" customFormat="1" ht="24">
      <c r="A92" s="880">
        <v>32</v>
      </c>
      <c r="B92" s="3346" t="s">
        <v>678</v>
      </c>
      <c r="C92" s="880" t="s">
        <v>679</v>
      </c>
      <c r="D92" s="816" t="s">
        <v>680</v>
      </c>
      <c r="E92" s="893">
        <v>0.2</v>
      </c>
      <c r="F92" s="880">
        <v>30</v>
      </c>
    </row>
    <row r="93" spans="1:6" s="876" customFormat="1" ht="36">
      <c r="A93" s="880">
        <v>33</v>
      </c>
      <c r="B93" s="3346"/>
      <c r="C93" s="880" t="s">
        <v>681</v>
      </c>
      <c r="D93" s="816" t="s">
        <v>682</v>
      </c>
      <c r="E93" s="893">
        <v>0.2</v>
      </c>
      <c r="F93" s="880">
        <v>30</v>
      </c>
    </row>
    <row r="94" spans="1:6" s="876" customFormat="1" ht="48">
      <c r="A94" s="880">
        <v>34</v>
      </c>
      <c r="B94" s="3346"/>
      <c r="C94" s="880" t="s">
        <v>683</v>
      </c>
      <c r="D94" s="816" t="s">
        <v>684</v>
      </c>
      <c r="E94" s="893">
        <v>0.2</v>
      </c>
      <c r="F94" s="880">
        <v>30</v>
      </c>
    </row>
    <row r="95" spans="1:6" s="876" customFormat="1" ht="36">
      <c r="A95" s="880">
        <v>35</v>
      </c>
      <c r="B95" s="3346"/>
      <c r="C95" s="880" t="s">
        <v>685</v>
      </c>
      <c r="D95" s="816" t="s">
        <v>686</v>
      </c>
      <c r="E95" s="893">
        <v>0.2</v>
      </c>
      <c r="F95" s="880">
        <v>30</v>
      </c>
    </row>
    <row r="96" spans="1:6" s="876" customFormat="1" ht="48">
      <c r="A96" s="880">
        <v>36</v>
      </c>
      <c r="B96" s="3346"/>
      <c r="C96" s="816" t="s">
        <v>687</v>
      </c>
      <c r="D96" s="816" t="s">
        <v>688</v>
      </c>
      <c r="E96" s="893">
        <v>0.2</v>
      </c>
      <c r="F96" s="880">
        <v>30</v>
      </c>
    </row>
    <row r="97" spans="1:6" s="876" customFormat="1" ht="36">
      <c r="A97" s="880">
        <v>37</v>
      </c>
      <c r="B97" s="3346"/>
      <c r="C97" s="880" t="s">
        <v>689</v>
      </c>
      <c r="D97" s="816" t="s">
        <v>690</v>
      </c>
      <c r="E97" s="893">
        <v>0.2</v>
      </c>
      <c r="F97" s="880">
        <v>30</v>
      </c>
    </row>
    <row r="98" spans="1:6" s="876" customFormat="1" ht="36">
      <c r="A98" s="880">
        <v>38</v>
      </c>
      <c r="B98" s="3346"/>
      <c r="C98" s="880" t="s">
        <v>691</v>
      </c>
      <c r="D98" s="816" t="s">
        <v>692</v>
      </c>
      <c r="E98" s="893">
        <v>0.2</v>
      </c>
      <c r="F98" s="880">
        <v>30</v>
      </c>
    </row>
    <row r="99" spans="1:6" s="876" customFormat="1" ht="36">
      <c r="A99" s="880">
        <v>39</v>
      </c>
      <c r="B99" s="3346" t="s">
        <v>693</v>
      </c>
      <c r="C99" s="880" t="s">
        <v>694</v>
      </c>
      <c r="D99" s="816" t="s">
        <v>695</v>
      </c>
      <c r="E99" s="893">
        <v>0.3</v>
      </c>
      <c r="F99" s="880">
        <v>50</v>
      </c>
    </row>
    <row r="100" spans="1:6" s="876" customFormat="1" ht="24">
      <c r="A100" s="880">
        <v>40</v>
      </c>
      <c r="B100" s="3346"/>
      <c r="C100" s="880" t="s">
        <v>696</v>
      </c>
      <c r="D100" s="816" t="s">
        <v>697</v>
      </c>
      <c r="E100" s="893">
        <v>0.2</v>
      </c>
      <c r="F100" s="880">
        <v>30</v>
      </c>
    </row>
    <row r="101" spans="1:6" s="876" customFormat="1" ht="36">
      <c r="A101" s="880">
        <v>41</v>
      </c>
      <c r="B101" s="3346"/>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46" t="s">
        <v>708</v>
      </c>
      <c r="C105" s="880" t="s">
        <v>709</v>
      </c>
      <c r="D105" s="816" t="s">
        <v>710</v>
      </c>
      <c r="E105" s="893">
        <v>0.2</v>
      </c>
      <c r="F105" s="880">
        <v>30</v>
      </c>
    </row>
    <row r="106" spans="1:6" s="876" customFormat="1" ht="36">
      <c r="A106" s="880">
        <v>46</v>
      </c>
      <c r="B106" s="3346"/>
      <c r="C106" s="880" t="s">
        <v>711</v>
      </c>
      <c r="D106" s="816" t="s">
        <v>712</v>
      </c>
      <c r="E106" s="893">
        <v>0.2</v>
      </c>
      <c r="F106" s="880">
        <v>30</v>
      </c>
    </row>
    <row r="107" spans="1:6" s="876" customFormat="1" ht="36">
      <c r="A107" s="880">
        <v>47</v>
      </c>
      <c r="B107" s="3346" t="s">
        <v>713</v>
      </c>
      <c r="C107" s="880" t="s">
        <v>714</v>
      </c>
      <c r="D107" s="816" t="s">
        <v>715</v>
      </c>
      <c r="E107" s="893">
        <v>0.3</v>
      </c>
      <c r="F107" s="880">
        <v>50</v>
      </c>
    </row>
    <row r="108" spans="1:6" s="876" customFormat="1" ht="36">
      <c r="A108" s="880">
        <v>48</v>
      </c>
      <c r="B108" s="3346"/>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46" t="s">
        <v>724</v>
      </c>
      <c r="C111" s="880" t="s">
        <v>725</v>
      </c>
      <c r="D111" s="816" t="s">
        <v>726</v>
      </c>
      <c r="E111" s="893">
        <v>0.2</v>
      </c>
      <c r="F111" s="880">
        <v>30</v>
      </c>
    </row>
    <row r="112" spans="1:6" s="876" customFormat="1" ht="24">
      <c r="A112" s="880">
        <v>52</v>
      </c>
      <c r="B112" s="3346"/>
      <c r="C112" s="880" t="s">
        <v>727</v>
      </c>
      <c r="D112" s="816" t="s">
        <v>728</v>
      </c>
      <c r="E112" s="893">
        <v>0.2</v>
      </c>
      <c r="F112" s="880">
        <v>30</v>
      </c>
    </row>
    <row r="113" spans="1:6" s="876" customFormat="1" ht="24">
      <c r="A113" s="880">
        <v>53</v>
      </c>
      <c r="B113" s="3346"/>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46" t="s">
        <v>737</v>
      </c>
      <c r="C116" s="880" t="s">
        <v>738</v>
      </c>
      <c r="D116" s="816" t="s">
        <v>739</v>
      </c>
      <c r="E116" s="893">
        <v>0.2</v>
      </c>
      <c r="F116" s="880">
        <v>30</v>
      </c>
    </row>
    <row r="117" spans="1:6" ht="36">
      <c r="A117" s="880">
        <v>57</v>
      </c>
      <c r="B117" s="3346"/>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0.86970000000000003</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1617</v>
      </c>
      <c r="B1" s="1957"/>
      <c r="C1" s="1957"/>
      <c r="D1" s="1957"/>
      <c r="E1" s="1957"/>
    </row>
    <row r="2" spans="1:5" ht="78" customHeight="1">
      <c r="A2" s="30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41"/>
      <c r="C2" s="3041"/>
      <c r="D2" s="3041"/>
      <c r="E2" s="3041"/>
    </row>
    <row r="3" spans="1:5" ht="18">
      <c r="A3" s="3042" t="str">
        <f>IF(项目基本情况!B9="房地产市场价值","估价结果一览表（市场价值不需“结果表-1”）","估价结果一览表")</f>
        <v>估价结果一览表（市场价值不需“结果表-1”）</v>
      </c>
      <c r="B3" s="3042"/>
      <c r="C3" s="3042"/>
      <c r="D3" s="3042"/>
      <c r="E3" s="3042"/>
    </row>
    <row r="4" spans="1:5" ht="19.5" thickBot="1">
      <c r="A4" s="1959"/>
      <c r="B4" s="3040" t="s">
        <v>1626</v>
      </c>
      <c r="C4" s="3040"/>
      <c r="D4" s="3040"/>
      <c r="E4" s="1959"/>
    </row>
    <row r="5" spans="1:5" ht="16.5" thickTop="1">
      <c r="A5" s="1957"/>
      <c r="B5" s="3038" t="s">
        <v>1618</v>
      </c>
      <c r="C5" s="1960" t="s">
        <v>1619</v>
      </c>
      <c r="D5" s="1041">
        <f ca="1">结果表!H101</f>
        <v>74484</v>
      </c>
      <c r="E5" s="1957"/>
    </row>
    <row r="6" spans="1:5" ht="15.75">
      <c r="A6" s="1957"/>
      <c r="B6" s="3038"/>
      <c r="C6" s="1960" t="s">
        <v>1620</v>
      </c>
      <c r="D6" s="1041" t="str">
        <f ca="1">NUMBERSTRING(INT(D5*10000),2)&amp;"元整"</f>
        <v>柒亿肆仟肆佰捌拾肆万元整</v>
      </c>
      <c r="E6" s="1957"/>
    </row>
    <row r="7" spans="1:5" ht="15.75">
      <c r="A7" s="1957"/>
      <c r="B7" s="3043"/>
      <c r="C7" s="1961" t="s">
        <v>1621</v>
      </c>
      <c r="D7" s="1042">
        <f ca="1">结果表!H102</f>
        <v>23417</v>
      </c>
      <c r="E7" s="1957"/>
    </row>
    <row r="8" spans="1:5" ht="15.75">
      <c r="A8" s="1957"/>
      <c r="B8" s="3044" t="str">
        <f>结果表!E103</f>
        <v>2.估价师知悉的法定优先受偿款</v>
      </c>
      <c r="C8" s="1962" t="s">
        <v>1622</v>
      </c>
      <c r="D8" s="1042">
        <f>结果表!H103</f>
        <v>0</v>
      </c>
      <c r="E8" s="1957"/>
    </row>
    <row r="9" spans="1:5" ht="15.75">
      <c r="A9" s="1957"/>
      <c r="B9" s="3046"/>
      <c r="C9" s="1960" t="s">
        <v>1620</v>
      </c>
      <c r="D9" s="1041" t="str">
        <f>NUMBERSTRING(INT(D8*10000),2)&amp;"元整"</f>
        <v>零元整</v>
      </c>
      <c r="E9" s="1957"/>
    </row>
    <row r="10" spans="1:5" ht="15">
      <c r="A10" s="1957"/>
      <c r="B10" s="1963" t="s">
        <v>1625</v>
      </c>
      <c r="C10" s="1964" t="s">
        <v>1623</v>
      </c>
      <c r="D10" s="1043">
        <f>结果表!H104</f>
        <v>0</v>
      </c>
      <c r="E10" s="1957"/>
    </row>
    <row r="11" spans="1:5" ht="15">
      <c r="A11" s="1957"/>
      <c r="B11" s="1963" t="s">
        <v>1627</v>
      </c>
      <c r="C11" s="1964" t="s">
        <v>1628</v>
      </c>
      <c r="D11" s="1043">
        <f>结果表!H105</f>
        <v>0</v>
      </c>
      <c r="E11" s="1957"/>
    </row>
    <row r="12" spans="1:5" ht="15">
      <c r="A12" s="1957"/>
      <c r="B12" s="1963" t="s">
        <v>1629</v>
      </c>
      <c r="C12" s="1964" t="s">
        <v>1628</v>
      </c>
      <c r="D12" s="1043">
        <f>结果表!H106</f>
        <v>0</v>
      </c>
      <c r="E12" s="1957"/>
    </row>
    <row r="13" spans="1:5" ht="15.75">
      <c r="A13" s="1957"/>
      <c r="B13" s="3037" t="str">
        <f>结果表!E107</f>
        <v>3.房地产抵押价值</v>
      </c>
      <c r="C13" s="1965" t="s">
        <v>1619</v>
      </c>
      <c r="D13" s="1044">
        <f ca="1">结果表!H107</f>
        <v>74484</v>
      </c>
      <c r="E13" s="1957"/>
    </row>
    <row r="14" spans="1:5" ht="15.75">
      <c r="A14" s="1957"/>
      <c r="B14" s="3038"/>
      <c r="C14" s="1960" t="s">
        <v>1620</v>
      </c>
      <c r="D14" s="1041" t="str">
        <f ca="1">NUMBERSTRING(INT(D13*10000),2)&amp;"元整"</f>
        <v>柒亿肆仟肆佰捌拾肆万元整</v>
      </c>
      <c r="E14" s="1957"/>
    </row>
    <row r="15" spans="1:5" ht="15">
      <c r="A15" s="1957"/>
      <c r="B15" s="3043"/>
      <c r="C15" s="1961" t="s">
        <v>1630</v>
      </c>
      <c r="D15" s="1053">
        <f ca="1">结果表!H108</f>
        <v>11174</v>
      </c>
      <c r="E15" s="1957"/>
    </row>
    <row r="16" spans="1:5" ht="15">
      <c r="A16" s="1957"/>
      <c r="B16" s="3044" t="str">
        <f>结果表!E109</f>
        <v>——</v>
      </c>
      <c r="C16" s="1965" t="s">
        <v>1631</v>
      </c>
      <c r="D16" s="1966" t="str">
        <f>结果表!H109</f>
        <v>——</v>
      </c>
      <c r="E16" s="1957"/>
    </row>
    <row r="17" spans="1:5" ht="15.75">
      <c r="A17" s="1957"/>
      <c r="B17" s="3045"/>
      <c r="C17" s="1960" t="s">
        <v>1632</v>
      </c>
      <c r="D17" s="1041" t="e">
        <f>NUMBERSTRING(INT(D16*10000),2)&amp;"元整"</f>
        <v>#VALUE!</v>
      </c>
      <c r="E17" s="1957"/>
    </row>
    <row r="18" spans="1:5" ht="15">
      <c r="A18" s="1957"/>
      <c r="B18" s="3046"/>
      <c r="C18" s="1961" t="s">
        <v>1621</v>
      </c>
      <c r="D18" s="1053" t="str">
        <f>结果表!H110</f>
        <v>——</v>
      </c>
      <c r="E18" s="1957"/>
    </row>
    <row r="19" spans="1:5" ht="15.75">
      <c r="A19" s="1957"/>
      <c r="B19" s="3037" t="str">
        <f>结果表!E111</f>
        <v>——</v>
      </c>
      <c r="C19" s="1965" t="s">
        <v>1619</v>
      </c>
      <c r="D19" s="1042" t="str">
        <f>结果表!H111</f>
        <v>——</v>
      </c>
      <c r="E19" s="1957"/>
    </row>
    <row r="20" spans="1:5" ht="15.75">
      <c r="A20" s="1957"/>
      <c r="B20" s="3038"/>
      <c r="C20" s="1960" t="s">
        <v>1632</v>
      </c>
      <c r="D20" s="1041" t="e">
        <f>NUMBERSTRING(INT(D19*10000),2)&amp;"元整"</f>
        <v>#VALUE!</v>
      </c>
      <c r="E20" s="1957"/>
    </row>
    <row r="21" spans="1:5" ht="15.75" thickBot="1">
      <c r="A21" s="1957"/>
      <c r="B21" s="3039"/>
      <c r="C21" s="1967" t="s">
        <v>1630</v>
      </c>
      <c r="D21" s="1054" t="str">
        <f>结果表!H112</f>
        <v>——</v>
      </c>
      <c r="E21" s="1957"/>
    </row>
    <row r="22" spans="1:5" ht="15" thickTop="1">
      <c r="A22" s="1957"/>
      <c r="B22" s="1968" t="s">
        <v>1633</v>
      </c>
      <c r="C22" s="1957"/>
      <c r="D22" s="1957"/>
      <c r="E22" s="1957"/>
    </row>
    <row r="23" spans="1:5">
      <c r="A23" s="1957"/>
      <c r="B23" s="1957"/>
      <c r="C23" s="1957"/>
      <c r="D23" s="1957"/>
      <c r="E23" s="1957"/>
    </row>
    <row r="24" spans="1:5" ht="18.75">
      <c r="A24" s="1969"/>
      <c r="B24" s="1970" t="s">
        <v>1624</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2" t="s">
        <v>3003</v>
      </c>
    </row>
    <row r="2" spans="1:5" ht="15.75">
      <c r="A2" s="2910" t="s">
        <v>2995</v>
      </c>
      <c r="B2" s="2911">
        <f ca="1">SUMIF(B6:B13,"&lt;&gt;#ref!",B6:B13)</f>
        <v>0</v>
      </c>
      <c r="C2" s="2910" t="s">
        <v>2996</v>
      </c>
      <c r="D2" s="2910" t="s">
        <v>2997</v>
      </c>
      <c r="E2" s="2911">
        <f ca="1">SUMIF(E6:E13,"&lt;&gt;#ref!",E6:E13)</f>
        <v>31807.97</v>
      </c>
    </row>
    <row r="3" spans="1:5" ht="15.75">
      <c r="A3" s="2910" t="s">
        <v>2998</v>
      </c>
      <c r="B3" s="2911">
        <f ca="1">ROUND(B2*10000/E2,0)</f>
        <v>0</v>
      </c>
      <c r="C3" s="2910" t="s">
        <v>3004</v>
      </c>
      <c r="D3" s="2912"/>
      <c r="E3" s="2912"/>
    </row>
    <row r="4" spans="1:5" ht="15.75">
      <c r="A4" s="2913"/>
      <c r="B4" s="2912"/>
      <c r="C4" s="2912"/>
      <c r="D4" s="2912"/>
      <c r="E4" s="2912"/>
    </row>
    <row r="5" spans="1:5" ht="28.5">
      <c r="A5" s="2914" t="s">
        <v>2999</v>
      </c>
      <c r="B5" s="2910" t="s">
        <v>3000</v>
      </c>
      <c r="C5" s="2911"/>
      <c r="D5" s="2912"/>
      <c r="E5" s="2910" t="s">
        <v>3001</v>
      </c>
    </row>
    <row r="6" spans="1:5" ht="15.75">
      <c r="A6" s="2915" t="s">
        <v>3002</v>
      </c>
      <c r="B6" s="2911">
        <f ca="1">SUMIF(INDIRECT("'"&amp;A6&amp;"'"&amp;"!A:A"),"总价",INDIRECT("'"&amp;A6&amp;"'"&amp;"!B:B"))</f>
        <v>0</v>
      </c>
      <c r="C6" s="2910" t="s">
        <v>2996</v>
      </c>
      <c r="D6" s="2912"/>
      <c r="E6" s="2576">
        <f ca="1">SUMIF(INDIRECT("'"&amp;A6&amp;"'"&amp;"!C:C"),"建筑面积",INDIRECT("'"&amp;A6&amp;"'"&amp;"!D:D"))</f>
        <v>31807.97</v>
      </c>
    </row>
    <row r="7" spans="1:5" ht="15.75">
      <c r="A7" s="2915"/>
      <c r="B7" s="2911" t="e">
        <f ca="1">SUMIF(INDIRECT("'"&amp;A7&amp;"'"&amp;"!A:A"),"总价",INDIRECT("'"&amp;A7&amp;"'"&amp;"!B:B"))</f>
        <v>#REF!</v>
      </c>
      <c r="C7" s="2910" t="s">
        <v>2996</v>
      </c>
      <c r="D7" s="2912"/>
      <c r="E7" s="2576" t="e">
        <f t="shared" ref="E7:E13" ca="1" si="0">SUMIF(INDIRECT("'"&amp;A7&amp;"'"&amp;"!C:C"),"建筑面积",INDIRECT("'"&amp;A7&amp;"'"&amp;"!D:D"))</f>
        <v>#REF!</v>
      </c>
    </row>
    <row r="8" spans="1:5" ht="15.75">
      <c r="A8" s="2915"/>
      <c r="B8" s="2911" t="e">
        <f t="shared" ref="B8:B13" ca="1" si="1">SUMIF(INDIRECT("'"&amp;A8&amp;"'"&amp;"!A:A"),"总价",INDIRECT("'"&amp;A8&amp;"'"&amp;"!B:B"))</f>
        <v>#REF!</v>
      </c>
      <c r="C8" s="2910" t="s">
        <v>2996</v>
      </c>
      <c r="D8" s="2912"/>
      <c r="E8" s="2576" t="e">
        <f t="shared" ca="1" si="0"/>
        <v>#REF!</v>
      </c>
    </row>
    <row r="9" spans="1:5" ht="15.75">
      <c r="A9" s="2915"/>
      <c r="B9" s="2911" t="e">
        <f t="shared" ca="1" si="1"/>
        <v>#REF!</v>
      </c>
      <c r="C9" s="2910" t="s">
        <v>2996</v>
      </c>
      <c r="D9" s="2912"/>
      <c r="E9" s="2576" t="e">
        <f t="shared" ca="1" si="0"/>
        <v>#REF!</v>
      </c>
    </row>
    <row r="10" spans="1:5" ht="15.75">
      <c r="A10" s="2915"/>
      <c r="B10" s="2911" t="e">
        <f t="shared" ca="1" si="1"/>
        <v>#REF!</v>
      </c>
      <c r="C10" s="2910" t="s">
        <v>2996</v>
      </c>
      <c r="D10" s="2912"/>
      <c r="E10" s="2576" t="e">
        <f t="shared" ca="1" si="0"/>
        <v>#REF!</v>
      </c>
    </row>
    <row r="11" spans="1:5" ht="15.75">
      <c r="A11" s="2915"/>
      <c r="B11" s="2911" t="e">
        <f t="shared" ca="1" si="1"/>
        <v>#REF!</v>
      </c>
      <c r="C11" s="2910" t="s">
        <v>2996</v>
      </c>
      <c r="D11" s="2912"/>
      <c r="E11" s="2576" t="e">
        <f t="shared" ca="1" si="0"/>
        <v>#REF!</v>
      </c>
    </row>
    <row r="12" spans="1:5" ht="15.75">
      <c r="A12" s="2915"/>
      <c r="B12" s="2911" t="e">
        <f t="shared" ca="1" si="1"/>
        <v>#REF!</v>
      </c>
      <c r="C12" s="2910" t="s">
        <v>2996</v>
      </c>
      <c r="D12" s="2912"/>
      <c r="E12" s="2576" t="e">
        <f t="shared" ca="1" si="0"/>
        <v>#REF!</v>
      </c>
    </row>
    <row r="13" spans="1:5" ht="15.75">
      <c r="A13" s="2915"/>
      <c r="B13" s="2911" t="e">
        <f t="shared" ca="1" si="1"/>
        <v>#REF!</v>
      </c>
      <c r="C13" s="2910" t="s">
        <v>2996</v>
      </c>
      <c r="D13" s="2912"/>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ColWidth="9"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352" t="s">
        <v>1146</v>
      </c>
      <c r="C1" s="3352"/>
      <c r="D1" s="3352"/>
      <c r="E1" s="3352"/>
      <c r="F1" s="3352"/>
      <c r="G1" s="3348" t="s">
        <v>1147</v>
      </c>
      <c r="H1" s="3348"/>
      <c r="I1" s="3348"/>
      <c r="J1" s="3348"/>
      <c r="K1" s="3348"/>
      <c r="L1" s="3348"/>
      <c r="N1" s="3348" t="s">
        <v>1148</v>
      </c>
      <c r="O1" s="3348"/>
      <c r="P1" s="3348"/>
      <c r="Q1" s="3348"/>
      <c r="R1" s="1447"/>
      <c r="S1" s="3348" t="s">
        <v>1149</v>
      </c>
      <c r="T1" s="3348"/>
      <c r="U1" s="3348"/>
      <c r="V1" s="3348"/>
      <c r="X1" s="3347" t="s">
        <v>1150</v>
      </c>
      <c r="Y1" s="3348"/>
      <c r="Z1" s="3348"/>
      <c r="AA1" s="3348"/>
      <c r="AB1" s="3348"/>
      <c r="AD1" s="3347" t="s">
        <v>1151</v>
      </c>
      <c r="AE1" s="3348"/>
      <c r="AF1" s="3348"/>
      <c r="AG1" s="3348"/>
      <c r="AH1" s="3348"/>
    </row>
    <row r="2" spans="1:34" s="1448" customFormat="1" ht="14.25" thickBot="1">
      <c r="B2" s="1449" t="s">
        <v>1152</v>
      </c>
      <c r="C2" s="1449" t="s">
        <v>1153</v>
      </c>
      <c r="D2" s="1450" t="s">
        <v>1154</v>
      </c>
      <c r="E2" s="1450" t="s">
        <v>1155</v>
      </c>
      <c r="F2" s="1449" t="s">
        <v>1156</v>
      </c>
      <c r="G2" s="1451"/>
      <c r="H2" s="1452"/>
      <c r="I2" s="1449" t="s">
        <v>1152</v>
      </c>
      <c r="J2" s="1450" t="s">
        <v>1381</v>
      </c>
      <c r="K2" s="1450" t="s">
        <v>751</v>
      </c>
      <c r="L2" s="1449" t="s">
        <v>1156</v>
      </c>
      <c r="N2" s="1449" t="s">
        <v>1152</v>
      </c>
      <c r="O2" s="1450" t="s">
        <v>1381</v>
      </c>
      <c r="P2" s="1450" t="s">
        <v>751</v>
      </c>
      <c r="Q2" s="1449" t="s">
        <v>1156</v>
      </c>
      <c r="R2" s="1453"/>
      <c r="S2" s="1449" t="s">
        <v>1152</v>
      </c>
      <c r="T2" s="1450" t="s">
        <v>1381</v>
      </c>
      <c r="U2" s="1450" t="s">
        <v>751</v>
      </c>
      <c r="V2" s="1449" t="s">
        <v>1156</v>
      </c>
      <c r="X2" s="1449" t="s">
        <v>1152</v>
      </c>
      <c r="Y2" s="1449" t="s">
        <v>1153</v>
      </c>
      <c r="Z2" s="1450" t="s">
        <v>1154</v>
      </c>
      <c r="AA2" s="1450" t="s">
        <v>1155</v>
      </c>
      <c r="AB2" s="1449" t="s">
        <v>1156</v>
      </c>
      <c r="AD2" s="1449" t="s">
        <v>1152</v>
      </c>
      <c r="AE2" s="1449" t="s">
        <v>1153</v>
      </c>
      <c r="AF2" s="1450" t="s">
        <v>1154</v>
      </c>
      <c r="AG2" s="1450" t="s">
        <v>1155</v>
      </c>
      <c r="AH2" s="1449" t="s">
        <v>1156</v>
      </c>
    </row>
    <row r="3" spans="1:34" s="2929" customFormat="1" ht="14.25">
      <c r="A3" s="2938" t="s">
        <v>3036</v>
      </c>
      <c r="B3" s="2930"/>
      <c r="C3" s="2930"/>
      <c r="D3" s="2931"/>
      <c r="E3" s="2931"/>
      <c r="F3" s="2930"/>
      <c r="G3" s="2932"/>
      <c r="H3" s="2933"/>
      <c r="I3" s="2934">
        <f>ROUND(AVERAGE($I4:$I24),2)</f>
        <v>2.19</v>
      </c>
      <c r="J3" s="2934">
        <f>ROUND(AVERAGE($J4:$J24),2)</f>
        <v>1.53</v>
      </c>
      <c r="K3" s="2934">
        <f>ROUND(AVERAGE($K4:$K24),2)</f>
        <v>2.41</v>
      </c>
      <c r="L3" s="2934">
        <f>ROUND(AVERAGE($L4:$L24),2)</f>
        <v>1.42</v>
      </c>
      <c r="N3" s="2932"/>
      <c r="O3" s="2935"/>
      <c r="P3" s="2935"/>
      <c r="Q3" s="2935"/>
      <c r="R3" s="2935"/>
      <c r="S3" s="2932"/>
      <c r="T3" s="2935"/>
      <c r="U3" s="2935"/>
      <c r="V3" s="2935"/>
      <c r="W3" s="2927"/>
      <c r="X3" s="2936">
        <f>ROUND(SUMPRODUCT(PRODUCT(1+N3:N$23)),4)</f>
        <v>1.4956</v>
      </c>
      <c r="Y3" s="2936">
        <f>ROUND(SUMPRODUCT(PRODUCT(1+O3:O$23)),4)</f>
        <v>1.3237000000000001</v>
      </c>
      <c r="Z3" s="2936">
        <f t="shared" ref="Z3:Z21" si="0">Y3</f>
        <v>1.3237000000000001</v>
      </c>
      <c r="AA3" s="2936">
        <f>ROUND(SUMPRODUCT(PRODUCT(1+P3:P$23)),4)</f>
        <v>1.554</v>
      </c>
      <c r="AB3" s="2936">
        <f>ROUND(SUMPRODUCT(PRODUCT(1+Q3:Q$23)),4)</f>
        <v>1.3087</v>
      </c>
      <c r="AD3" s="2937">
        <f>ROUND(AVERAGE(I3:I$24)/100,4)</f>
        <v>2.1899999999999999E-2</v>
      </c>
      <c r="AE3" s="2937">
        <f>ROUND(AVERAGE(J3:J$24)/100,4)</f>
        <v>1.5299999999999999E-2</v>
      </c>
      <c r="AF3" s="2937">
        <f t="shared" ref="AF3:AF22" si="1">AE3</f>
        <v>1.5299999999999999E-2</v>
      </c>
      <c r="AG3" s="2937">
        <f>ROUND(AVERAGE(K3:K$24)/100,4)</f>
        <v>2.41E-2</v>
      </c>
      <c r="AH3" s="2937">
        <f>ROUND(AVERAGE(L3:L$24)/100,4)</f>
        <v>1.4200000000000001E-2</v>
      </c>
    </row>
    <row r="4" spans="1:34" s="1454" customFormat="1" ht="14.25">
      <c r="B4" s="1455"/>
      <c r="C4" s="1455"/>
      <c r="D4" s="1456"/>
      <c r="E4" s="1456"/>
      <c r="F4" s="1455"/>
      <c r="G4" s="1457"/>
      <c r="H4" s="1458"/>
      <c r="I4" s="2923"/>
      <c r="J4" s="2923"/>
      <c r="K4" s="2923"/>
      <c r="L4" s="2923"/>
      <c r="N4" s="1457"/>
      <c r="O4" s="1459"/>
      <c r="P4" s="1459"/>
      <c r="Q4" s="1459"/>
      <c r="R4" s="1459"/>
      <c r="S4" s="1457"/>
      <c r="T4" s="1459"/>
      <c r="U4" s="1459"/>
      <c r="V4" s="1459"/>
      <c r="X4" s="1460"/>
      <c r="Y4" s="1460"/>
      <c r="Z4" s="1460"/>
      <c r="AA4" s="1460"/>
      <c r="AB4" s="1460"/>
      <c r="AD4" s="1461"/>
      <c r="AE4" s="1461"/>
      <c r="AF4" s="1461"/>
      <c r="AG4" s="1461"/>
      <c r="AH4" s="1461"/>
    </row>
    <row r="5" spans="1:34" s="1729" customFormat="1">
      <c r="A5" s="1727" t="s">
        <v>3043</v>
      </c>
      <c r="B5" s="1789">
        <f t="shared" ref="B5" si="2">B6*(1+N5)</f>
        <v>459.95733971036987</v>
      </c>
      <c r="C5" s="1789">
        <f t="shared" ref="C5" si="3">C6*(1+O5)</f>
        <v>341.22221064422405</v>
      </c>
      <c r="D5" s="1789">
        <f t="shared" ref="D5" si="4">C5</f>
        <v>341.22221064422405</v>
      </c>
      <c r="E5" s="1789">
        <f t="shared" ref="E5" si="5">E6*(1+P5)</f>
        <v>657.19161663724799</v>
      </c>
      <c r="F5" s="1789">
        <f t="shared" ref="F5" si="6">F6*(1+Q5)</f>
        <v>300.87803644464805</v>
      </c>
      <c r="G5" s="2941">
        <v>2018</v>
      </c>
      <c r="H5" s="1728">
        <v>4</v>
      </c>
      <c r="I5" s="2924">
        <v>0</v>
      </c>
      <c r="J5" s="2924">
        <v>0</v>
      </c>
      <c r="K5" s="2924">
        <v>0</v>
      </c>
      <c r="L5" s="2924">
        <v>0</v>
      </c>
      <c r="N5" s="1468">
        <f>I5/100</f>
        <v>0</v>
      </c>
      <c r="O5" s="1468">
        <f t="shared" ref="O5" si="7">J5/100</f>
        <v>0</v>
      </c>
      <c r="P5" s="1468">
        <f t="shared" ref="P5" si="8">K5/100</f>
        <v>0</v>
      </c>
      <c r="Q5" s="1468">
        <f t="shared" ref="Q5" si="9">L5/100</f>
        <v>0</v>
      </c>
      <c r="R5" s="1730"/>
      <c r="S5" s="1731"/>
      <c r="T5" s="1730"/>
      <c r="U5" s="1730"/>
      <c r="V5" s="1730"/>
      <c r="W5" s="2928" t="s">
        <v>3037</v>
      </c>
      <c r="X5" s="1724">
        <f>ROUND(SUMPRODUCT(PRODUCT(1+N5:N$23)),4)</f>
        <v>1.4956</v>
      </c>
      <c r="Y5" s="1724">
        <f>ROUND(SUMPRODUCT(PRODUCT(1+O5:O$23)),4)</f>
        <v>1.3237000000000001</v>
      </c>
      <c r="Z5" s="1724">
        <f t="shared" ref="Z5" si="10">Y5</f>
        <v>1.3237000000000001</v>
      </c>
      <c r="AA5" s="1724">
        <f>ROUND(SUMPRODUCT(PRODUCT(1+P5:P$23)),4)</f>
        <v>1.554</v>
      </c>
      <c r="AB5" s="1724">
        <f>ROUND(SUMPRODUCT(PRODUCT(1+Q5:Q$23)),4)</f>
        <v>1.3087</v>
      </c>
      <c r="AD5" s="1469">
        <f>ROUND(AVERAGE(I5:I$24)/100,4)</f>
        <v>2.1899999999999999E-2</v>
      </c>
      <c r="AE5" s="1469">
        <f>ROUND(AVERAGE(J5:J$24)/100,4)</f>
        <v>1.5299999999999999E-2</v>
      </c>
      <c r="AF5" s="1469">
        <f t="shared" ref="AF5" si="11">AE5</f>
        <v>1.5299999999999999E-2</v>
      </c>
      <c r="AG5" s="1469">
        <f>ROUND(AVERAGE(K5:K$24)/100,4)</f>
        <v>2.41E-2</v>
      </c>
      <c r="AH5" s="1469">
        <f>ROUND(AVERAGE(L5:L$24)/100,4)</f>
        <v>1.4200000000000001E-2</v>
      </c>
    </row>
    <row r="6" spans="1:34" s="1467" customFormat="1" ht="13.5" thickBot="1">
      <c r="A6" s="1462" t="s">
        <v>3044</v>
      </c>
      <c r="B6" s="1478">
        <f t="shared" ref="B6" si="12">B7*(1+N6)</f>
        <v>459.95733971036987</v>
      </c>
      <c r="C6" s="1478">
        <f t="shared" ref="C6" si="13">C7*(1+O6)</f>
        <v>341.22221064422405</v>
      </c>
      <c r="D6" s="1478">
        <f t="shared" ref="D6" si="14">C6</f>
        <v>341.22221064422405</v>
      </c>
      <c r="E6" s="1478">
        <f t="shared" ref="E6" si="15">E7*(1+P6)</f>
        <v>657.19161663724799</v>
      </c>
      <c r="F6" s="1478">
        <f t="shared" ref="F6" si="16">F7*(1+Q6)</f>
        <v>300.87803644464805</v>
      </c>
      <c r="G6" s="2939"/>
      <c r="H6" s="1465">
        <v>3</v>
      </c>
      <c r="I6" s="1465">
        <v>1.51</v>
      </c>
      <c r="J6" s="1465">
        <v>1.41</v>
      </c>
      <c r="K6" s="1465">
        <v>1.52</v>
      </c>
      <c r="L6" s="1479">
        <v>1.74</v>
      </c>
      <c r="M6" s="1472"/>
      <c r="N6" s="1473">
        <f>I6/100</f>
        <v>1.5100000000000001E-2</v>
      </c>
      <c r="O6" s="1474">
        <f t="shared" ref="O6" si="17">J6/100</f>
        <v>1.41E-2</v>
      </c>
      <c r="P6" s="1474">
        <f t="shared" ref="P6" si="18">K6/100</f>
        <v>1.52E-2</v>
      </c>
      <c r="Q6" s="1474">
        <f t="shared" ref="Q6" si="19">L6/100</f>
        <v>1.7399999999999999E-2</v>
      </c>
      <c r="R6" s="1475"/>
      <c r="S6" s="1473"/>
      <c r="T6" s="1474"/>
      <c r="U6" s="1474"/>
      <c r="V6" s="1474"/>
      <c r="W6" s="1788"/>
      <c r="X6" s="1786">
        <f>ROUND(SUMPRODUCT(PRODUCT(1+N6:N$23)),4)</f>
        <v>1.4956</v>
      </c>
      <c r="Y6" s="1786">
        <f>ROUND(SUMPRODUCT(PRODUCT(1+O6:O$23)),4)</f>
        <v>1.3237000000000001</v>
      </c>
      <c r="Z6" s="1786">
        <f t="shared" ref="Z6" si="20">Y6</f>
        <v>1.3237000000000001</v>
      </c>
      <c r="AA6" s="1786">
        <f>ROUND(SUMPRODUCT(PRODUCT(1+P6:P$23)),4)</f>
        <v>1.554</v>
      </c>
      <c r="AB6" s="1786">
        <f>ROUND(SUMPRODUCT(PRODUCT(1+Q6:Q$23)),4)</f>
        <v>1.3087</v>
      </c>
      <c r="AC6" s="1788"/>
      <c r="AD6" s="1787">
        <f>ROUND(AVERAGE(I6:I$24)/100,4)</f>
        <v>2.3099999999999999E-2</v>
      </c>
      <c r="AE6" s="1787">
        <f>ROUND(AVERAGE(J6:J$24)/100,4)</f>
        <v>1.61E-2</v>
      </c>
      <c r="AF6" s="1787">
        <f t="shared" ref="AF6" si="21">AE6</f>
        <v>1.61E-2</v>
      </c>
      <c r="AG6" s="1787">
        <f>ROUND(AVERAGE(K6:K$24)/100,4)</f>
        <v>2.53E-2</v>
      </c>
      <c r="AH6" s="1787">
        <f>ROUND(AVERAGE(L6:L$24)/100,4)</f>
        <v>1.4999999999999999E-2</v>
      </c>
    </row>
    <row r="7" spans="1:34" s="1467" customFormat="1" ht="13.5" thickBot="1">
      <c r="A7" s="1462" t="s">
        <v>3042</v>
      </c>
      <c r="B7" s="1478">
        <f t="shared" ref="B7" si="22">B8*(1+N7)</f>
        <v>453.11529869999993</v>
      </c>
      <c r="C7" s="1478">
        <f t="shared" ref="C7" si="23">C8*(1+O7)</f>
        <v>336.47787264000004</v>
      </c>
      <c r="D7" s="1478">
        <f t="shared" ref="D7" si="24">C7</f>
        <v>336.47787264000004</v>
      </c>
      <c r="E7" s="1478">
        <f t="shared" ref="E7" si="25">E8*(1+P7)</f>
        <v>647.35186823999993</v>
      </c>
      <c r="F7" s="1478">
        <f t="shared" ref="F7" si="26">F8*(1+Q7)</f>
        <v>295.73229452000004</v>
      </c>
      <c r="G7" s="2939"/>
      <c r="H7" s="1465">
        <v>2</v>
      </c>
      <c r="I7" s="1465">
        <v>1.49</v>
      </c>
      <c r="J7" s="1465">
        <v>0.96</v>
      </c>
      <c r="K7" s="1465">
        <v>1.58</v>
      </c>
      <c r="L7" s="1479">
        <v>2.44</v>
      </c>
      <c r="M7" s="1472"/>
      <c r="N7" s="1473">
        <f t="shared" ref="N7" si="27">I7/100</f>
        <v>1.49E-2</v>
      </c>
      <c r="O7" s="1474">
        <f t="shared" ref="O7" si="28">J7/100</f>
        <v>9.5999999999999992E-3</v>
      </c>
      <c r="P7" s="1474">
        <f t="shared" ref="P7" si="29">K7/100</f>
        <v>1.5800000000000002E-2</v>
      </c>
      <c r="Q7" s="1474">
        <f t="shared" ref="Q7" si="30">L7/100</f>
        <v>2.4399999999999998E-2</v>
      </c>
      <c r="R7" s="1475"/>
      <c r="S7" s="1473"/>
      <c r="T7" s="1474"/>
      <c r="U7" s="1474"/>
      <c r="V7" s="1474"/>
      <c r="W7" s="1788"/>
      <c r="X7" s="1786">
        <f>ROUND(SUMPRODUCT(PRODUCT(1+N7:N$23)),4)</f>
        <v>1.4733000000000001</v>
      </c>
      <c r="Y7" s="1786">
        <f>ROUND(SUMPRODUCT(PRODUCT(1+O7:O$23)),4)</f>
        <v>1.3052999999999999</v>
      </c>
      <c r="Z7" s="1786">
        <f t="shared" ref="Z7" si="31">Y7</f>
        <v>1.3052999999999999</v>
      </c>
      <c r="AA7" s="1786">
        <f>ROUND(SUMPRODUCT(PRODUCT(1+P7:P$23)),4)</f>
        <v>1.5306999999999999</v>
      </c>
      <c r="AB7" s="1786">
        <f>ROUND(SUMPRODUCT(PRODUCT(1+Q7:Q$23)),4)</f>
        <v>1.2863</v>
      </c>
      <c r="AC7" s="1788"/>
      <c r="AD7" s="1787">
        <f>ROUND(AVERAGE(I7:I$24)/100,4)</f>
        <v>2.35E-2</v>
      </c>
      <c r="AE7" s="1787">
        <f>ROUND(AVERAGE(J7:J$24)/100,4)</f>
        <v>1.6199999999999999E-2</v>
      </c>
      <c r="AF7" s="1787">
        <f t="shared" ref="AF7" si="32">AE7</f>
        <v>1.6199999999999999E-2</v>
      </c>
      <c r="AG7" s="1787">
        <f>ROUND(AVERAGE(K7:K$24)/100,4)</f>
        <v>2.5899999999999999E-2</v>
      </c>
      <c r="AH7" s="1787">
        <f>ROUND(AVERAGE(L7:L$24)/100,4)</f>
        <v>1.49E-2</v>
      </c>
    </row>
    <row r="8" spans="1:34" s="1467" customFormat="1" ht="13.5" thickBot="1">
      <c r="A8" s="1462" t="s">
        <v>3035</v>
      </c>
      <c r="B8" s="1478">
        <f t="shared" ref="B8" si="33">B9*(1+N8)</f>
        <v>446.46299999999997</v>
      </c>
      <c r="C8" s="1478">
        <f t="shared" ref="C8" si="34">C9*(1+O8)</f>
        <v>333.27840000000003</v>
      </c>
      <c r="D8" s="1478">
        <f t="shared" ref="D8" si="35">C8</f>
        <v>333.27840000000003</v>
      </c>
      <c r="E8" s="1478">
        <f t="shared" ref="E8" si="36">E9*(1+P8)</f>
        <v>637.28279999999995</v>
      </c>
      <c r="F8" s="1478">
        <f t="shared" ref="F8" si="37">F9*(1+Q8)</f>
        <v>288.68830000000003</v>
      </c>
      <c r="G8" s="2939"/>
      <c r="H8" s="1465">
        <v>1</v>
      </c>
      <c r="I8" s="1465">
        <v>1.7</v>
      </c>
      <c r="J8" s="1465">
        <v>1.92</v>
      </c>
      <c r="K8" s="1465">
        <v>1.64</v>
      </c>
      <c r="L8" s="1479">
        <v>2.0099999999999998</v>
      </c>
      <c r="M8" s="1472"/>
      <c r="N8" s="1473">
        <f t="shared" ref="N8:N13" si="38">I8/100</f>
        <v>1.7000000000000001E-2</v>
      </c>
      <c r="O8" s="1474">
        <f t="shared" ref="O8" si="39">J8/100</f>
        <v>1.9199999999999998E-2</v>
      </c>
      <c r="P8" s="1474">
        <f t="shared" ref="P8" si="40">K8/100</f>
        <v>1.6399999999999998E-2</v>
      </c>
      <c r="Q8" s="1474">
        <f t="shared" ref="Q8" si="41">L8/100</f>
        <v>2.0099999999999996E-2</v>
      </c>
      <c r="R8" s="1475"/>
      <c r="S8" s="1473">
        <f>B8/B9-1</f>
        <v>1.6999999999999904E-2</v>
      </c>
      <c r="T8" s="1474">
        <f t="shared" ref="T8" si="42">C8/C9-1</f>
        <v>1.9200000000000106E-2</v>
      </c>
      <c r="U8" s="1474">
        <f t="shared" ref="U8" si="43">D8/D9-1</f>
        <v>1.9200000000000106E-2</v>
      </c>
      <c r="V8" s="1474">
        <f t="shared" ref="V8" si="44">E8/E9-1</f>
        <v>1.639999999999997E-2</v>
      </c>
      <c r="W8" s="1788"/>
      <c r="X8" s="1786">
        <f>ROUND(SUMPRODUCT(PRODUCT(1+N8:N$23)),4)</f>
        <v>1.4517</v>
      </c>
      <c r="Y8" s="1786">
        <f>ROUND(SUMPRODUCT(PRODUCT(1+O8:O$23)),4)</f>
        <v>1.2928999999999999</v>
      </c>
      <c r="Z8" s="1786">
        <f t="shared" ref="Z8" si="45">Y8</f>
        <v>1.2928999999999999</v>
      </c>
      <c r="AA8" s="1786">
        <f>ROUND(SUMPRODUCT(PRODUCT(1+P8:P$23)),4)</f>
        <v>1.5068999999999999</v>
      </c>
      <c r="AB8" s="1786">
        <f>ROUND(SUMPRODUCT(PRODUCT(1+Q8:Q$23)),4)</f>
        <v>1.2557</v>
      </c>
      <c r="AC8" s="1788"/>
      <c r="AD8" s="1787">
        <f>ROUND(AVERAGE(I8:I$24)/100,4)</f>
        <v>2.4E-2</v>
      </c>
      <c r="AE8" s="1787">
        <f>ROUND(AVERAGE(J8:J$24)/100,4)</f>
        <v>1.66E-2</v>
      </c>
      <c r="AF8" s="1787">
        <f t="shared" ref="AF8" si="46">AE8</f>
        <v>1.66E-2</v>
      </c>
      <c r="AG8" s="1787">
        <f>ROUND(AVERAGE(K8:K$24)/100,4)</f>
        <v>2.6499999999999999E-2</v>
      </c>
      <c r="AH8" s="1787">
        <f>ROUND(AVERAGE(L8:L$24)/100,4)</f>
        <v>1.43E-2</v>
      </c>
    </row>
    <row r="9" spans="1:34">
      <c r="A9" s="1462" t="s">
        <v>3032</v>
      </c>
      <c r="B9" s="1470">
        <v>439</v>
      </c>
      <c r="C9" s="1470">
        <v>327</v>
      </c>
      <c r="D9" s="1470">
        <f>C9</f>
        <v>327</v>
      </c>
      <c r="E9" s="1470">
        <v>627</v>
      </c>
      <c r="F9" s="1471">
        <v>283</v>
      </c>
      <c r="G9" s="2926">
        <v>2017</v>
      </c>
      <c r="H9" s="1463">
        <v>4</v>
      </c>
      <c r="I9" s="1463">
        <v>1.71</v>
      </c>
      <c r="J9" s="1463">
        <v>1.78</v>
      </c>
      <c r="K9" s="1463">
        <v>1.71</v>
      </c>
      <c r="L9" s="1464">
        <v>1.43</v>
      </c>
      <c r="N9" s="1473">
        <f t="shared" si="38"/>
        <v>1.7100000000000001E-2</v>
      </c>
      <c r="O9" s="1474">
        <f t="shared" ref="O9" si="47">J9/100</f>
        <v>1.78E-2</v>
      </c>
      <c r="P9" s="1474">
        <f t="shared" ref="P9" si="48">K9/100</f>
        <v>1.7100000000000001E-2</v>
      </c>
      <c r="Q9" s="1474">
        <f t="shared" ref="Q9" si="49">L9/100</f>
        <v>1.43E-2</v>
      </c>
      <c r="R9" s="1475"/>
      <c r="S9" s="1476"/>
      <c r="T9" s="1477"/>
      <c r="U9" s="1477"/>
      <c r="V9" s="1477"/>
      <c r="X9" s="1460">
        <f>ROUND(SUMPRODUCT(PRODUCT(1+N9:N$23)),4)</f>
        <v>1.4274</v>
      </c>
      <c r="Y9" s="1460">
        <f>ROUND(SUMPRODUCT(PRODUCT(1+O9:O$23)),4)</f>
        <v>1.2685</v>
      </c>
      <c r="Z9" s="1460">
        <f t="shared" si="0"/>
        <v>1.2685</v>
      </c>
      <c r="AA9" s="1460">
        <f>ROUND(SUMPRODUCT(PRODUCT(1+P9:P$23)),4)</f>
        <v>1.4825999999999999</v>
      </c>
      <c r="AB9" s="1460">
        <f>ROUND(SUMPRODUCT(PRODUCT(1+Q9:Q$23)),4)</f>
        <v>1.2309000000000001</v>
      </c>
      <c r="AD9" s="1461">
        <f>ROUND(AVERAGE(I9:I$24)/100,4)</f>
        <v>2.4500000000000001E-2</v>
      </c>
      <c r="AE9" s="1461">
        <f>ROUND(AVERAGE(J9:J$24)/100,4)</f>
        <v>1.6500000000000001E-2</v>
      </c>
      <c r="AF9" s="1461">
        <f t="shared" si="1"/>
        <v>1.6500000000000001E-2</v>
      </c>
      <c r="AG9" s="1461">
        <f>ROUND(AVERAGE(K9:K$24)/100,4)</f>
        <v>2.7099999999999999E-2</v>
      </c>
      <c r="AH9" s="1461">
        <f>ROUND(AVERAGE(L9:L$24)/100,4)</f>
        <v>1.3899999999999999E-2</v>
      </c>
    </row>
    <row r="10" spans="1:34" s="1467" customFormat="1" ht="13.5" thickBot="1">
      <c r="A10" s="1462" t="s">
        <v>3033</v>
      </c>
      <c r="B10" s="1478">
        <f t="shared" ref="B10:B11" si="50">B11*(1+N10)</f>
        <v>431.80730811680002</v>
      </c>
      <c r="C10" s="1478">
        <f t="shared" ref="C10:C11" si="51">C11*(1+O10)</f>
        <v>320.57880516480003</v>
      </c>
      <c r="D10" s="1478">
        <f t="shared" ref="D10:D11" si="52">C10</f>
        <v>320.57880516480003</v>
      </c>
      <c r="E10" s="1478">
        <f t="shared" ref="E10:E11" si="53">E11*(1+P10)</f>
        <v>615.96110553196797</v>
      </c>
      <c r="F10" s="1478">
        <f t="shared" ref="F10:F11" si="54">F11*(1+Q10)</f>
        <v>279.46777300108801</v>
      </c>
      <c r="G10" s="2922"/>
      <c r="H10" s="1465">
        <v>3</v>
      </c>
      <c r="I10" s="1465">
        <v>2.98</v>
      </c>
      <c r="J10" s="1465">
        <v>2.11</v>
      </c>
      <c r="K10" s="1465">
        <v>3.24</v>
      </c>
      <c r="L10" s="1479">
        <v>1.72</v>
      </c>
      <c r="M10" s="1472"/>
      <c r="N10" s="1473">
        <f t="shared" si="38"/>
        <v>2.98E-2</v>
      </c>
      <c r="O10" s="1474">
        <f t="shared" ref="O10" si="55">J10/100</f>
        <v>2.1099999999999997E-2</v>
      </c>
      <c r="P10" s="1474">
        <f t="shared" ref="P10" si="56">K10/100</f>
        <v>3.2400000000000005E-2</v>
      </c>
      <c r="Q10" s="1474">
        <f t="shared" ref="Q10" si="57">L10/100</f>
        <v>1.72E-2</v>
      </c>
      <c r="R10" s="1475"/>
      <c r="S10" s="1473"/>
      <c r="T10" s="1474"/>
      <c r="U10" s="1474"/>
      <c r="V10" s="1474"/>
      <c r="W10" s="1788"/>
      <c r="X10" s="1786">
        <f>ROUND(SUMPRODUCT(PRODUCT(1+N10:N$23)),4)</f>
        <v>1.4034</v>
      </c>
      <c r="Y10" s="1786">
        <f>ROUND(SUMPRODUCT(PRODUCT(1+O10:O$23)),4)</f>
        <v>1.2463</v>
      </c>
      <c r="Z10" s="1786">
        <f t="shared" si="0"/>
        <v>1.2463</v>
      </c>
      <c r="AA10" s="1786">
        <f>ROUND(SUMPRODUCT(PRODUCT(1+P10:P$23)),4)</f>
        <v>1.4577</v>
      </c>
      <c r="AB10" s="1786">
        <f>ROUND(SUMPRODUCT(PRODUCT(1+Q10:Q$23)),4)</f>
        <v>1.2136</v>
      </c>
      <c r="AC10" s="1788"/>
      <c r="AD10" s="1787">
        <f>ROUND(AVERAGE(I10:I$24)/100,4)</f>
        <v>2.4899999999999999E-2</v>
      </c>
      <c r="AE10" s="1787">
        <f>ROUND(AVERAGE(J10:J$24)/100,4)</f>
        <v>1.6400000000000001E-2</v>
      </c>
      <c r="AF10" s="1787">
        <f t="shared" si="1"/>
        <v>1.6400000000000001E-2</v>
      </c>
      <c r="AG10" s="1787">
        <f>ROUND(AVERAGE(K10:K$24)/100,4)</f>
        <v>2.7799999999999998E-2</v>
      </c>
      <c r="AH10" s="1787">
        <f>ROUND(AVERAGE(L10:L$24)/100,4)</f>
        <v>1.3899999999999999E-2</v>
      </c>
    </row>
    <row r="11" spans="1:34" s="1729" customFormat="1">
      <c r="A11" s="1462" t="s">
        <v>1382</v>
      </c>
      <c r="B11" s="1478">
        <f t="shared" si="50"/>
        <v>419.31181600000002</v>
      </c>
      <c r="C11" s="1478">
        <f t="shared" si="51"/>
        <v>313.95436800000004</v>
      </c>
      <c r="D11" s="1478">
        <f t="shared" si="52"/>
        <v>313.95436800000004</v>
      </c>
      <c r="E11" s="1478">
        <f t="shared" si="53"/>
        <v>596.63028431999999</v>
      </c>
      <c r="F11" s="1478">
        <f t="shared" si="54"/>
        <v>274.74220703999998</v>
      </c>
      <c r="G11" s="2921"/>
      <c r="H11" s="1466">
        <v>2</v>
      </c>
      <c r="I11" s="1466">
        <v>3.4</v>
      </c>
      <c r="J11" s="1466">
        <v>2</v>
      </c>
      <c r="K11" s="1466">
        <v>3.82</v>
      </c>
      <c r="L11" s="1480">
        <v>1.68</v>
      </c>
      <c r="M11" s="1472"/>
      <c r="N11" s="1473">
        <f t="shared" si="38"/>
        <v>3.4000000000000002E-2</v>
      </c>
      <c r="O11" s="1474">
        <f t="shared" ref="O11" si="58">J11/100</f>
        <v>0.02</v>
      </c>
      <c r="P11" s="1474">
        <f t="shared" ref="P11" si="59">K11/100</f>
        <v>3.8199999999999998E-2</v>
      </c>
      <c r="Q11" s="1474">
        <f t="shared" ref="Q11" si="60">L11/100</f>
        <v>1.6799999999999999E-2</v>
      </c>
      <c r="R11" s="1475"/>
      <c r="S11" s="1476"/>
      <c r="T11" s="1477"/>
      <c r="U11" s="1477"/>
      <c r="V11" s="1477"/>
      <c r="W11" s="1454"/>
      <c r="X11" s="1786">
        <f>ROUND(SUMPRODUCT(PRODUCT(1+N11:N$23)),4)</f>
        <v>1.3628</v>
      </c>
      <c r="Y11" s="1786">
        <f>ROUND(SUMPRODUCT(PRODUCT(1+O11:O$23)),4)</f>
        <v>1.2205999999999999</v>
      </c>
      <c r="Z11" s="1786">
        <f t="shared" si="0"/>
        <v>1.2205999999999999</v>
      </c>
      <c r="AA11" s="1786">
        <f>ROUND(SUMPRODUCT(PRODUCT(1+P11:P$23)),4)</f>
        <v>1.4118999999999999</v>
      </c>
      <c r="AB11" s="1786">
        <f>ROUND(SUMPRODUCT(PRODUCT(1+Q11:Q$23)),4)</f>
        <v>1.1930000000000001</v>
      </c>
      <c r="AC11" s="1454"/>
      <c r="AD11" s="1787">
        <f>ROUND(AVERAGE(I11:I$24)/100,4)</f>
        <v>2.46E-2</v>
      </c>
      <c r="AE11" s="1787">
        <f>ROUND(AVERAGE(J11:J$24)/100,4)</f>
        <v>1.6E-2</v>
      </c>
      <c r="AF11" s="1787">
        <f t="shared" si="1"/>
        <v>1.6E-2</v>
      </c>
      <c r="AG11" s="1787">
        <f>ROUND(AVERAGE(K11:K$24)/100,4)</f>
        <v>2.75E-2</v>
      </c>
      <c r="AH11" s="1787">
        <f>ROUND(AVERAGE(L11:L$24)/100,4)</f>
        <v>1.37E-2</v>
      </c>
    </row>
    <row r="12" spans="1:34" s="1467" customFormat="1" ht="13.5" thickBot="1">
      <c r="A12" s="1462" t="s">
        <v>1157</v>
      </c>
      <c r="B12" s="1478">
        <f>B13*(1+N12)</f>
        <v>405.524</v>
      </c>
      <c r="C12" s="1478">
        <f>C13*(1+O12)</f>
        <v>307.79840000000002</v>
      </c>
      <c r="D12" s="1478">
        <f>C12</f>
        <v>307.79840000000002</v>
      </c>
      <c r="E12" s="1478">
        <f>E13*(1+P12)</f>
        <v>574.67759999999998</v>
      </c>
      <c r="F12" s="1478">
        <f>F13*(1+Q12)</f>
        <v>270.20280000000002</v>
      </c>
      <c r="G12" s="2922"/>
      <c r="H12" s="1465">
        <v>1</v>
      </c>
      <c r="I12" s="1465">
        <v>3.45</v>
      </c>
      <c r="J12" s="1465">
        <v>1.92</v>
      </c>
      <c r="K12" s="1465">
        <v>3.92</v>
      </c>
      <c r="L12" s="1479">
        <v>1.58</v>
      </c>
      <c r="M12" s="1472"/>
      <c r="N12" s="1473">
        <f t="shared" si="38"/>
        <v>3.4500000000000003E-2</v>
      </c>
      <c r="O12" s="1474">
        <f t="shared" ref="O12:Q27" si="61">J12/100</f>
        <v>1.9199999999999998E-2</v>
      </c>
      <c r="P12" s="1474">
        <f t="shared" si="61"/>
        <v>3.9199999999999999E-2</v>
      </c>
      <c r="Q12" s="1474">
        <f t="shared" si="61"/>
        <v>1.5800000000000002E-2</v>
      </c>
      <c r="R12" s="1475"/>
      <c r="S12" s="1473">
        <f>B12/B13-1</f>
        <v>3.4499999999999975E-2</v>
      </c>
      <c r="T12" s="1474">
        <f t="shared" ref="T12:V12" si="62">C12/C13-1</f>
        <v>1.9200000000000106E-2</v>
      </c>
      <c r="U12" s="1474">
        <f t="shared" si="62"/>
        <v>1.9200000000000106E-2</v>
      </c>
      <c r="V12" s="1474">
        <f t="shared" si="62"/>
        <v>3.9199999999999902E-2</v>
      </c>
      <c r="W12" s="1788"/>
      <c r="X12" s="1786">
        <f>ROUND(SUMPRODUCT(PRODUCT(1+N12:N$23)),4)</f>
        <v>1.3180000000000001</v>
      </c>
      <c r="Y12" s="1786">
        <f>ROUND(SUMPRODUCT(PRODUCT(1+O12:O$23)),4)</f>
        <v>1.1966000000000001</v>
      </c>
      <c r="Z12" s="1786">
        <f t="shared" si="0"/>
        <v>1.1966000000000001</v>
      </c>
      <c r="AA12" s="1786">
        <f>ROUND(SUMPRODUCT(PRODUCT(1+P12:P$23)),4)</f>
        <v>1.36</v>
      </c>
      <c r="AB12" s="1786">
        <f>ROUND(SUMPRODUCT(PRODUCT(1+Q12:Q$23)),4)</f>
        <v>1.1733</v>
      </c>
      <c r="AC12" s="1788"/>
      <c r="AD12" s="1787">
        <f>ROUND(AVERAGE(I12:I$24)/100,4)</f>
        <v>2.3900000000000001E-2</v>
      </c>
      <c r="AE12" s="1787">
        <f>ROUND(AVERAGE(J12:J$24)/100,4)</f>
        <v>1.5699999999999999E-2</v>
      </c>
      <c r="AF12" s="1787">
        <f t="shared" si="1"/>
        <v>1.5699999999999999E-2</v>
      </c>
      <c r="AG12" s="1787">
        <f>ROUND(AVERAGE(K12:K$24)/100,4)</f>
        <v>2.6599999999999999E-2</v>
      </c>
      <c r="AH12" s="1787">
        <f>ROUND(AVERAGE(L12:L$24)/100,4)</f>
        <v>1.34E-2</v>
      </c>
    </row>
    <row r="13" spans="1:34">
      <c r="A13" s="1462" t="s">
        <v>154</v>
      </c>
      <c r="B13" s="1470">
        <v>392</v>
      </c>
      <c r="C13" s="1470">
        <v>302</v>
      </c>
      <c r="D13" s="1470">
        <f>C13</f>
        <v>302</v>
      </c>
      <c r="E13" s="1470">
        <v>553</v>
      </c>
      <c r="F13" s="1471">
        <v>266</v>
      </c>
      <c r="G13" s="3353">
        <v>2016</v>
      </c>
      <c r="H13" s="1463">
        <v>4</v>
      </c>
      <c r="I13" s="1463">
        <v>4.5599999999999996</v>
      </c>
      <c r="J13" s="1463">
        <v>2.15</v>
      </c>
      <c r="K13" s="1463">
        <v>5.32</v>
      </c>
      <c r="L13" s="1464">
        <v>1.57</v>
      </c>
      <c r="N13" s="1473">
        <f t="shared" si="38"/>
        <v>4.5599999999999995E-2</v>
      </c>
      <c r="O13" s="1474">
        <f t="shared" si="61"/>
        <v>2.1499999999999998E-2</v>
      </c>
      <c r="P13" s="1474">
        <f t="shared" si="61"/>
        <v>5.3200000000000004E-2</v>
      </c>
      <c r="Q13" s="1474">
        <f t="shared" si="61"/>
        <v>1.5700000000000002E-2</v>
      </c>
      <c r="R13" s="1475"/>
      <c r="S13" s="1476"/>
      <c r="T13" s="1477"/>
      <c r="U13" s="1477"/>
      <c r="V13" s="1477"/>
      <c r="X13" s="1460">
        <f>ROUND(SUMPRODUCT(PRODUCT(1+N13:N$23)),4)</f>
        <v>1.274</v>
      </c>
      <c r="Y13" s="1460">
        <f>ROUND(SUMPRODUCT(PRODUCT(1+O13:O$23)),4)</f>
        <v>1.1740999999999999</v>
      </c>
      <c r="Z13" s="1460">
        <f t="shared" si="0"/>
        <v>1.1740999999999999</v>
      </c>
      <c r="AA13" s="1460">
        <f>ROUND(SUMPRODUCT(PRODUCT(1+P13:P$23)),4)</f>
        <v>1.3087</v>
      </c>
      <c r="AB13" s="1460">
        <f>ROUND(SUMPRODUCT(PRODUCT(1+Q13:Q$23)),4)</f>
        <v>1.1551</v>
      </c>
      <c r="AD13" s="1461">
        <f>ROUND(AVERAGE(I13:I$24)/100,4)</f>
        <v>2.3E-2</v>
      </c>
      <c r="AE13" s="1461">
        <f>ROUND(AVERAGE(J13:J$24)/100,4)</f>
        <v>1.55E-2</v>
      </c>
      <c r="AF13" s="1461">
        <f t="shared" si="1"/>
        <v>1.55E-2</v>
      </c>
      <c r="AG13" s="1461">
        <f>ROUND(AVERAGE(K13:K$24)/100,4)</f>
        <v>2.5600000000000001E-2</v>
      </c>
      <c r="AH13" s="1461">
        <f>ROUND(AVERAGE(L13:L$24)/100,4)</f>
        <v>1.32E-2</v>
      </c>
    </row>
    <row r="14" spans="1:34">
      <c r="A14" s="1462" t="s">
        <v>153</v>
      </c>
      <c r="B14" s="1478">
        <f t="shared" ref="B14:C16" si="63">B13/(1+N13)</f>
        <v>374.90436113236416</v>
      </c>
      <c r="C14" s="1478">
        <f t="shared" si="63"/>
        <v>295.64366128242779</v>
      </c>
      <c r="D14" s="1478">
        <f t="shared" ref="D14:D73" si="64">C14</f>
        <v>295.64366128242779</v>
      </c>
      <c r="E14" s="1478">
        <f t="shared" ref="E14:F16" si="65">E13/(1+P13)</f>
        <v>525.06646410938095</v>
      </c>
      <c r="F14" s="1478">
        <f t="shared" si="65"/>
        <v>261.88835286009646</v>
      </c>
      <c r="G14" s="3350"/>
      <c r="H14" s="1465">
        <v>3</v>
      </c>
      <c r="I14" s="1465">
        <v>4.12</v>
      </c>
      <c r="J14" s="1465">
        <v>2</v>
      </c>
      <c r="K14" s="1465">
        <v>4.79</v>
      </c>
      <c r="L14" s="1479">
        <v>1.97</v>
      </c>
      <c r="N14" s="1473">
        <f t="shared" ref="N14:Q48" si="66">I14/100</f>
        <v>4.1200000000000001E-2</v>
      </c>
      <c r="O14" s="1474">
        <f t="shared" si="61"/>
        <v>0.02</v>
      </c>
      <c r="P14" s="1474">
        <f t="shared" si="61"/>
        <v>4.7899999999999998E-2</v>
      </c>
      <c r="Q14" s="1474">
        <f t="shared" si="61"/>
        <v>1.9699999999999999E-2</v>
      </c>
      <c r="R14" s="1475"/>
      <c r="S14" s="1473"/>
      <c r="T14" s="1474"/>
      <c r="U14" s="1474"/>
      <c r="V14" s="1474"/>
      <c r="X14" s="1460">
        <f>ROUND(SUMPRODUCT(PRODUCT(1+N14:N$23)),4)</f>
        <v>1.2184999999999999</v>
      </c>
      <c r="Y14" s="1460">
        <f>ROUND(SUMPRODUCT(PRODUCT(1+O14:O$23)),4)</f>
        <v>1.1494</v>
      </c>
      <c r="Z14" s="1460">
        <f t="shared" si="0"/>
        <v>1.1494</v>
      </c>
      <c r="AA14" s="1460">
        <f>ROUND(SUMPRODUCT(PRODUCT(1+P14:P$23)),4)</f>
        <v>1.2425999999999999</v>
      </c>
      <c r="AB14" s="1460">
        <f>ROUND(SUMPRODUCT(PRODUCT(1+Q14:Q$23)),4)</f>
        <v>1.1372</v>
      </c>
      <c r="AD14" s="1461">
        <f>ROUND(AVERAGE(I14:I$24)/100,4)</f>
        <v>2.0899999999999998E-2</v>
      </c>
      <c r="AE14" s="1461">
        <f>ROUND(AVERAGE(J14:J$24)/100,4)</f>
        <v>1.49E-2</v>
      </c>
      <c r="AF14" s="1461">
        <f t="shared" si="1"/>
        <v>1.49E-2</v>
      </c>
      <c r="AG14" s="1461">
        <f>ROUND(AVERAGE(K14:K$24)/100,4)</f>
        <v>2.3099999999999999E-2</v>
      </c>
      <c r="AH14" s="1461">
        <f>ROUND(AVERAGE(L14:L$24)/100,4)</f>
        <v>1.2999999999999999E-2</v>
      </c>
    </row>
    <row r="15" spans="1:34">
      <c r="A15" s="1462" t="s">
        <v>143</v>
      </c>
      <c r="B15" s="1478">
        <f t="shared" si="63"/>
        <v>360.06949782209392</v>
      </c>
      <c r="C15" s="1478">
        <f t="shared" si="63"/>
        <v>289.84672674747821</v>
      </c>
      <c r="D15" s="1478">
        <f t="shared" si="64"/>
        <v>289.84672674747821</v>
      </c>
      <c r="E15" s="1478">
        <f t="shared" si="65"/>
        <v>501.06543001181495</v>
      </c>
      <c r="F15" s="1478">
        <f t="shared" si="65"/>
        <v>256.82882500744967</v>
      </c>
      <c r="G15" s="3350"/>
      <c r="H15" s="1466">
        <v>2</v>
      </c>
      <c r="I15" s="1466">
        <v>3.85</v>
      </c>
      <c r="J15" s="1466">
        <v>1.95</v>
      </c>
      <c r="K15" s="1466">
        <v>4.4800000000000004</v>
      </c>
      <c r="L15" s="1480">
        <v>1.41</v>
      </c>
      <c r="N15" s="1473">
        <f t="shared" si="66"/>
        <v>3.85E-2</v>
      </c>
      <c r="O15" s="1474">
        <f t="shared" si="61"/>
        <v>1.95E-2</v>
      </c>
      <c r="P15" s="1474">
        <f t="shared" si="61"/>
        <v>4.4800000000000006E-2</v>
      </c>
      <c r="Q15" s="1474">
        <f t="shared" si="61"/>
        <v>1.41E-2</v>
      </c>
      <c r="R15" s="1475"/>
      <c r="S15" s="1473"/>
      <c r="T15" s="1474"/>
      <c r="U15" s="1474"/>
      <c r="V15" s="1474"/>
      <c r="X15" s="1460">
        <f>ROUND(SUMPRODUCT(PRODUCT(1+N15:N$23)),4)</f>
        <v>1.1702999999999999</v>
      </c>
      <c r="Y15" s="1460">
        <f>ROUND(SUMPRODUCT(PRODUCT(1+O15:O$23)),4)</f>
        <v>1.1269</v>
      </c>
      <c r="Z15" s="1460">
        <f t="shared" si="0"/>
        <v>1.1269</v>
      </c>
      <c r="AA15" s="1460">
        <f>ROUND(SUMPRODUCT(PRODUCT(1+P15:P$23)),4)</f>
        <v>1.1858</v>
      </c>
      <c r="AB15" s="1460">
        <f>ROUND(SUMPRODUCT(PRODUCT(1+Q15:Q$23)),4)</f>
        <v>1.1152</v>
      </c>
      <c r="AD15" s="1461">
        <f>ROUND(AVERAGE(I15:I$24)/100,4)</f>
        <v>1.89E-2</v>
      </c>
      <c r="AE15" s="1461">
        <f>ROUND(AVERAGE(J15:J$24)/100,4)</f>
        <v>1.44E-2</v>
      </c>
      <c r="AF15" s="1461">
        <f t="shared" si="1"/>
        <v>1.44E-2</v>
      </c>
      <c r="AG15" s="1461">
        <f>ROUND(AVERAGE(K15:K$24)/100,4)</f>
        <v>2.06E-2</v>
      </c>
      <c r="AH15" s="1461">
        <f>ROUND(AVERAGE(L15:L$24)/100,4)</f>
        <v>1.23E-2</v>
      </c>
    </row>
    <row r="16" spans="1:34" ht="13.5" thickBot="1">
      <c r="A16" s="1462" t="s">
        <v>152</v>
      </c>
      <c r="B16" s="1478">
        <f t="shared" si="63"/>
        <v>346.720748986128</v>
      </c>
      <c r="C16" s="1478">
        <f t="shared" si="63"/>
        <v>284.30282172386285</v>
      </c>
      <c r="D16" s="1478">
        <f t="shared" si="64"/>
        <v>284.30282172386285</v>
      </c>
      <c r="E16" s="1478">
        <f t="shared" si="65"/>
        <v>479.58023546306947</v>
      </c>
      <c r="F16" s="1478">
        <f t="shared" si="65"/>
        <v>253.25788877571213</v>
      </c>
      <c r="G16" s="3351"/>
      <c r="H16" s="1465">
        <v>1</v>
      </c>
      <c r="I16" s="1465">
        <v>4.09</v>
      </c>
      <c r="J16" s="1465">
        <v>2.93</v>
      </c>
      <c r="K16" s="1465">
        <v>4.54</v>
      </c>
      <c r="L16" s="1479">
        <v>1.48</v>
      </c>
      <c r="N16" s="1473">
        <f t="shared" si="66"/>
        <v>4.0899999999999999E-2</v>
      </c>
      <c r="O16" s="1474">
        <f t="shared" si="61"/>
        <v>2.9300000000000003E-2</v>
      </c>
      <c r="P16" s="1474">
        <f t="shared" si="61"/>
        <v>4.5400000000000003E-2</v>
      </c>
      <c r="Q16" s="1474">
        <f t="shared" si="61"/>
        <v>1.4800000000000001E-2</v>
      </c>
      <c r="R16" s="1475"/>
      <c r="S16" s="1481">
        <f>B16/B17-1</f>
        <v>4.1203450408792808E-2</v>
      </c>
      <c r="T16" s="1482">
        <f>C16/C17-1</f>
        <v>2.6363977342465095E-2</v>
      </c>
      <c r="U16" s="1482">
        <f>E16/E17-1</f>
        <v>4.4837114298626357E-2</v>
      </c>
      <c r="V16" s="1482">
        <f>F16/F17-1</f>
        <v>1.7099954922538574E-2</v>
      </c>
      <c r="X16" s="1460">
        <f>ROUND(SUMPRODUCT(PRODUCT(1+N16:N$23)),4)</f>
        <v>1.1269</v>
      </c>
      <c r="Y16" s="1460">
        <f>ROUND(SUMPRODUCT(PRODUCT(1+O16:O$23)),4)</f>
        <v>1.1052999999999999</v>
      </c>
      <c r="Z16" s="1460">
        <f t="shared" si="0"/>
        <v>1.1052999999999999</v>
      </c>
      <c r="AA16" s="1460">
        <f>ROUND(SUMPRODUCT(PRODUCT(1+P16:P$23)),4)</f>
        <v>1.1349</v>
      </c>
      <c r="AB16" s="1460">
        <f>ROUND(SUMPRODUCT(PRODUCT(1+Q16:Q$23)),4)</f>
        <v>1.0996999999999999</v>
      </c>
      <c r="AD16" s="1461">
        <f>ROUND(AVERAGE(I16:I$24)/100,4)</f>
        <v>1.67E-2</v>
      </c>
      <c r="AE16" s="1461">
        <f>ROUND(AVERAGE(J16:J$24)/100,4)</f>
        <v>1.38E-2</v>
      </c>
      <c r="AF16" s="1461">
        <f t="shared" si="1"/>
        <v>1.38E-2</v>
      </c>
      <c r="AG16" s="1461">
        <f>ROUND(AVERAGE(K16:K$24)/100,4)</f>
        <v>1.7899999999999999E-2</v>
      </c>
      <c r="AH16" s="1461">
        <f>ROUND(AVERAGE(L16:L$24)/100,4)</f>
        <v>1.21E-2</v>
      </c>
    </row>
    <row r="17" spans="1:34" ht="13.5" thickBot="1">
      <c r="A17" s="1462" t="s">
        <v>151</v>
      </c>
      <c r="B17" s="1470">
        <v>333</v>
      </c>
      <c r="C17" s="1470">
        <v>277</v>
      </c>
      <c r="D17" s="1470">
        <f t="shared" si="64"/>
        <v>277</v>
      </c>
      <c r="E17" s="1470">
        <v>459</v>
      </c>
      <c r="F17" s="1471">
        <v>249</v>
      </c>
      <c r="G17" s="3349">
        <v>2015</v>
      </c>
      <c r="H17" s="1483">
        <v>4</v>
      </c>
      <c r="I17" s="1483">
        <v>1.63</v>
      </c>
      <c r="J17" s="1483">
        <v>1.1100000000000001</v>
      </c>
      <c r="K17" s="1483">
        <v>1.77</v>
      </c>
      <c r="L17" s="1484">
        <v>1.89</v>
      </c>
      <c r="N17" s="1485">
        <f t="shared" si="66"/>
        <v>1.6299999999999999E-2</v>
      </c>
      <c r="O17" s="1486">
        <f t="shared" si="61"/>
        <v>1.11E-2</v>
      </c>
      <c r="P17" s="1486">
        <f t="shared" si="61"/>
        <v>1.77E-2</v>
      </c>
      <c r="Q17" s="1486">
        <f t="shared" si="61"/>
        <v>1.89E-2</v>
      </c>
      <c r="R17" s="1475"/>
      <c r="X17" s="1460">
        <f>ROUND(SUMPRODUCT(PRODUCT(1+N17:N$23)),4)</f>
        <v>1.0826</v>
      </c>
      <c r="Y17" s="1460">
        <f>ROUND(SUMPRODUCT(PRODUCT(1+O17:O$23)),4)</f>
        <v>1.0738000000000001</v>
      </c>
      <c r="Z17" s="1460">
        <f t="shared" si="0"/>
        <v>1.0738000000000001</v>
      </c>
      <c r="AA17" s="1460">
        <f>ROUND(SUMPRODUCT(PRODUCT(1+P17:P$23)),4)</f>
        <v>1.0855999999999999</v>
      </c>
      <c r="AB17" s="1460">
        <f>ROUND(SUMPRODUCT(PRODUCT(1+Q17:Q$23)),4)</f>
        <v>1.0837000000000001</v>
      </c>
      <c r="AD17" s="1461">
        <f>ROUND(AVERAGE(I17:I$24)/100,4)</f>
        <v>1.37E-2</v>
      </c>
      <c r="AE17" s="1461">
        <f>ROUND(AVERAGE(J17:J$24)/100,4)</f>
        <v>1.1900000000000001E-2</v>
      </c>
      <c r="AF17" s="1461">
        <f t="shared" si="1"/>
        <v>1.1900000000000001E-2</v>
      </c>
      <c r="AG17" s="1461">
        <f>ROUND(AVERAGE(K17:K$24)/100,4)</f>
        <v>1.4500000000000001E-2</v>
      </c>
      <c r="AH17" s="1461">
        <f>ROUND(AVERAGE(L17:L$24)/100,4)</f>
        <v>1.18E-2</v>
      </c>
    </row>
    <row r="18" spans="1:34">
      <c r="A18" s="1462" t="s">
        <v>150</v>
      </c>
      <c r="B18" s="1478">
        <f t="shared" ref="B18:C20" si="67">B17/(1+N17)</f>
        <v>327.65915576109415</v>
      </c>
      <c r="C18" s="1478">
        <f t="shared" si="67"/>
        <v>273.95905449510434</v>
      </c>
      <c r="D18" s="1478">
        <f t="shared" si="64"/>
        <v>273.95905449510434</v>
      </c>
      <c r="E18" s="1478">
        <f t="shared" ref="E18:F20" si="68">E17/(1+P17)</f>
        <v>451.01699911565294</v>
      </c>
      <c r="F18" s="1478">
        <f t="shared" si="68"/>
        <v>244.38119540681129</v>
      </c>
      <c r="G18" s="3350"/>
      <c r="H18" s="1488">
        <v>3</v>
      </c>
      <c r="I18" s="1488">
        <v>1.65</v>
      </c>
      <c r="J18" s="1488">
        <v>0.92</v>
      </c>
      <c r="K18" s="1488">
        <v>1.88</v>
      </c>
      <c r="L18" s="1489">
        <v>1.26</v>
      </c>
      <c r="N18" s="1473">
        <f t="shared" si="66"/>
        <v>1.6500000000000001E-2</v>
      </c>
      <c r="O18" s="1490">
        <f t="shared" si="61"/>
        <v>9.1999999999999998E-3</v>
      </c>
      <c r="P18" s="1490">
        <f t="shared" si="61"/>
        <v>1.8799999999999997E-2</v>
      </c>
      <c r="Q18" s="1490">
        <f t="shared" si="61"/>
        <v>1.26E-2</v>
      </c>
      <c r="R18" s="1475"/>
      <c r="S18" s="1473"/>
      <c r="T18" s="1474"/>
      <c r="U18" s="1474"/>
      <c r="V18" s="1474"/>
      <c r="X18" s="1460">
        <f>ROUND(SUMPRODUCT(PRODUCT(1+N18:N$23)),4)</f>
        <v>1.0651999999999999</v>
      </c>
      <c r="Y18" s="1460">
        <f>ROUND(SUMPRODUCT(PRODUCT(1+O18:O$23)),4)</f>
        <v>1.0621</v>
      </c>
      <c r="Z18" s="1460">
        <f t="shared" si="0"/>
        <v>1.0621</v>
      </c>
      <c r="AA18" s="1460">
        <f>ROUND(SUMPRODUCT(PRODUCT(1+P18:P$23)),4)</f>
        <v>1.0668</v>
      </c>
      <c r="AB18" s="1460">
        <f>ROUND(SUMPRODUCT(PRODUCT(1+Q18:Q$23)),4)</f>
        <v>1.0636000000000001</v>
      </c>
      <c r="AD18" s="1461">
        <f>ROUND(AVERAGE(I18:I$24)/100,4)</f>
        <v>1.3299999999999999E-2</v>
      </c>
      <c r="AE18" s="1461">
        <f>ROUND(AVERAGE(J18:J$24)/100,4)</f>
        <v>1.2E-2</v>
      </c>
      <c r="AF18" s="1461">
        <f t="shared" si="1"/>
        <v>1.2E-2</v>
      </c>
      <c r="AG18" s="1461">
        <f>ROUND(AVERAGE(K18:K$24)/100,4)</f>
        <v>1.4E-2</v>
      </c>
      <c r="AH18" s="1461">
        <f>ROUND(AVERAGE(L18:L$24)/100,4)</f>
        <v>1.0800000000000001E-2</v>
      </c>
    </row>
    <row r="19" spans="1:34">
      <c r="A19" s="1462" t="s">
        <v>149</v>
      </c>
      <c r="B19" s="1478">
        <f t="shared" si="67"/>
        <v>322.34053690220776</v>
      </c>
      <c r="C19" s="1478">
        <f t="shared" si="67"/>
        <v>271.46160770422546</v>
      </c>
      <c r="D19" s="1478">
        <f t="shared" si="64"/>
        <v>271.46160770422546</v>
      </c>
      <c r="E19" s="1478">
        <f t="shared" si="68"/>
        <v>442.69434542172456</v>
      </c>
      <c r="F19" s="1478">
        <f t="shared" si="68"/>
        <v>241.34030753190925</v>
      </c>
      <c r="G19" s="3350"/>
      <c r="H19" s="1466">
        <v>2</v>
      </c>
      <c r="I19" s="1466">
        <v>0.77</v>
      </c>
      <c r="J19" s="1466">
        <v>0.69</v>
      </c>
      <c r="K19" s="1466">
        <v>0.8</v>
      </c>
      <c r="L19" s="1480">
        <v>0.88</v>
      </c>
      <c r="N19" s="1473">
        <f t="shared" si="66"/>
        <v>7.7000000000000002E-3</v>
      </c>
      <c r="O19" s="1490">
        <f t="shared" si="61"/>
        <v>6.8999999999999999E-3</v>
      </c>
      <c r="P19" s="1490">
        <f t="shared" si="61"/>
        <v>8.0000000000000002E-3</v>
      </c>
      <c r="Q19" s="1490">
        <f t="shared" si="61"/>
        <v>8.8000000000000005E-3</v>
      </c>
      <c r="R19" s="1475"/>
      <c r="S19" s="1473"/>
      <c r="T19" s="1474"/>
      <c r="U19" s="1474"/>
      <c r="V19" s="1474"/>
      <c r="X19" s="1460">
        <f>ROUND(SUMPRODUCT(PRODUCT(1+N19:N$23)),4)</f>
        <v>1.048</v>
      </c>
      <c r="Y19" s="1460">
        <f>ROUND(SUMPRODUCT(PRODUCT(1+O19:O$23)),4)</f>
        <v>1.0524</v>
      </c>
      <c r="Z19" s="1460">
        <f t="shared" si="0"/>
        <v>1.0524</v>
      </c>
      <c r="AA19" s="1460">
        <f>ROUND(SUMPRODUCT(PRODUCT(1+P19:P$23)),4)</f>
        <v>1.0470999999999999</v>
      </c>
      <c r="AB19" s="1460">
        <f>ROUND(SUMPRODUCT(PRODUCT(1+Q19:Q$23)),4)</f>
        <v>1.0504</v>
      </c>
      <c r="AD19" s="1461">
        <f>ROUND(AVERAGE(I19:I$24)/100,4)</f>
        <v>1.2800000000000001E-2</v>
      </c>
      <c r="AE19" s="1461">
        <f>ROUND(AVERAGE(J19:J$24)/100,4)</f>
        <v>1.2500000000000001E-2</v>
      </c>
      <c r="AF19" s="1461">
        <f t="shared" si="1"/>
        <v>1.2500000000000001E-2</v>
      </c>
      <c r="AG19" s="1461">
        <f>ROUND(AVERAGE(K19:K$24)/100,4)</f>
        <v>1.32E-2</v>
      </c>
      <c r="AH19" s="1461">
        <f>ROUND(AVERAGE(L19:L$24)/100,4)</f>
        <v>1.0500000000000001E-2</v>
      </c>
    </row>
    <row r="20" spans="1:34">
      <c r="A20" s="1462" t="s">
        <v>148</v>
      </c>
      <c r="B20" s="1478">
        <f t="shared" si="67"/>
        <v>319.87748030386797</v>
      </c>
      <c r="C20" s="1478">
        <f t="shared" si="67"/>
        <v>269.60135833173649</v>
      </c>
      <c r="D20" s="1478">
        <f t="shared" si="64"/>
        <v>269.60135833173649</v>
      </c>
      <c r="E20" s="1478">
        <f t="shared" si="68"/>
        <v>439.18089823583784</v>
      </c>
      <c r="F20" s="1478">
        <f t="shared" si="68"/>
        <v>239.23503918706311</v>
      </c>
      <c r="G20" s="3351"/>
      <c r="H20" s="1465">
        <v>1</v>
      </c>
      <c r="I20" s="1465">
        <v>0.51</v>
      </c>
      <c r="J20" s="1465">
        <v>0.54</v>
      </c>
      <c r="K20" s="1465">
        <v>0.48</v>
      </c>
      <c r="L20" s="1479">
        <v>0.93</v>
      </c>
      <c r="N20" s="1481">
        <f t="shared" si="66"/>
        <v>5.1000000000000004E-3</v>
      </c>
      <c r="O20" s="1482">
        <f t="shared" si="61"/>
        <v>5.4000000000000003E-3</v>
      </c>
      <c r="P20" s="1482">
        <f t="shared" si="61"/>
        <v>4.7999999999999996E-3</v>
      </c>
      <c r="Q20" s="1482">
        <f t="shared" si="61"/>
        <v>9.300000000000001E-3</v>
      </c>
      <c r="R20" s="1475"/>
      <c r="S20" s="1481">
        <f>B20/B21-1</f>
        <v>5.9040261127922822E-3</v>
      </c>
      <c r="T20" s="1482">
        <f>C20/C21-1</f>
        <v>5.9752176557332781E-3</v>
      </c>
      <c r="U20" s="1482">
        <f>E20/E21-1</f>
        <v>4.9906138119859556E-3</v>
      </c>
      <c r="V20" s="1482">
        <f>F20/F21-1</f>
        <v>9.4305450930933787E-3</v>
      </c>
      <c r="X20" s="1460">
        <f>ROUND(SUMPRODUCT(PRODUCT(1+N20:N$23)),4)</f>
        <v>1.0399</v>
      </c>
      <c r="Y20" s="1460">
        <f>ROUND(SUMPRODUCT(PRODUCT(1+O20:O$23)),4)</f>
        <v>1.0451999999999999</v>
      </c>
      <c r="Z20" s="1460">
        <f t="shared" si="0"/>
        <v>1.0451999999999999</v>
      </c>
      <c r="AA20" s="1460">
        <f>ROUND(SUMPRODUCT(PRODUCT(1+P20:P$23)),4)</f>
        <v>1.0387999999999999</v>
      </c>
      <c r="AB20" s="1460">
        <f>ROUND(SUMPRODUCT(PRODUCT(1+Q20:Q$23)),4)</f>
        <v>1.0411999999999999</v>
      </c>
      <c r="AD20" s="1461">
        <f>ROUND(AVERAGE(I20:I$24)/100,4)</f>
        <v>1.38E-2</v>
      </c>
      <c r="AE20" s="1461">
        <f>ROUND(AVERAGE(J20:J$24)/100,4)</f>
        <v>1.3599999999999999E-2</v>
      </c>
      <c r="AF20" s="1461">
        <f t="shared" si="1"/>
        <v>1.3599999999999999E-2</v>
      </c>
      <c r="AG20" s="1461">
        <f>ROUND(AVERAGE(K20:K$24)/100,4)</f>
        <v>1.4200000000000001E-2</v>
      </c>
      <c r="AH20" s="1461">
        <f>ROUND(AVERAGE(L20:L$24)/100,4)</f>
        <v>1.0800000000000001E-2</v>
      </c>
    </row>
    <row r="21" spans="1:34" ht="13.5" thickBot="1">
      <c r="A21" s="1462" t="s">
        <v>147</v>
      </c>
      <c r="B21" s="1491">
        <v>318</v>
      </c>
      <c r="C21" s="1491">
        <v>268</v>
      </c>
      <c r="D21" s="1491">
        <f t="shared" si="64"/>
        <v>268</v>
      </c>
      <c r="E21" s="1491">
        <v>437</v>
      </c>
      <c r="F21" s="1492">
        <v>237</v>
      </c>
      <c r="G21" s="3349">
        <v>2014</v>
      </c>
      <c r="H21" s="1483">
        <v>4</v>
      </c>
      <c r="I21" s="1483">
        <v>0.21</v>
      </c>
      <c r="J21" s="1483">
        <v>0.41</v>
      </c>
      <c r="K21" s="1483">
        <v>0.12</v>
      </c>
      <c r="L21" s="1484">
        <v>0.89</v>
      </c>
      <c r="N21" s="1473">
        <f t="shared" si="66"/>
        <v>2.0999999999999999E-3</v>
      </c>
      <c r="O21" s="1474">
        <f t="shared" si="61"/>
        <v>4.0999999999999995E-3</v>
      </c>
      <c r="P21" s="1474">
        <f t="shared" si="61"/>
        <v>1.1999999999999999E-3</v>
      </c>
      <c r="Q21" s="1474">
        <f t="shared" si="61"/>
        <v>8.8999999999999999E-3</v>
      </c>
      <c r="R21" s="1475"/>
      <c r="S21" s="1476"/>
      <c r="T21" s="1477"/>
      <c r="U21" s="1477"/>
      <c r="V21" s="1477"/>
      <c r="X21" s="1460">
        <f>ROUND(SUMPRODUCT(PRODUCT(1+N21:N$23)),4)</f>
        <v>1.0347</v>
      </c>
      <c r="Y21" s="1460">
        <f>ROUND(SUMPRODUCT(PRODUCT(1+O21:O$23)),4)</f>
        <v>1.0395000000000001</v>
      </c>
      <c r="Z21" s="1460">
        <f t="shared" si="0"/>
        <v>1.0395000000000001</v>
      </c>
      <c r="AA21" s="1460">
        <f>ROUND(SUMPRODUCT(PRODUCT(1+P21:P$23)),4)</f>
        <v>1.0338000000000001</v>
      </c>
      <c r="AB21" s="1460">
        <f>ROUND(SUMPRODUCT(PRODUCT(1+Q21:Q$23)),4)</f>
        <v>1.0316000000000001</v>
      </c>
      <c r="AD21" s="1461">
        <f>ROUND(AVERAGE(I21:I$24)/100,4)</f>
        <v>1.6E-2</v>
      </c>
      <c r="AE21" s="1461">
        <f>ROUND(AVERAGE(J21:J$24)/100,4)</f>
        <v>1.5599999999999999E-2</v>
      </c>
      <c r="AF21" s="1461">
        <f t="shared" si="1"/>
        <v>1.5599999999999999E-2</v>
      </c>
      <c r="AG21" s="1461">
        <f>ROUND(AVERAGE(K21:K$24)/100,4)</f>
        <v>1.66E-2</v>
      </c>
      <c r="AH21" s="1461">
        <f>ROUND(AVERAGE(L21:L$24)/100,4)</f>
        <v>1.12E-2</v>
      </c>
    </row>
    <row r="22" spans="1:34">
      <c r="A22" s="1462" t="s">
        <v>146</v>
      </c>
      <c r="B22" s="1478">
        <f t="shared" ref="B22:C24" si="69">B21/(1+N21)</f>
        <v>317.33359944117353</v>
      </c>
      <c r="C22" s="1478">
        <f t="shared" si="69"/>
        <v>266.90568668459315</v>
      </c>
      <c r="D22" s="1478">
        <f t="shared" si="64"/>
        <v>266.90568668459315</v>
      </c>
      <c r="E22" s="1478">
        <f t="shared" ref="E22:F24" si="70">E21/(1+P21)</f>
        <v>436.47622852576905</v>
      </c>
      <c r="F22" s="1478">
        <f t="shared" si="70"/>
        <v>234.90930716622066</v>
      </c>
      <c r="G22" s="3350"/>
      <c r="H22" s="1493">
        <v>3</v>
      </c>
      <c r="I22" s="1493">
        <v>0.83</v>
      </c>
      <c r="J22" s="1493">
        <v>1.47</v>
      </c>
      <c r="K22" s="1493">
        <v>0.65</v>
      </c>
      <c r="L22" s="1494">
        <v>0.72</v>
      </c>
      <c r="N22" s="1473">
        <f t="shared" si="66"/>
        <v>8.3000000000000001E-3</v>
      </c>
      <c r="O22" s="1474">
        <f t="shared" si="61"/>
        <v>1.47E-2</v>
      </c>
      <c r="P22" s="1474">
        <f t="shared" si="61"/>
        <v>6.5000000000000006E-3</v>
      </c>
      <c r="Q22" s="1474">
        <f t="shared" si="61"/>
        <v>7.1999999999999998E-3</v>
      </c>
      <c r="R22" s="1475"/>
      <c r="S22" s="1473"/>
      <c r="T22" s="1474"/>
      <c r="U22" s="1474"/>
      <c r="V22" s="1474"/>
      <c r="X22" s="1460">
        <f>ROUND(SUMPRODUCT(PRODUCT(1+N22:N$23)),4)</f>
        <v>1.0325</v>
      </c>
      <c r="Y22" s="1460">
        <f>ROUND(SUMPRODUCT(PRODUCT(1+O22:O$23)),4)</f>
        <v>1.0353000000000001</v>
      </c>
      <c r="Z22" s="1460">
        <f t="shared" ref="Z22:Z23" si="71">Y22</f>
        <v>1.0353000000000001</v>
      </c>
      <c r="AA22" s="1460">
        <f>ROUND(SUMPRODUCT(PRODUCT(1+P22:P$23)),4)</f>
        <v>1.0326</v>
      </c>
      <c r="AB22" s="1460">
        <f>ROUND(SUMPRODUCT(PRODUCT(1+Q22:Q$23)),4)</f>
        <v>1.0225</v>
      </c>
      <c r="AD22" s="1461">
        <f>ROUND(AVERAGE(I22:I$24)/100,4)</f>
        <v>2.07E-2</v>
      </c>
      <c r="AE22" s="1461">
        <f>ROUND(AVERAGE(J22:J$24)/100,4)</f>
        <v>1.95E-2</v>
      </c>
      <c r="AF22" s="1461">
        <f t="shared" si="1"/>
        <v>1.95E-2</v>
      </c>
      <c r="AG22" s="1461">
        <f>ROUND(AVERAGE(K22:K$24)/100,4)</f>
        <v>2.1700000000000001E-2</v>
      </c>
      <c r="AH22" s="1461">
        <f>ROUND(AVERAGE(L22:L$24)/100,4)</f>
        <v>1.2E-2</v>
      </c>
    </row>
    <row r="23" spans="1:34" ht="13.5" thickBot="1">
      <c r="A23" s="1462" t="s">
        <v>145</v>
      </c>
      <c r="B23" s="1478">
        <f t="shared" si="69"/>
        <v>314.72141172386546</v>
      </c>
      <c r="C23" s="1478">
        <f t="shared" si="69"/>
        <v>263.03901319069001</v>
      </c>
      <c r="D23" s="1478">
        <f t="shared" si="64"/>
        <v>263.03901319069001</v>
      </c>
      <c r="E23" s="1478">
        <f t="shared" si="70"/>
        <v>433.65745506782821</v>
      </c>
      <c r="F23" s="1478">
        <f t="shared" si="70"/>
        <v>233.23005080045735</v>
      </c>
      <c r="G23" s="3350"/>
      <c r="H23" s="1483">
        <v>2</v>
      </c>
      <c r="I23" s="1483">
        <v>2.4</v>
      </c>
      <c r="J23" s="1483">
        <v>2.0299999999999998</v>
      </c>
      <c r="K23" s="1483">
        <v>2.59</v>
      </c>
      <c r="L23" s="1484">
        <v>1.52</v>
      </c>
      <c r="N23" s="1473">
        <f t="shared" si="66"/>
        <v>2.4E-2</v>
      </c>
      <c r="O23" s="1474">
        <f t="shared" si="61"/>
        <v>2.0299999999999999E-2</v>
      </c>
      <c r="P23" s="1474">
        <f t="shared" si="61"/>
        <v>2.5899999999999999E-2</v>
      </c>
      <c r="Q23" s="1474">
        <f t="shared" si="61"/>
        <v>1.52E-2</v>
      </c>
      <c r="R23" s="1475"/>
      <c r="S23" s="1473"/>
      <c r="T23" s="1474"/>
      <c r="U23" s="1474"/>
      <c r="V23" s="1474"/>
      <c r="X23" s="1460">
        <f>1+N23</f>
        <v>1.024</v>
      </c>
      <c r="Y23" s="1460">
        <f>1+O23</f>
        <v>1.0203</v>
      </c>
      <c r="Z23" s="1460">
        <f t="shared" si="71"/>
        <v>1.0203</v>
      </c>
      <c r="AA23" s="1460">
        <f>1+P23</f>
        <v>1.0259</v>
      </c>
      <c r="AB23" s="1460">
        <f>1+Q23</f>
        <v>1.0152000000000001</v>
      </c>
      <c r="AD23" s="1461">
        <f>ROUND(AVERAGE(I23:I$24)/100,4)</f>
        <v>2.69E-2</v>
      </c>
      <c r="AE23" s="1461">
        <f>ROUND(AVERAGE(J23:J$24)/100,4)</f>
        <v>2.1899999999999999E-2</v>
      </c>
      <c r="AF23" s="1461">
        <f t="shared" ref="AF23" si="72">AE23</f>
        <v>2.1899999999999999E-2</v>
      </c>
      <c r="AG23" s="1461">
        <f>ROUND(AVERAGE(K23:K$24)/100,4)</f>
        <v>2.9399999999999999E-2</v>
      </c>
      <c r="AH23" s="1461">
        <f>ROUND(AVERAGE(L23:L$24)/100,4)</f>
        <v>1.44E-2</v>
      </c>
    </row>
    <row r="24" spans="1:34" s="1499" customFormat="1" ht="13.5" thickBot="1">
      <c r="A24" s="1495" t="s">
        <v>144</v>
      </c>
      <c r="B24" s="1496">
        <f t="shared" si="69"/>
        <v>307.34512863658733</v>
      </c>
      <c r="C24" s="1496">
        <f t="shared" si="69"/>
        <v>257.80556031626975</v>
      </c>
      <c r="D24" s="1496">
        <f t="shared" si="64"/>
        <v>257.80556031626975</v>
      </c>
      <c r="E24" s="1496">
        <f t="shared" si="70"/>
        <v>422.70928459677179</v>
      </c>
      <c r="F24" s="1496">
        <f t="shared" si="70"/>
        <v>229.73803270336617</v>
      </c>
      <c r="G24" s="3351"/>
      <c r="H24" s="1497">
        <v>1</v>
      </c>
      <c r="I24" s="1497">
        <v>2.97</v>
      </c>
      <c r="J24" s="1497">
        <v>2.34</v>
      </c>
      <c r="K24" s="1497">
        <v>3.28</v>
      </c>
      <c r="L24" s="1498">
        <v>1.36</v>
      </c>
      <c r="N24" s="1500">
        <f t="shared" si="66"/>
        <v>2.9700000000000001E-2</v>
      </c>
      <c r="O24" s="1501">
        <f t="shared" si="61"/>
        <v>2.3399999999999997E-2</v>
      </c>
      <c r="P24" s="1501">
        <f t="shared" si="61"/>
        <v>3.2799999999999996E-2</v>
      </c>
      <c r="Q24" s="1501">
        <f t="shared" si="61"/>
        <v>1.3600000000000001E-2</v>
      </c>
      <c r="R24" s="1502"/>
      <c r="S24" s="1503">
        <f>B24/B25-1</f>
        <v>2.7910129219355539E-2</v>
      </c>
      <c r="T24" s="1504">
        <f>C24/C25-1</f>
        <v>2.3037937762975247E-2</v>
      </c>
      <c r="U24" s="1504">
        <f>E24/E25-1</f>
        <v>3.3519033243940788E-2</v>
      </c>
      <c r="V24" s="1504">
        <f>F24/F25-1</f>
        <v>1.2061818076502862E-2</v>
      </c>
      <c r="W24" s="1505" t="s">
        <v>1158</v>
      </c>
      <c r="X24" s="1506">
        <v>1</v>
      </c>
      <c r="Y24" s="1506">
        <v>1</v>
      </c>
      <c r="Z24" s="1506">
        <v>1</v>
      </c>
      <c r="AA24" s="1506">
        <v>1</v>
      </c>
      <c r="AB24" s="1506">
        <v>1</v>
      </c>
      <c r="AD24" s="1725">
        <f>I24/100</f>
        <v>2.9700000000000001E-2</v>
      </c>
      <c r="AE24" s="1725">
        <f>J24/100</f>
        <v>2.3399999999999997E-2</v>
      </c>
      <c r="AF24" s="1725">
        <f>AE24</f>
        <v>2.3399999999999997E-2</v>
      </c>
      <c r="AG24" s="1725">
        <f>K24/100</f>
        <v>3.2799999999999996E-2</v>
      </c>
      <c r="AH24" s="1725">
        <f>L24/100</f>
        <v>1.3600000000000001E-2</v>
      </c>
    </row>
    <row r="25" spans="1:34" ht="13.5" thickBot="1">
      <c r="A25" s="1462" t="s">
        <v>1159</v>
      </c>
      <c r="B25" s="1470">
        <v>299</v>
      </c>
      <c r="C25" s="1470">
        <v>252</v>
      </c>
      <c r="D25" s="1470">
        <f t="shared" si="64"/>
        <v>252</v>
      </c>
      <c r="E25" s="1470">
        <v>409</v>
      </c>
      <c r="F25" s="1471">
        <v>227</v>
      </c>
      <c r="G25" s="3354">
        <v>2013</v>
      </c>
      <c r="H25" s="1507">
        <v>4</v>
      </c>
      <c r="I25" s="1507">
        <v>1.83</v>
      </c>
      <c r="J25" s="1507">
        <v>1.68</v>
      </c>
      <c r="K25" s="1507">
        <v>1.97</v>
      </c>
      <c r="L25" s="1508">
        <v>0.87</v>
      </c>
      <c r="N25" s="1485">
        <f t="shared" si="66"/>
        <v>1.83E-2</v>
      </c>
      <c r="O25" s="1486">
        <f t="shared" si="61"/>
        <v>1.6799999999999999E-2</v>
      </c>
      <c r="P25" s="1486">
        <f t="shared" si="61"/>
        <v>1.9699999999999999E-2</v>
      </c>
      <c r="Q25" s="1486">
        <f t="shared" si="61"/>
        <v>8.6999999999999994E-3</v>
      </c>
      <c r="R25" s="1475"/>
      <c r="S25" s="1476"/>
      <c r="T25" s="1477"/>
      <c r="U25" s="1477"/>
      <c r="V25" s="1477"/>
      <c r="X25" s="1477"/>
      <c r="Y25" s="1477"/>
      <c r="Z25" s="1477"/>
    </row>
    <row r="26" spans="1:34">
      <c r="A26" s="1462" t="s">
        <v>1160</v>
      </c>
      <c r="B26" s="1478">
        <f t="shared" ref="B26:C28" si="73">B25/(1+N25)</f>
        <v>293.62663262299913</v>
      </c>
      <c r="C26" s="1478">
        <f t="shared" si="73"/>
        <v>247.83634933123525</v>
      </c>
      <c r="D26" s="1478">
        <f t="shared" si="64"/>
        <v>247.83634933123525</v>
      </c>
      <c r="E26" s="1478">
        <f t="shared" ref="E26:F28" si="74">E25/(1+P25)</f>
        <v>401.09836226341076</v>
      </c>
      <c r="F26" s="1478">
        <f t="shared" si="74"/>
        <v>225.04213343908003</v>
      </c>
      <c r="G26" s="3355"/>
      <c r="H26" s="1488">
        <v>3</v>
      </c>
      <c r="I26" s="1488">
        <v>1.86</v>
      </c>
      <c r="J26" s="1488">
        <v>1.72</v>
      </c>
      <c r="K26" s="1488">
        <v>1.98</v>
      </c>
      <c r="L26" s="1489">
        <v>0.88</v>
      </c>
      <c r="N26" s="1473">
        <f t="shared" si="66"/>
        <v>1.8600000000000002E-2</v>
      </c>
      <c r="O26" s="1490">
        <f t="shared" si="61"/>
        <v>1.72E-2</v>
      </c>
      <c r="P26" s="1490">
        <f t="shared" si="61"/>
        <v>1.9799999999999998E-2</v>
      </c>
      <c r="Q26" s="1490">
        <f t="shared" si="61"/>
        <v>8.8000000000000005E-3</v>
      </c>
      <c r="R26" s="1475"/>
      <c r="S26" s="1473"/>
      <c r="T26" s="1474"/>
      <c r="U26" s="1474"/>
      <c r="V26" s="1474"/>
    </row>
    <row r="27" spans="1:34">
      <c r="A27" s="1462" t="s">
        <v>1161</v>
      </c>
      <c r="B27" s="1478">
        <f t="shared" si="73"/>
        <v>288.2649053828776</v>
      </c>
      <c r="C27" s="1478">
        <f t="shared" si="73"/>
        <v>243.64564425013293</v>
      </c>
      <c r="D27" s="1478">
        <f t="shared" si="64"/>
        <v>243.64564425013293</v>
      </c>
      <c r="E27" s="1478">
        <f t="shared" si="74"/>
        <v>393.31080825986544</v>
      </c>
      <c r="F27" s="1478">
        <f t="shared" si="74"/>
        <v>223.07903790551154</v>
      </c>
      <c r="G27" s="3355"/>
      <c r="H27" s="1466">
        <v>2</v>
      </c>
      <c r="I27" s="1466">
        <v>2.04</v>
      </c>
      <c r="J27" s="1466">
        <v>2.33</v>
      </c>
      <c r="K27" s="1466">
        <v>2.0699999999999998</v>
      </c>
      <c r="L27" s="1480">
        <v>0.69</v>
      </c>
      <c r="N27" s="1473">
        <f t="shared" si="66"/>
        <v>2.0400000000000001E-2</v>
      </c>
      <c r="O27" s="1490">
        <f t="shared" si="61"/>
        <v>2.3300000000000001E-2</v>
      </c>
      <c r="P27" s="1490">
        <f t="shared" si="61"/>
        <v>2.07E-2</v>
      </c>
      <c r="Q27" s="1490">
        <f t="shared" si="61"/>
        <v>6.8999999999999999E-3</v>
      </c>
      <c r="R27" s="1475"/>
      <c r="S27" s="1473"/>
      <c r="T27" s="1474"/>
      <c r="U27" s="1474"/>
      <c r="V27" s="1474"/>
      <c r="X27" s="1509"/>
      <c r="Y27" s="1510"/>
    </row>
    <row r="28" spans="1:34">
      <c r="A28" s="1462" t="s">
        <v>1162</v>
      </c>
      <c r="B28" s="1478">
        <f t="shared" si="73"/>
        <v>282.50186729015837</v>
      </c>
      <c r="C28" s="1478">
        <f t="shared" si="73"/>
        <v>238.09796174155468</v>
      </c>
      <c r="D28" s="1478">
        <f t="shared" si="64"/>
        <v>238.09796174155468</v>
      </c>
      <c r="E28" s="1478">
        <f t="shared" si="74"/>
        <v>385.33438646014054</v>
      </c>
      <c r="F28" s="1478">
        <f t="shared" si="74"/>
        <v>221.55034055567739</v>
      </c>
      <c r="G28" s="3356"/>
      <c r="H28" s="1465">
        <v>1</v>
      </c>
      <c r="I28" s="1465">
        <v>1.67</v>
      </c>
      <c r="J28" s="1465">
        <v>1.31</v>
      </c>
      <c r="K28" s="1465">
        <v>1.85</v>
      </c>
      <c r="L28" s="1479">
        <v>0.96</v>
      </c>
      <c r="N28" s="1481">
        <f t="shared" si="66"/>
        <v>1.67E-2</v>
      </c>
      <c r="O28" s="1482">
        <f t="shared" si="66"/>
        <v>1.3100000000000001E-2</v>
      </c>
      <c r="P28" s="1482">
        <f t="shared" si="66"/>
        <v>1.8500000000000003E-2</v>
      </c>
      <c r="Q28" s="1482">
        <f t="shared" si="66"/>
        <v>9.5999999999999992E-3</v>
      </c>
      <c r="R28" s="1475"/>
      <c r="S28" s="1481">
        <f>B28/B29-1</f>
        <v>1.6193767230785472E-2</v>
      </c>
      <c r="T28" s="1482">
        <f>C28/C29-1</f>
        <v>1.7512657015190891E-2</v>
      </c>
      <c r="U28" s="1482">
        <f>E28/E29-1</f>
        <v>1.6713420739157048E-2</v>
      </c>
      <c r="V28" s="1482">
        <f>F28/F29-1</f>
        <v>7.0470025258062563E-3</v>
      </c>
      <c r="X28" s="1511"/>
      <c r="Y28" s="1461"/>
      <c r="Z28" s="1461"/>
    </row>
    <row r="29" spans="1:34" ht="13.5" thickBot="1">
      <c r="A29" s="1462" t="s">
        <v>1163</v>
      </c>
      <c r="B29" s="1512">
        <v>278</v>
      </c>
      <c r="C29" s="1512">
        <v>234</v>
      </c>
      <c r="D29" s="1512">
        <f t="shared" si="64"/>
        <v>234</v>
      </c>
      <c r="E29" s="1512">
        <v>379</v>
      </c>
      <c r="F29" s="1513">
        <v>220</v>
      </c>
      <c r="G29" s="3349">
        <v>2012</v>
      </c>
      <c r="H29" s="1483">
        <v>4</v>
      </c>
      <c r="I29" s="1483">
        <v>0.91</v>
      </c>
      <c r="J29" s="1483">
        <v>0.68</v>
      </c>
      <c r="K29" s="1483">
        <v>0.98</v>
      </c>
      <c r="L29" s="1484">
        <v>0.9</v>
      </c>
      <c r="N29" s="1473">
        <f t="shared" si="66"/>
        <v>9.1000000000000004E-3</v>
      </c>
      <c r="O29" s="1474">
        <f t="shared" si="66"/>
        <v>6.8000000000000005E-3</v>
      </c>
      <c r="P29" s="1474">
        <f t="shared" si="66"/>
        <v>9.7999999999999997E-3</v>
      </c>
      <c r="Q29" s="1474">
        <f t="shared" si="66"/>
        <v>9.0000000000000011E-3</v>
      </c>
      <c r="R29" s="1475"/>
      <c r="S29" s="1476"/>
      <c r="T29" s="1477"/>
      <c r="U29" s="1477"/>
      <c r="V29" s="1477"/>
      <c r="X29" s="1477"/>
      <c r="Y29" s="1477"/>
      <c r="Z29" s="1477"/>
    </row>
    <row r="30" spans="1:34">
      <c r="A30" s="1462" t="s">
        <v>1164</v>
      </c>
      <c r="B30" s="1478">
        <f>B29/(1+N29)</f>
        <v>275.49301357645425</v>
      </c>
      <c r="C30" s="1478">
        <f>C29/(1+O29)</f>
        <v>232.41954707985698</v>
      </c>
      <c r="D30" s="1478">
        <f t="shared" si="64"/>
        <v>232.41954707985698</v>
      </c>
      <c r="E30" s="1478">
        <f t="shared" ref="E30:F32" si="75">E29/(1+P29)</f>
        <v>375.32184591008121</v>
      </c>
      <c r="F30" s="1478">
        <f t="shared" si="75"/>
        <v>218.03766105054513</v>
      </c>
      <c r="G30" s="3350"/>
      <c r="H30" s="1488">
        <v>3</v>
      </c>
      <c r="I30" s="1488">
        <v>0.09</v>
      </c>
      <c r="J30" s="1488">
        <v>0.28999999999999998</v>
      </c>
      <c r="K30" s="1488">
        <v>-0.01</v>
      </c>
      <c r="L30" s="1489">
        <v>0.57999999999999996</v>
      </c>
      <c r="N30" s="1473">
        <f t="shared" si="66"/>
        <v>8.9999999999999998E-4</v>
      </c>
      <c r="O30" s="1474">
        <f t="shared" si="66"/>
        <v>2.8999999999999998E-3</v>
      </c>
      <c r="P30" s="1474">
        <f t="shared" si="66"/>
        <v>-1E-4</v>
      </c>
      <c r="Q30" s="1474">
        <f t="shared" si="66"/>
        <v>5.7999999999999996E-3</v>
      </c>
      <c r="R30" s="1475"/>
      <c r="S30" s="1473"/>
      <c r="T30" s="1474"/>
      <c r="U30" s="1474"/>
      <c r="V30" s="1474"/>
    </row>
    <row r="31" spans="1:34">
      <c r="A31" s="1462" t="s">
        <v>1165</v>
      </c>
      <c r="B31" s="1478">
        <f>B30/(1+N30)</f>
        <v>275.24529281292263</v>
      </c>
      <c r="C31" s="1478">
        <f>C30/(1+O30)</f>
        <v>231.74747938962707</v>
      </c>
      <c r="D31" s="1478">
        <f t="shared" si="64"/>
        <v>231.74747938962707</v>
      </c>
      <c r="E31" s="1478">
        <f t="shared" si="75"/>
        <v>375.35938184826603</v>
      </c>
      <c r="F31" s="1478">
        <f t="shared" si="75"/>
        <v>216.78033510692495</v>
      </c>
      <c r="G31" s="3350"/>
      <c r="H31" s="1466">
        <v>2</v>
      </c>
      <c r="I31" s="1466">
        <v>0.02</v>
      </c>
      <c r="J31" s="1466">
        <v>0.12</v>
      </c>
      <c r="K31" s="1466">
        <v>-0.08</v>
      </c>
      <c r="L31" s="1480">
        <v>1.24</v>
      </c>
      <c r="N31" s="1473">
        <f t="shared" si="66"/>
        <v>2.0000000000000001E-4</v>
      </c>
      <c r="O31" s="1474">
        <f t="shared" si="66"/>
        <v>1.1999999999999999E-3</v>
      </c>
      <c r="P31" s="1474">
        <f t="shared" si="66"/>
        <v>-8.0000000000000004E-4</v>
      </c>
      <c r="Q31" s="1474">
        <f t="shared" si="66"/>
        <v>1.24E-2</v>
      </c>
      <c r="R31" s="1475"/>
      <c r="S31" s="1473"/>
      <c r="T31" s="1474"/>
      <c r="U31" s="1474"/>
      <c r="V31" s="1474"/>
    </row>
    <row r="32" spans="1:34" ht="13.5" thickBot="1">
      <c r="A32" s="1462" t="s">
        <v>1166</v>
      </c>
      <c r="B32" s="1478">
        <f>B31/(1+N31)</f>
        <v>275.19025476197027</v>
      </c>
      <c r="C32" s="1514">
        <v>232</v>
      </c>
      <c r="D32" s="1514">
        <f t="shared" si="64"/>
        <v>232</v>
      </c>
      <c r="E32" s="1478">
        <f t="shared" si="75"/>
        <v>375.65990977608692</v>
      </c>
      <c r="F32" s="1478">
        <f t="shared" si="75"/>
        <v>214.12518283971252</v>
      </c>
      <c r="G32" s="3351"/>
      <c r="H32" s="1465">
        <v>1</v>
      </c>
      <c r="I32" s="1465">
        <v>0.02</v>
      </c>
      <c r="J32" s="1465">
        <v>0.13</v>
      </c>
      <c r="K32" s="1465">
        <v>-0.04</v>
      </c>
      <c r="L32" s="1479">
        <v>0.46</v>
      </c>
      <c r="N32" s="1473">
        <f t="shared" si="66"/>
        <v>2.0000000000000001E-4</v>
      </c>
      <c r="O32" s="1474">
        <f t="shared" si="66"/>
        <v>1.2999999999999999E-3</v>
      </c>
      <c r="P32" s="1474">
        <f t="shared" si="66"/>
        <v>-4.0000000000000002E-4</v>
      </c>
      <c r="Q32" s="1474">
        <f t="shared" si="66"/>
        <v>4.5999999999999999E-3</v>
      </c>
      <c r="R32" s="1475"/>
      <c r="S32" s="1481">
        <f>B32/B33-1</f>
        <v>6.9183549807361189E-4</v>
      </c>
      <c r="T32" s="1482">
        <f>C32/C33-1</f>
        <v>0</v>
      </c>
      <c r="U32" s="1482">
        <f>E32/E33-1</f>
        <v>-9.0449527636460303E-4</v>
      </c>
      <c r="V32" s="1482">
        <f>F32/F33-1</f>
        <v>5.2825485432512753E-3</v>
      </c>
      <c r="X32" s="1461"/>
      <c r="Y32" s="1461"/>
      <c r="Z32" s="1461"/>
    </row>
    <row r="33" spans="1:26" ht="13.5" thickBot="1">
      <c r="A33" s="1462" t="s">
        <v>1167</v>
      </c>
      <c r="B33" s="1470">
        <v>275</v>
      </c>
      <c r="C33" s="1470">
        <v>232</v>
      </c>
      <c r="D33" s="1470">
        <f t="shared" si="64"/>
        <v>232</v>
      </c>
      <c r="E33" s="1470">
        <v>376</v>
      </c>
      <c r="F33" s="1471">
        <v>213</v>
      </c>
      <c r="G33" s="3349">
        <v>2011</v>
      </c>
      <c r="H33" s="1483">
        <v>4</v>
      </c>
      <c r="I33" s="1483">
        <v>-0.2</v>
      </c>
      <c r="J33" s="1483">
        <v>0.04</v>
      </c>
      <c r="K33" s="1483">
        <v>-0.34</v>
      </c>
      <c r="L33" s="1484">
        <v>0.46</v>
      </c>
      <c r="N33" s="1485">
        <f t="shared" si="66"/>
        <v>-2E-3</v>
      </c>
      <c r="O33" s="1486">
        <f t="shared" si="66"/>
        <v>4.0000000000000002E-4</v>
      </c>
      <c r="P33" s="1486">
        <f t="shared" si="66"/>
        <v>-3.4000000000000002E-3</v>
      </c>
      <c r="Q33" s="1486">
        <f t="shared" si="66"/>
        <v>4.5999999999999999E-3</v>
      </c>
      <c r="R33" s="1475"/>
      <c r="S33" s="1476"/>
      <c r="T33" s="1477"/>
      <c r="U33" s="1477"/>
      <c r="V33" s="1477"/>
      <c r="X33" s="1477"/>
      <c r="Y33" s="1477"/>
      <c r="Z33" s="1477"/>
    </row>
    <row r="34" spans="1:26">
      <c r="A34" s="1462" t="s">
        <v>1168</v>
      </c>
      <c r="B34" s="1478">
        <f t="shared" ref="B34:C36" si="76">B33/(1+N33)</f>
        <v>275.55110220440883</v>
      </c>
      <c r="C34" s="1478">
        <f t="shared" si="76"/>
        <v>231.90723710515795</v>
      </c>
      <c r="D34" s="1478">
        <f t="shared" si="64"/>
        <v>231.90723710515795</v>
      </c>
      <c r="E34" s="1478">
        <f t="shared" ref="E34:F36" si="77">E33/(1+P33)</f>
        <v>377.28276138872161</v>
      </c>
      <c r="F34" s="1478">
        <f t="shared" si="77"/>
        <v>212.02468644236512</v>
      </c>
      <c r="G34" s="3350">
        <v>2011</v>
      </c>
      <c r="H34" s="1488">
        <v>3</v>
      </c>
      <c r="I34" s="1488">
        <v>0.13</v>
      </c>
      <c r="J34" s="1488">
        <v>0.75</v>
      </c>
      <c r="K34" s="1488">
        <v>-0.08</v>
      </c>
      <c r="L34" s="1489">
        <v>0.53</v>
      </c>
      <c r="N34" s="1473">
        <f t="shared" si="66"/>
        <v>1.2999999999999999E-3</v>
      </c>
      <c r="O34" s="1490">
        <f t="shared" si="66"/>
        <v>7.4999999999999997E-3</v>
      </c>
      <c r="P34" s="1490">
        <f t="shared" si="66"/>
        <v>-8.0000000000000004E-4</v>
      </c>
      <c r="Q34" s="1490">
        <f t="shared" si="66"/>
        <v>5.3E-3</v>
      </c>
      <c r="R34" s="1475"/>
      <c r="S34" s="1473"/>
      <c r="T34" s="1474"/>
      <c r="U34" s="1474"/>
      <c r="V34" s="1474"/>
    </row>
    <row r="35" spans="1:26">
      <c r="A35" s="1462" t="s">
        <v>1169</v>
      </c>
      <c r="B35" s="1478">
        <f t="shared" si="76"/>
        <v>275.19335084830601</v>
      </c>
      <c r="C35" s="1478">
        <f t="shared" si="76"/>
        <v>230.18088050139744</v>
      </c>
      <c r="D35" s="1478">
        <f t="shared" si="64"/>
        <v>230.18088050139744</v>
      </c>
      <c r="E35" s="1478">
        <f t="shared" si="77"/>
        <v>377.58482925212331</v>
      </c>
      <c r="F35" s="1478">
        <f t="shared" si="77"/>
        <v>210.90687997847917</v>
      </c>
      <c r="G35" s="3350">
        <v>2011</v>
      </c>
      <c r="H35" s="1466">
        <v>2</v>
      </c>
      <c r="I35" s="1466">
        <v>-0.4</v>
      </c>
      <c r="J35" s="1466">
        <v>0.17</v>
      </c>
      <c r="K35" s="1466">
        <v>-0.57999999999999996</v>
      </c>
      <c r="L35" s="1480">
        <v>-0.2</v>
      </c>
      <c r="N35" s="1473">
        <f t="shared" si="66"/>
        <v>-4.0000000000000001E-3</v>
      </c>
      <c r="O35" s="1490">
        <f t="shared" si="66"/>
        <v>1.7000000000000001E-3</v>
      </c>
      <c r="P35" s="1490">
        <f t="shared" si="66"/>
        <v>-5.7999999999999996E-3</v>
      </c>
      <c r="Q35" s="1490">
        <f t="shared" si="66"/>
        <v>-2E-3</v>
      </c>
      <c r="R35" s="1475"/>
      <c r="S35" s="1473"/>
      <c r="T35" s="1474"/>
      <c r="U35" s="1474"/>
      <c r="V35" s="1474"/>
    </row>
    <row r="36" spans="1:26" ht="13.5" thickBot="1">
      <c r="A36" s="1462" t="s">
        <v>1170</v>
      </c>
      <c r="B36" s="1478">
        <f t="shared" si="76"/>
        <v>276.29854502841971</v>
      </c>
      <c r="C36" s="1478">
        <f t="shared" si="76"/>
        <v>229.79023709833027</v>
      </c>
      <c r="D36" s="1478">
        <f t="shared" si="64"/>
        <v>229.79023709833027</v>
      </c>
      <c r="E36" s="1478">
        <f t="shared" si="77"/>
        <v>379.78759731655936</v>
      </c>
      <c r="F36" s="1478">
        <f t="shared" si="77"/>
        <v>211.32953905659235</v>
      </c>
      <c r="G36" s="3351">
        <v>2011</v>
      </c>
      <c r="H36" s="1465">
        <v>1</v>
      </c>
      <c r="I36" s="1465">
        <v>2.65</v>
      </c>
      <c r="J36" s="1465">
        <v>3.76</v>
      </c>
      <c r="K36" s="1465">
        <v>1.89</v>
      </c>
      <c r="L36" s="1479">
        <v>7.95</v>
      </c>
      <c r="N36" s="1481">
        <f t="shared" si="66"/>
        <v>2.6499999999999999E-2</v>
      </c>
      <c r="O36" s="1482">
        <f t="shared" si="66"/>
        <v>3.7599999999999995E-2</v>
      </c>
      <c r="P36" s="1482">
        <f t="shared" si="66"/>
        <v>1.89E-2</v>
      </c>
      <c r="Q36" s="1482">
        <f t="shared" si="66"/>
        <v>7.9500000000000001E-2</v>
      </c>
      <c r="R36" s="1475"/>
      <c r="S36" s="1481">
        <f>B36/B37-1</f>
        <v>2.713213765211786E-2</v>
      </c>
      <c r="T36" s="1482">
        <f>C36/C37-1</f>
        <v>3.9774828499231862E-2</v>
      </c>
      <c r="U36" s="1482">
        <f>E36/E37-1</f>
        <v>1.8197311840641772E-2</v>
      </c>
      <c r="V36" s="1482">
        <f>F36/F37-1</f>
        <v>7.8211933962205826E-2</v>
      </c>
      <c r="X36" s="1461"/>
      <c r="Y36" s="1461"/>
      <c r="Z36" s="1461"/>
    </row>
    <row r="37" spans="1:26" ht="13.5" thickBot="1">
      <c r="A37" s="1462" t="s">
        <v>1171</v>
      </c>
      <c r="B37" s="1470">
        <v>269</v>
      </c>
      <c r="C37" s="1470">
        <v>221</v>
      </c>
      <c r="D37" s="1470">
        <f t="shared" si="64"/>
        <v>221</v>
      </c>
      <c r="E37" s="1470">
        <v>373</v>
      </c>
      <c r="F37" s="1471">
        <v>196</v>
      </c>
      <c r="G37" s="3349">
        <v>2010</v>
      </c>
      <c r="H37" s="1483">
        <v>4</v>
      </c>
      <c r="I37" s="1483">
        <v>5.72</v>
      </c>
      <c r="J37" s="1483">
        <v>6.57</v>
      </c>
      <c r="K37" s="1483">
        <v>5.72</v>
      </c>
      <c r="L37" s="1484">
        <v>2.72</v>
      </c>
      <c r="N37" s="1473">
        <f t="shared" si="66"/>
        <v>5.7200000000000001E-2</v>
      </c>
      <c r="O37" s="1474">
        <f t="shared" si="66"/>
        <v>6.5700000000000008E-2</v>
      </c>
      <c r="P37" s="1474">
        <f t="shared" si="66"/>
        <v>5.7200000000000001E-2</v>
      </c>
      <c r="Q37" s="1474">
        <f t="shared" si="66"/>
        <v>2.7200000000000002E-2</v>
      </c>
      <c r="R37" s="1475"/>
      <c r="S37" s="1476"/>
      <c r="T37" s="1477"/>
      <c r="U37" s="1477"/>
      <c r="V37" s="1477"/>
      <c r="X37" s="1477"/>
      <c r="Y37" s="1477"/>
      <c r="Z37" s="1477"/>
    </row>
    <row r="38" spans="1:26">
      <c r="A38" s="1462" t="s">
        <v>1172</v>
      </c>
      <c r="B38" s="1478">
        <f t="shared" ref="B38:C40" si="78">B37/(1+N37)</f>
        <v>254.44570563753314</v>
      </c>
      <c r="C38" s="1478">
        <f t="shared" si="78"/>
        <v>207.37543398705074</v>
      </c>
      <c r="D38" s="1478">
        <f t="shared" si="64"/>
        <v>207.37543398705074</v>
      </c>
      <c r="E38" s="1478">
        <f t="shared" ref="E38:F40" si="79">E37/(1+P37)</f>
        <v>352.81876655315932</v>
      </c>
      <c r="F38" s="1478">
        <f t="shared" si="79"/>
        <v>190.809968847352</v>
      </c>
      <c r="G38" s="3350">
        <v>2010</v>
      </c>
      <c r="H38" s="1488">
        <v>3</v>
      </c>
      <c r="I38" s="1488">
        <v>4.7300000000000004</v>
      </c>
      <c r="J38" s="1488">
        <v>3.9</v>
      </c>
      <c r="K38" s="1488">
        <v>5.03</v>
      </c>
      <c r="L38" s="1489">
        <v>4.21</v>
      </c>
      <c r="N38" s="1473">
        <f t="shared" si="66"/>
        <v>4.7300000000000002E-2</v>
      </c>
      <c r="O38" s="1474">
        <f t="shared" si="66"/>
        <v>3.9E-2</v>
      </c>
      <c r="P38" s="1474">
        <f t="shared" si="66"/>
        <v>5.0300000000000004E-2</v>
      </c>
      <c r="Q38" s="1474">
        <f t="shared" si="66"/>
        <v>4.2099999999999999E-2</v>
      </c>
      <c r="R38" s="1475"/>
      <c r="S38" s="1473"/>
      <c r="T38" s="1474"/>
      <c r="U38" s="1474"/>
      <c r="V38" s="1474"/>
    </row>
    <row r="39" spans="1:26">
      <c r="A39" s="1462" t="s">
        <v>1173</v>
      </c>
      <c r="B39" s="1478">
        <f t="shared" si="78"/>
        <v>242.95398227588385</v>
      </c>
      <c r="C39" s="1478">
        <f t="shared" si="78"/>
        <v>199.59137053614126</v>
      </c>
      <c r="D39" s="1478">
        <f t="shared" si="64"/>
        <v>199.59137053614126</v>
      </c>
      <c r="E39" s="1478">
        <f t="shared" si="79"/>
        <v>335.92189522342125</v>
      </c>
      <c r="F39" s="1478">
        <f t="shared" si="79"/>
        <v>183.10139991109489</v>
      </c>
      <c r="G39" s="3350">
        <v>2010</v>
      </c>
      <c r="H39" s="1466">
        <v>2</v>
      </c>
      <c r="I39" s="1466">
        <v>4.6900000000000004</v>
      </c>
      <c r="J39" s="1466">
        <v>3.55</v>
      </c>
      <c r="K39" s="1466">
        <v>5.07</v>
      </c>
      <c r="L39" s="1480">
        <v>4.2300000000000004</v>
      </c>
      <c r="N39" s="1473">
        <f t="shared" si="66"/>
        <v>4.6900000000000004E-2</v>
      </c>
      <c r="O39" s="1474">
        <f t="shared" si="66"/>
        <v>3.5499999999999997E-2</v>
      </c>
      <c r="P39" s="1474">
        <f t="shared" si="66"/>
        <v>5.0700000000000002E-2</v>
      </c>
      <c r="Q39" s="1474">
        <f t="shared" si="66"/>
        <v>4.2300000000000004E-2</v>
      </c>
      <c r="R39" s="1475"/>
      <c r="S39" s="1473"/>
      <c r="T39" s="1474"/>
      <c r="U39" s="1474"/>
      <c r="V39" s="1474"/>
    </row>
    <row r="40" spans="1:26" ht="13.5" thickBot="1">
      <c r="A40" s="1462" t="s">
        <v>1174</v>
      </c>
      <c r="B40" s="1478">
        <f t="shared" si="78"/>
        <v>232.06990378821649</v>
      </c>
      <c r="C40" s="1478">
        <f t="shared" si="78"/>
        <v>192.74878854286936</v>
      </c>
      <c r="D40" s="1478">
        <f t="shared" si="64"/>
        <v>192.74878854286936</v>
      </c>
      <c r="E40" s="1478">
        <f t="shared" si="79"/>
        <v>319.71247284992984</v>
      </c>
      <c r="F40" s="1478">
        <f t="shared" si="79"/>
        <v>175.67053622862409</v>
      </c>
      <c r="G40" s="3351">
        <v>2010</v>
      </c>
      <c r="H40" s="1465">
        <v>1</v>
      </c>
      <c r="I40" s="1465">
        <v>5.4</v>
      </c>
      <c r="J40" s="1465">
        <v>3.2</v>
      </c>
      <c r="K40" s="1465">
        <v>6.16</v>
      </c>
      <c r="L40" s="1479">
        <v>4.51</v>
      </c>
      <c r="N40" s="1473">
        <f t="shared" si="66"/>
        <v>5.4000000000000006E-2</v>
      </c>
      <c r="O40" s="1474">
        <f t="shared" si="66"/>
        <v>3.2000000000000001E-2</v>
      </c>
      <c r="P40" s="1474">
        <f t="shared" si="66"/>
        <v>6.1600000000000002E-2</v>
      </c>
      <c r="Q40" s="1474">
        <f t="shared" si="66"/>
        <v>4.5100000000000001E-2</v>
      </c>
      <c r="R40" s="1475"/>
      <c r="S40" s="1481">
        <f>B40/B41-1</f>
        <v>5.4863199037347599E-2</v>
      </c>
      <c r="T40" s="1482">
        <f>C40/C41-1</f>
        <v>3.0742184721226584E-2</v>
      </c>
      <c r="U40" s="1482">
        <f>E40/E41-1</f>
        <v>6.2167683886810154E-2</v>
      </c>
      <c r="V40" s="1482">
        <f>F40/F41-1</f>
        <v>4.5657953741810031E-2</v>
      </c>
      <c r="X40" s="1461"/>
      <c r="Y40" s="1461"/>
      <c r="Z40" s="1461"/>
    </row>
    <row r="41" spans="1:26" ht="13.5" thickBot="1">
      <c r="A41" s="1462" t="s">
        <v>1175</v>
      </c>
      <c r="B41" s="1470">
        <v>220</v>
      </c>
      <c r="C41" s="1470">
        <v>187</v>
      </c>
      <c r="D41" s="1470">
        <f t="shared" si="64"/>
        <v>187</v>
      </c>
      <c r="E41" s="1470">
        <v>301</v>
      </c>
      <c r="F41" s="1471">
        <v>168</v>
      </c>
      <c r="G41" s="3349">
        <v>2009</v>
      </c>
      <c r="H41" s="1483">
        <v>4</v>
      </c>
      <c r="I41" s="1483">
        <v>2.2999999999999998</v>
      </c>
      <c r="J41" s="1483">
        <v>1.04</v>
      </c>
      <c r="K41" s="1483">
        <v>2.84</v>
      </c>
      <c r="L41" s="1484">
        <v>0.67</v>
      </c>
      <c r="N41" s="1485">
        <f t="shared" si="66"/>
        <v>2.3E-2</v>
      </c>
      <c r="O41" s="1486">
        <f t="shared" si="66"/>
        <v>1.04E-2</v>
      </c>
      <c r="P41" s="1486">
        <f t="shared" si="66"/>
        <v>2.8399999999999998E-2</v>
      </c>
      <c r="Q41" s="1486">
        <f t="shared" si="66"/>
        <v>6.7000000000000002E-3</v>
      </c>
      <c r="R41" s="1475"/>
      <c r="S41" s="1476"/>
      <c r="T41" s="1477"/>
      <c r="U41" s="1477"/>
      <c r="V41" s="1477"/>
      <c r="X41" s="1477"/>
      <c r="Y41" s="1477"/>
      <c r="Z41" s="1477"/>
    </row>
    <row r="42" spans="1:26">
      <c r="A42" s="1462" t="s">
        <v>1176</v>
      </c>
      <c r="B42" s="1478">
        <f t="shared" ref="B42:C44" si="80">B41/(1+N41)</f>
        <v>215.05376344086022</v>
      </c>
      <c r="C42" s="1478">
        <f t="shared" si="80"/>
        <v>185.0752177355503</v>
      </c>
      <c r="D42" s="1478">
        <f t="shared" si="64"/>
        <v>185.0752177355503</v>
      </c>
      <c r="E42" s="1478">
        <f t="shared" ref="E42:F44" si="81">E41/(1+P41)</f>
        <v>292.68767016725008</v>
      </c>
      <c r="F42" s="1478">
        <f t="shared" si="81"/>
        <v>166.88189132810174</v>
      </c>
      <c r="G42" s="3350">
        <v>2009</v>
      </c>
      <c r="H42" s="1488">
        <v>3</v>
      </c>
      <c r="I42" s="1488">
        <v>2.1</v>
      </c>
      <c r="J42" s="1488">
        <v>1.86</v>
      </c>
      <c r="K42" s="1488">
        <v>2.29</v>
      </c>
      <c r="L42" s="1489">
        <v>0.85</v>
      </c>
      <c r="N42" s="1473">
        <f t="shared" si="66"/>
        <v>2.1000000000000001E-2</v>
      </c>
      <c r="O42" s="1490">
        <f t="shared" si="66"/>
        <v>1.8600000000000002E-2</v>
      </c>
      <c r="P42" s="1490">
        <f t="shared" si="66"/>
        <v>2.29E-2</v>
      </c>
      <c r="Q42" s="1490">
        <f t="shared" si="66"/>
        <v>8.5000000000000006E-3</v>
      </c>
      <c r="R42" s="1475"/>
      <c r="S42" s="1473"/>
      <c r="T42" s="1474"/>
      <c r="U42" s="1474"/>
      <c r="V42" s="1474"/>
    </row>
    <row r="43" spans="1:26">
      <c r="A43" s="1462" t="s">
        <v>1177</v>
      </c>
      <c r="B43" s="1478">
        <f t="shared" si="80"/>
        <v>210.630522469011</v>
      </c>
      <c r="C43" s="1478">
        <f t="shared" si="80"/>
        <v>181.69567812247232</v>
      </c>
      <c r="D43" s="1478">
        <f t="shared" si="64"/>
        <v>181.69567812247232</v>
      </c>
      <c r="E43" s="1478">
        <f t="shared" si="81"/>
        <v>286.13517466736738</v>
      </c>
      <c r="F43" s="1478">
        <f t="shared" si="81"/>
        <v>165.47535084591149</v>
      </c>
      <c r="G43" s="3350">
        <v>2009</v>
      </c>
      <c r="H43" s="1466">
        <v>2</v>
      </c>
      <c r="I43" s="1466">
        <v>0.86</v>
      </c>
      <c r="J43" s="1466">
        <v>-1.1299999999999999</v>
      </c>
      <c r="K43" s="1466">
        <v>1.79</v>
      </c>
      <c r="L43" s="1480">
        <v>-2.0699999999999998</v>
      </c>
      <c r="N43" s="1473">
        <f t="shared" si="66"/>
        <v>8.6E-3</v>
      </c>
      <c r="O43" s="1490">
        <f t="shared" si="66"/>
        <v>-1.1299999999999999E-2</v>
      </c>
      <c r="P43" s="1490">
        <f t="shared" si="66"/>
        <v>1.7899999999999999E-2</v>
      </c>
      <c r="Q43" s="1490">
        <f t="shared" si="66"/>
        <v>-2.07E-2</v>
      </c>
      <c r="R43" s="1475"/>
      <c r="S43" s="1473"/>
      <c r="T43" s="1474"/>
      <c r="U43" s="1474"/>
      <c r="V43" s="1474"/>
    </row>
    <row r="44" spans="1:26">
      <c r="A44" s="1462" t="s">
        <v>1178</v>
      </c>
      <c r="B44" s="1478">
        <f t="shared" si="80"/>
        <v>208.83454537875372</v>
      </c>
      <c r="C44" s="1478">
        <f t="shared" si="80"/>
        <v>183.77230517090351</v>
      </c>
      <c r="D44" s="1478">
        <f t="shared" si="64"/>
        <v>183.77230517090351</v>
      </c>
      <c r="E44" s="1478">
        <f t="shared" si="81"/>
        <v>281.10342338870947</v>
      </c>
      <c r="F44" s="1478">
        <f t="shared" si="81"/>
        <v>168.97309388942256</v>
      </c>
      <c r="G44" s="3351">
        <v>2009</v>
      </c>
      <c r="H44" s="1465">
        <v>1</v>
      </c>
      <c r="I44" s="1465">
        <v>-2.64</v>
      </c>
      <c r="J44" s="1465">
        <v>-2.5299999999999998</v>
      </c>
      <c r="K44" s="1465">
        <v>-3.02</v>
      </c>
      <c r="L44" s="1479">
        <v>1.52</v>
      </c>
      <c r="N44" s="1481">
        <f t="shared" si="66"/>
        <v>-2.64E-2</v>
      </c>
      <c r="O44" s="1482">
        <f t="shared" si="66"/>
        <v>-2.53E-2</v>
      </c>
      <c r="P44" s="1482">
        <f t="shared" si="66"/>
        <v>-3.0200000000000001E-2</v>
      </c>
      <c r="Q44" s="1482">
        <f t="shared" si="66"/>
        <v>1.52E-2</v>
      </c>
      <c r="R44" s="1475"/>
      <c r="S44" s="1481">
        <f>B44/B45-1</f>
        <v>-2.4137638417038754E-2</v>
      </c>
      <c r="T44" s="1482">
        <f>C44/C45-1</f>
        <v>-2.248773845264096E-2</v>
      </c>
      <c r="U44" s="1482">
        <f>E44/E45-1</f>
        <v>-2.7323794502735366E-2</v>
      </c>
      <c r="V44" s="1482">
        <f>F44/F45-1</f>
        <v>1.7910204153148035E-2</v>
      </c>
      <c r="X44" s="1461"/>
      <c r="Y44" s="1461"/>
      <c r="Z44" s="1461"/>
    </row>
    <row r="45" spans="1:26" ht="13.5" thickBot="1">
      <c r="A45" s="1462" t="s">
        <v>1179</v>
      </c>
      <c r="B45" s="1512">
        <v>214</v>
      </c>
      <c r="C45" s="1512">
        <v>188</v>
      </c>
      <c r="D45" s="1512">
        <f t="shared" si="64"/>
        <v>188</v>
      </c>
      <c r="E45" s="1512">
        <v>289</v>
      </c>
      <c r="F45" s="1513">
        <v>166</v>
      </c>
      <c r="G45" s="3349">
        <v>2008</v>
      </c>
      <c r="H45" s="1483">
        <v>4</v>
      </c>
      <c r="I45" s="1483">
        <v>1.73</v>
      </c>
      <c r="J45" s="1483">
        <v>0.03</v>
      </c>
      <c r="K45" s="1483">
        <v>2.59</v>
      </c>
      <c r="L45" s="1484">
        <v>-1.66</v>
      </c>
      <c r="N45" s="1473">
        <f t="shared" si="66"/>
        <v>1.7299999999999999E-2</v>
      </c>
      <c r="O45" s="1474">
        <f t="shared" si="66"/>
        <v>2.9999999999999997E-4</v>
      </c>
      <c r="P45" s="1474">
        <f t="shared" si="66"/>
        <v>2.5899999999999999E-2</v>
      </c>
      <c r="Q45" s="1474">
        <f t="shared" si="66"/>
        <v>-1.66E-2</v>
      </c>
      <c r="R45" s="1475"/>
      <c r="S45" s="1476"/>
      <c r="T45" s="1477"/>
      <c r="U45" s="1477"/>
      <c r="V45" s="1477"/>
      <c r="X45" s="1477"/>
      <c r="Y45" s="1477"/>
      <c r="Z45" s="1477"/>
    </row>
    <row r="46" spans="1:26">
      <c r="A46" s="1462" t="s">
        <v>1180</v>
      </c>
      <c r="B46" s="1478">
        <f t="shared" ref="B46:C48" si="82">B45/(1+N45)</f>
        <v>210.36075887152265</v>
      </c>
      <c r="C46" s="1478">
        <f t="shared" si="82"/>
        <v>187.94361691492554</v>
      </c>
      <c r="D46" s="1478">
        <f t="shared" si="64"/>
        <v>187.94361691492554</v>
      </c>
      <c r="E46" s="1478">
        <f t="shared" ref="E46:F48" si="83">E45/(1+P45)</f>
        <v>281.70386977288234</v>
      </c>
      <c r="F46" s="1478">
        <f t="shared" si="83"/>
        <v>168.80211511083994</v>
      </c>
      <c r="G46" s="3350">
        <v>2008</v>
      </c>
      <c r="H46" s="1488">
        <v>3</v>
      </c>
      <c r="I46" s="1488">
        <v>1.96</v>
      </c>
      <c r="J46" s="1488">
        <v>2.36</v>
      </c>
      <c r="K46" s="1488">
        <v>1.82</v>
      </c>
      <c r="L46" s="1489">
        <v>2.2200000000000002</v>
      </c>
      <c r="N46" s="1473">
        <f t="shared" si="66"/>
        <v>1.9599999999999999E-2</v>
      </c>
      <c r="O46" s="1474">
        <f t="shared" si="66"/>
        <v>2.3599999999999999E-2</v>
      </c>
      <c r="P46" s="1474">
        <f t="shared" si="66"/>
        <v>1.8200000000000001E-2</v>
      </c>
      <c r="Q46" s="1474">
        <f t="shared" si="66"/>
        <v>2.2200000000000001E-2</v>
      </c>
      <c r="R46" s="1475"/>
      <c r="S46" s="1473"/>
      <c r="T46" s="1474"/>
      <c r="U46" s="1474"/>
      <c r="V46" s="1474"/>
    </row>
    <row r="47" spans="1:26">
      <c r="A47" s="1462" t="s">
        <v>1181</v>
      </c>
      <c r="B47" s="1478">
        <f t="shared" si="82"/>
        <v>206.31694671589116</v>
      </c>
      <c r="C47" s="1478">
        <f t="shared" si="82"/>
        <v>183.61041121036101</v>
      </c>
      <c r="D47" s="1478">
        <f t="shared" si="64"/>
        <v>183.61041121036101</v>
      </c>
      <c r="E47" s="1478">
        <f t="shared" si="83"/>
        <v>276.66850301795557</v>
      </c>
      <c r="F47" s="1478">
        <f t="shared" si="83"/>
        <v>165.1360938278614</v>
      </c>
      <c r="G47" s="3350">
        <v>2008</v>
      </c>
      <c r="H47" s="1466">
        <v>2</v>
      </c>
      <c r="I47" s="1466">
        <v>4.93</v>
      </c>
      <c r="J47" s="1466">
        <v>7.38</v>
      </c>
      <c r="K47" s="1466">
        <v>3.98</v>
      </c>
      <c r="L47" s="1480">
        <v>6.86</v>
      </c>
      <c r="N47" s="1473">
        <f t="shared" si="66"/>
        <v>4.9299999999999997E-2</v>
      </c>
      <c r="O47" s="1474">
        <f t="shared" si="66"/>
        <v>7.3800000000000004E-2</v>
      </c>
      <c r="P47" s="1474">
        <f t="shared" si="66"/>
        <v>3.9800000000000002E-2</v>
      </c>
      <c r="Q47" s="1474">
        <f t="shared" si="66"/>
        <v>6.8600000000000008E-2</v>
      </c>
      <c r="R47" s="1475"/>
      <c r="S47" s="1473"/>
      <c r="T47" s="1474"/>
      <c r="U47" s="1474"/>
      <c r="V47" s="1474"/>
    </row>
    <row r="48" spans="1:26" s="1518" customFormat="1" ht="13.5" thickBot="1">
      <c r="A48" s="1462" t="s">
        <v>1182</v>
      </c>
      <c r="B48" s="1515">
        <f t="shared" si="82"/>
        <v>196.62341248059772</v>
      </c>
      <c r="C48" s="1515">
        <f t="shared" si="82"/>
        <v>170.99125648199012</v>
      </c>
      <c r="D48" s="1515">
        <f t="shared" si="64"/>
        <v>170.99125648199012</v>
      </c>
      <c r="E48" s="1515">
        <f t="shared" si="83"/>
        <v>266.07857570490052</v>
      </c>
      <c r="F48" s="1515">
        <f t="shared" si="83"/>
        <v>154.53499328828505</v>
      </c>
      <c r="G48" s="3351">
        <v>2008</v>
      </c>
      <c r="H48" s="1516">
        <v>1</v>
      </c>
      <c r="I48" s="1516">
        <v>4.1399999999999997</v>
      </c>
      <c r="J48" s="1516">
        <v>3.45</v>
      </c>
      <c r="K48" s="1516">
        <v>4.95</v>
      </c>
      <c r="L48" s="1517">
        <v>4.82</v>
      </c>
      <c r="N48" s="1519">
        <f t="shared" si="66"/>
        <v>4.1399999999999999E-2</v>
      </c>
      <c r="O48" s="1520">
        <f t="shared" si="66"/>
        <v>3.4500000000000003E-2</v>
      </c>
      <c r="P48" s="1520">
        <f t="shared" si="66"/>
        <v>4.9500000000000002E-2</v>
      </c>
      <c r="Q48" s="1520">
        <f t="shared" si="66"/>
        <v>4.82E-2</v>
      </c>
      <c r="R48" s="1521"/>
      <c r="S48" s="1519">
        <f>B48/B49-1</f>
        <v>4.5869215322328349E-2</v>
      </c>
      <c r="T48" s="1520">
        <f>C48/C49-1</f>
        <v>3.6310645345394743E-2</v>
      </c>
      <c r="U48" s="1520">
        <f>E48/E49-1</f>
        <v>4.7553447657088688E-2</v>
      </c>
      <c r="V48" s="1520">
        <f>F48/F49-1</f>
        <v>4.4155360055980086E-2</v>
      </c>
      <c r="X48" s="1522"/>
      <c r="Y48" s="1522"/>
      <c r="Z48" s="1522"/>
    </row>
    <row r="49" spans="1:26" ht="13.5" thickBot="1">
      <c r="A49" s="1462" t="s">
        <v>1183</v>
      </c>
      <c r="B49" s="1470">
        <v>188</v>
      </c>
      <c r="C49" s="1470">
        <v>165</v>
      </c>
      <c r="D49" s="1470">
        <f t="shared" si="64"/>
        <v>165</v>
      </c>
      <c r="E49" s="1470">
        <v>254</v>
      </c>
      <c r="F49" s="1471">
        <v>148</v>
      </c>
      <c r="G49" s="3349">
        <v>2007</v>
      </c>
      <c r="H49" s="1523">
        <v>4</v>
      </c>
      <c r="I49" s="1523">
        <v>5.51</v>
      </c>
      <c r="J49" s="1523">
        <v>4.8899999999999997</v>
      </c>
      <c r="K49" s="1523">
        <v>6.43</v>
      </c>
      <c r="L49" s="1524">
        <v>5.36</v>
      </c>
      <c r="N49" s="1525">
        <f t="shared" ref="N49:O52" si="84">B49/B50-1</f>
        <v>4.1339718365245526E-2</v>
      </c>
      <c r="O49" s="1526">
        <f t="shared" si="84"/>
        <v>4.0324492593776018E-2</v>
      </c>
      <c r="P49" s="1526">
        <f t="shared" ref="P49:Q52" si="85">E49/E50-1</f>
        <v>6.1625555347990968E-2</v>
      </c>
      <c r="Q49" s="1526">
        <f t="shared" si="85"/>
        <v>4.6757569250590603E-2</v>
      </c>
      <c r="R49" s="1475"/>
      <c r="S49" s="1476"/>
      <c r="T49" s="1477"/>
      <c r="U49" s="1477"/>
      <c r="V49" s="1477"/>
      <c r="X49" s="1477"/>
      <c r="Y49" s="1477"/>
      <c r="Z49" s="1477"/>
    </row>
    <row r="50" spans="1:26">
      <c r="A50" s="1462" t="s">
        <v>1184</v>
      </c>
      <c r="B50" s="1478">
        <f t="shared" ref="B50:C52" si="86">B51+(B$49-B$53)*I50/SUM(I$49:I$52)</f>
        <v>180.5366651097618</v>
      </c>
      <c r="C50" s="1478">
        <f t="shared" si="86"/>
        <v>158.60435967302453</v>
      </c>
      <c r="D50" s="1478">
        <f t="shared" si="64"/>
        <v>158.60435967302453</v>
      </c>
      <c r="E50" s="1478">
        <f t="shared" ref="E50:F52" si="87">E51+(E$49-E$53)*K50/SUM(K$49:K$52)</f>
        <v>239.25573260785075</v>
      </c>
      <c r="F50" s="1478">
        <f t="shared" si="87"/>
        <v>141.38899430740037</v>
      </c>
      <c r="G50" s="3350">
        <v>2007</v>
      </c>
      <c r="H50" s="1488">
        <v>3</v>
      </c>
      <c r="I50" s="1488">
        <v>8.65</v>
      </c>
      <c r="J50" s="1488">
        <v>8.06</v>
      </c>
      <c r="K50" s="1488">
        <v>9.94</v>
      </c>
      <c r="L50" s="1489">
        <v>5.8</v>
      </c>
      <c r="N50" s="1525">
        <f t="shared" si="84"/>
        <v>6.940217571740015E-2</v>
      </c>
      <c r="O50" s="1526">
        <f t="shared" si="84"/>
        <v>7.1197482471153428E-2</v>
      </c>
      <c r="P50" s="1526">
        <f t="shared" si="85"/>
        <v>0.10529679922579582</v>
      </c>
      <c r="Q50" s="1526">
        <f t="shared" si="85"/>
        <v>5.3292245059512133E-2</v>
      </c>
      <c r="R50" s="1475"/>
      <c r="S50" s="1473"/>
      <c r="T50" s="1474"/>
      <c r="U50" s="1474"/>
      <c r="V50" s="1474"/>
      <c r="X50" s="1527"/>
      <c r="Y50" s="1527"/>
      <c r="Z50" s="1527"/>
    </row>
    <row r="51" spans="1:26">
      <c r="A51" s="1462" t="s">
        <v>1185</v>
      </c>
      <c r="B51" s="1478">
        <f t="shared" si="86"/>
        <v>168.82017748715555</v>
      </c>
      <c r="C51" s="1478">
        <f t="shared" si="86"/>
        <v>148.06267029972753</v>
      </c>
      <c r="D51" s="1478">
        <f t="shared" si="64"/>
        <v>148.06267029972753</v>
      </c>
      <c r="E51" s="1478">
        <f t="shared" si="87"/>
        <v>216.46288379323747</v>
      </c>
      <c r="F51" s="1478">
        <f t="shared" si="87"/>
        <v>134.23529411764704</v>
      </c>
      <c r="G51" s="3350">
        <v>2007</v>
      </c>
      <c r="H51" s="1466">
        <v>2</v>
      </c>
      <c r="I51" s="1466">
        <v>3.67</v>
      </c>
      <c r="J51" s="1466">
        <v>2.3199999999999998</v>
      </c>
      <c r="K51" s="1466">
        <v>5.0199999999999996</v>
      </c>
      <c r="L51" s="1480">
        <v>6.71</v>
      </c>
      <c r="N51" s="1525">
        <f t="shared" si="84"/>
        <v>3.0339138143848032E-2</v>
      </c>
      <c r="O51" s="1526">
        <f t="shared" si="84"/>
        <v>2.0922341588790472E-2</v>
      </c>
      <c r="P51" s="1526">
        <f t="shared" si="85"/>
        <v>5.6164796592717003E-2</v>
      </c>
      <c r="Q51" s="1526">
        <f t="shared" si="85"/>
        <v>6.5704536723887319E-2</v>
      </c>
      <c r="R51" s="1475"/>
      <c r="S51" s="1473"/>
      <c r="T51" s="1474"/>
      <c r="U51" s="1474"/>
      <c r="V51" s="1474"/>
      <c r="X51" s="1527"/>
      <c r="Y51" s="1527"/>
      <c r="Z51" s="1527"/>
    </row>
    <row r="52" spans="1:26">
      <c r="A52" s="1462" t="s">
        <v>1186</v>
      </c>
      <c r="B52" s="1478">
        <f t="shared" si="86"/>
        <v>163.84913591779542</v>
      </c>
      <c r="C52" s="1478">
        <f t="shared" si="86"/>
        <v>145.0283378746594</v>
      </c>
      <c r="D52" s="1478">
        <f t="shared" si="64"/>
        <v>145.0283378746594</v>
      </c>
      <c r="E52" s="1478">
        <f t="shared" si="87"/>
        <v>204.95180722891567</v>
      </c>
      <c r="F52" s="1478">
        <f t="shared" si="87"/>
        <v>125.95920303605313</v>
      </c>
      <c r="G52" s="3351">
        <v>2007</v>
      </c>
      <c r="H52" s="1465">
        <v>1</v>
      </c>
      <c r="I52" s="1465">
        <v>3.58</v>
      </c>
      <c r="J52" s="1465">
        <v>3.08</v>
      </c>
      <c r="K52" s="1465">
        <v>4.34</v>
      </c>
      <c r="L52" s="1479">
        <v>3.21</v>
      </c>
      <c r="N52" s="1528">
        <f t="shared" si="84"/>
        <v>3.0497710174814063E-2</v>
      </c>
      <c r="O52" s="1529">
        <f t="shared" si="84"/>
        <v>2.8569772160704998E-2</v>
      </c>
      <c r="P52" s="1529">
        <f t="shared" si="85"/>
        <v>5.1034908866234296E-2</v>
      </c>
      <c r="Q52" s="1529">
        <f t="shared" si="85"/>
        <v>3.245248390207478E-2</v>
      </c>
      <c r="R52" s="1475"/>
      <c r="S52" s="1481">
        <f>B52/B53-1</f>
        <v>3.0497710174814063E-2</v>
      </c>
      <c r="T52" s="1482">
        <f>C52/C53-1</f>
        <v>2.8569772160704998E-2</v>
      </c>
      <c r="U52" s="1482">
        <f>E52/E53-1</f>
        <v>5.1034908866234296E-2</v>
      </c>
      <c r="V52" s="1482">
        <f>F52/F53-1</f>
        <v>3.245248390207478E-2</v>
      </c>
      <c r="X52" s="1527"/>
      <c r="Y52" s="1527"/>
      <c r="Z52" s="1527"/>
    </row>
    <row r="53" spans="1:26" ht="13.5" thickBot="1">
      <c r="A53" s="1462" t="s">
        <v>1187</v>
      </c>
      <c r="B53" s="1491">
        <v>159</v>
      </c>
      <c r="C53" s="1491">
        <v>141</v>
      </c>
      <c r="D53" s="1491">
        <f t="shared" si="64"/>
        <v>141</v>
      </c>
      <c r="E53" s="1491">
        <v>195</v>
      </c>
      <c r="F53" s="1492">
        <v>122</v>
      </c>
      <c r="G53" s="3349">
        <v>2006</v>
      </c>
      <c r="H53" s="1483">
        <v>4</v>
      </c>
      <c r="I53" s="1483">
        <v>3.79</v>
      </c>
      <c r="J53" s="1483">
        <v>2.21</v>
      </c>
      <c r="K53" s="1483">
        <v>5.65</v>
      </c>
      <c r="L53" s="1484">
        <v>5.41</v>
      </c>
      <c r="N53" s="1525">
        <f t="shared" ref="N53:O56" si="88">I53/SUM(I$53:I$56)*(B$53/B$57-1)</f>
        <v>7.245466462748526E-2</v>
      </c>
      <c r="O53" s="1526">
        <f t="shared" si="88"/>
        <v>2.3237230038062766E-2</v>
      </c>
      <c r="P53" s="1526">
        <f t="shared" ref="P53:Q56" si="89">K53/SUM(K$53:K$56)*(E$53/E$57-1)</f>
        <v>0.16146893866323722</v>
      </c>
      <c r="Q53" s="1526">
        <f t="shared" si="89"/>
        <v>5.0755230321793784E-2</v>
      </c>
      <c r="R53" s="1475"/>
      <c r="S53" s="1476"/>
      <c r="T53" s="1477"/>
      <c r="U53" s="1477"/>
      <c r="V53" s="1477"/>
      <c r="X53" s="1527"/>
      <c r="Y53" s="1527"/>
      <c r="Z53" s="1527"/>
    </row>
    <row r="54" spans="1:26">
      <c r="A54" s="1462" t="s">
        <v>1188</v>
      </c>
      <c r="B54" s="1478">
        <f t="shared" ref="B54:C56" si="90">B55+(B$53-B$57)*I54/SUM(I$53:I$56)</f>
        <v>149.00125628140702</v>
      </c>
      <c r="C54" s="1478">
        <f t="shared" si="90"/>
        <v>137.95592286501378</v>
      </c>
      <c r="D54" s="1478">
        <f t="shared" si="64"/>
        <v>137.95592286501378</v>
      </c>
      <c r="E54" s="1478">
        <f t="shared" ref="E54:F56" si="91">E55+(E$53-E$57)*K54/SUM(K$53:K$56)</f>
        <v>169.97231450719823</v>
      </c>
      <c r="F54" s="1478">
        <f t="shared" si="91"/>
        <v>116.21390374331551</v>
      </c>
      <c r="G54" s="3350">
        <v>2006</v>
      </c>
      <c r="H54" s="1488">
        <v>3</v>
      </c>
      <c r="I54" s="1488">
        <v>0.92</v>
      </c>
      <c r="J54" s="1488">
        <v>1.08</v>
      </c>
      <c r="K54" s="1488">
        <v>0.73</v>
      </c>
      <c r="L54" s="1489">
        <v>1.08</v>
      </c>
      <c r="N54" s="1525">
        <f t="shared" si="88"/>
        <v>1.7587939698492462E-2</v>
      </c>
      <c r="O54" s="1526">
        <f t="shared" si="88"/>
        <v>1.1355750425840628E-2</v>
      </c>
      <c r="P54" s="1526">
        <f t="shared" si="89"/>
        <v>2.0862358446754544E-2</v>
      </c>
      <c r="Q54" s="1526">
        <f t="shared" si="89"/>
        <v>1.0132282578103011E-2</v>
      </c>
      <c r="R54" s="1475"/>
      <c r="S54" s="1473"/>
      <c r="T54" s="1474"/>
      <c r="U54" s="1474"/>
      <c r="V54" s="1474"/>
      <c r="X54" s="1527"/>
      <c r="Y54" s="1527"/>
      <c r="Z54" s="1527"/>
    </row>
    <row r="55" spans="1:26">
      <c r="A55" s="1462" t="s">
        <v>1189</v>
      </c>
      <c r="B55" s="1478">
        <f t="shared" si="90"/>
        <v>146.57412060301507</v>
      </c>
      <c r="C55" s="1478">
        <f t="shared" si="90"/>
        <v>136.46831955922866</v>
      </c>
      <c r="D55" s="1478">
        <f t="shared" si="64"/>
        <v>136.46831955922866</v>
      </c>
      <c r="E55" s="1478">
        <f t="shared" si="91"/>
        <v>166.73864894795128</v>
      </c>
      <c r="F55" s="1478">
        <f t="shared" si="91"/>
        <v>115.05882352941177</v>
      </c>
      <c r="G55" s="3350">
        <v>2006</v>
      </c>
      <c r="H55" s="1466">
        <v>2</v>
      </c>
      <c r="I55" s="1466">
        <v>0.96</v>
      </c>
      <c r="J55" s="1466">
        <v>0.25</v>
      </c>
      <c r="K55" s="1466">
        <v>1.9</v>
      </c>
      <c r="L55" s="1480">
        <v>0.95</v>
      </c>
      <c r="N55" s="1525">
        <f t="shared" si="88"/>
        <v>1.8352632728861701E-2</v>
      </c>
      <c r="O55" s="1526">
        <f t="shared" si="88"/>
        <v>2.6286459319075526E-3</v>
      </c>
      <c r="P55" s="1526">
        <f t="shared" si="89"/>
        <v>5.4299289107991269E-2</v>
      </c>
      <c r="Q55" s="1526">
        <f t="shared" si="89"/>
        <v>8.9126559714794995E-3</v>
      </c>
      <c r="R55" s="1475"/>
      <c r="S55" s="1473"/>
      <c r="T55" s="1474"/>
      <c r="U55" s="1474"/>
      <c r="V55" s="1474"/>
      <c r="X55" s="1527"/>
      <c r="Y55" s="1527"/>
      <c r="Z55" s="1527"/>
    </row>
    <row r="56" spans="1:26">
      <c r="A56" s="1462" t="s">
        <v>1190</v>
      </c>
      <c r="B56" s="1478">
        <f t="shared" si="90"/>
        <v>144.04145728643215</v>
      </c>
      <c r="C56" s="1478">
        <f t="shared" si="90"/>
        <v>136.12396694214877</v>
      </c>
      <c r="D56" s="1478">
        <f t="shared" si="64"/>
        <v>136.12396694214877</v>
      </c>
      <c r="E56" s="1478">
        <f t="shared" si="91"/>
        <v>158.32225913621264</v>
      </c>
      <c r="F56" s="1478">
        <f t="shared" si="91"/>
        <v>114.04278074866311</v>
      </c>
      <c r="G56" s="3351">
        <v>2006</v>
      </c>
      <c r="H56" s="1465">
        <v>1</v>
      </c>
      <c r="I56" s="1465">
        <v>2.29</v>
      </c>
      <c r="J56" s="1465">
        <v>3.72</v>
      </c>
      <c r="K56" s="1465">
        <v>0.75</v>
      </c>
      <c r="L56" s="1479">
        <v>0.04</v>
      </c>
      <c r="N56" s="1528">
        <f t="shared" si="88"/>
        <v>4.3778675988638847E-2</v>
      </c>
      <c r="O56" s="1529">
        <f t="shared" si="88"/>
        <v>3.9114251466784385E-2</v>
      </c>
      <c r="P56" s="1529">
        <f t="shared" si="89"/>
        <v>2.1433929911049188E-2</v>
      </c>
      <c r="Q56" s="1529">
        <f t="shared" si="89"/>
        <v>3.7526972511492629E-4</v>
      </c>
      <c r="R56" s="1475"/>
      <c r="S56" s="1481">
        <f>B56/B57-1</f>
        <v>4.3778675988638716E-2</v>
      </c>
      <c r="T56" s="1482">
        <f>C56/C57-1</f>
        <v>3.91142514667846E-2</v>
      </c>
      <c r="U56" s="1482">
        <f>E56/E57-1</f>
        <v>2.143392991104931E-2</v>
      </c>
      <c r="V56" s="1482">
        <f>F56/F57-1</f>
        <v>3.7526972511492396E-4</v>
      </c>
      <c r="X56" s="1527"/>
      <c r="Y56" s="1527"/>
      <c r="Z56" s="1527"/>
    </row>
    <row r="57" spans="1:26" ht="13.5" thickBot="1">
      <c r="A57" s="1462" t="s">
        <v>1191</v>
      </c>
      <c r="B57" s="1491">
        <v>138</v>
      </c>
      <c r="C57" s="1491">
        <v>131</v>
      </c>
      <c r="D57" s="1491">
        <f t="shared" si="64"/>
        <v>131</v>
      </c>
      <c r="E57" s="1491">
        <v>155</v>
      </c>
      <c r="F57" s="1492">
        <v>114</v>
      </c>
      <c r="G57" s="3349">
        <v>2005</v>
      </c>
      <c r="H57" s="1483">
        <v>4</v>
      </c>
      <c r="I57" s="1483">
        <v>3.29</v>
      </c>
      <c r="J57" s="1483">
        <v>1.44</v>
      </c>
      <c r="K57" s="1483">
        <v>0.66</v>
      </c>
      <c r="L57" s="1484">
        <v>7.78</v>
      </c>
      <c r="N57" s="1525">
        <f t="shared" ref="N57:O60" si="92">I57/SUM(I$57:I$60)*(B$57/B$61-1)</f>
        <v>9.9404603216919935E-2</v>
      </c>
      <c r="O57" s="1526">
        <f t="shared" si="92"/>
        <v>4.7636550760861554E-2</v>
      </c>
      <c r="P57" s="1526">
        <f t="shared" ref="P57:Q60" si="93">K57/SUM(K$57:K$60)*(E$57/E$61-1)</f>
        <v>8.3756345177664976E-2</v>
      </c>
      <c r="Q57" s="1526">
        <f t="shared" si="93"/>
        <v>5.2148766661559584E-2</v>
      </c>
      <c r="R57" s="1475"/>
      <c r="S57" s="1476"/>
      <c r="T57" s="1477"/>
      <c r="U57" s="1477"/>
      <c r="V57" s="1477"/>
      <c r="X57" s="1527"/>
      <c r="Y57" s="1527"/>
      <c r="Z57" s="1527"/>
    </row>
    <row r="58" spans="1:26">
      <c r="A58" s="1462" t="s">
        <v>1192</v>
      </c>
      <c r="B58" s="1478">
        <f t="shared" ref="B58:C60" si="94">B59+(B$57-B$61)*I58/SUM(I$57:I$60)</f>
        <v>125.9720430107527</v>
      </c>
      <c r="C58" s="1478">
        <f t="shared" si="94"/>
        <v>125.1883408071749</v>
      </c>
      <c r="D58" s="1478">
        <f t="shared" si="64"/>
        <v>125.1883408071749</v>
      </c>
      <c r="E58" s="1478">
        <f t="shared" ref="E58:F60" si="95">E59+(E$57-E$61)*K58/SUM(K$57:K$60)</f>
        <v>144.61421319796952</v>
      </c>
      <c r="F58" s="1478">
        <f t="shared" si="95"/>
        <v>108.42008196721311</v>
      </c>
      <c r="G58" s="3350">
        <v>2005</v>
      </c>
      <c r="H58" s="1488">
        <v>3</v>
      </c>
      <c r="I58" s="1488">
        <v>0.46</v>
      </c>
      <c r="J58" s="1488">
        <v>0.32</v>
      </c>
      <c r="K58" s="1488">
        <v>0.42</v>
      </c>
      <c r="L58" s="1489">
        <v>0.64</v>
      </c>
      <c r="N58" s="1525">
        <f t="shared" si="92"/>
        <v>1.3898515951301874E-2</v>
      </c>
      <c r="O58" s="1526">
        <f t="shared" si="92"/>
        <v>1.0585900169080346E-2</v>
      </c>
      <c r="P58" s="1526">
        <f t="shared" si="93"/>
        <v>5.3299492385786795E-2</v>
      </c>
      <c r="Q58" s="1526">
        <f t="shared" si="93"/>
        <v>4.2898728359123568E-3</v>
      </c>
      <c r="R58" s="1475"/>
      <c r="S58" s="1473"/>
      <c r="T58" s="1474"/>
      <c r="U58" s="1474"/>
      <c r="V58" s="1474"/>
      <c r="X58" s="1527"/>
      <c r="Y58" s="1527"/>
      <c r="Z58" s="1527"/>
    </row>
    <row r="59" spans="1:26">
      <c r="A59" s="1462" t="s">
        <v>1193</v>
      </c>
      <c r="B59" s="1478">
        <f t="shared" si="94"/>
        <v>124.29032258064517</v>
      </c>
      <c r="C59" s="1478">
        <f t="shared" si="94"/>
        <v>123.8968609865471</v>
      </c>
      <c r="D59" s="1478">
        <f t="shared" si="64"/>
        <v>123.8968609865471</v>
      </c>
      <c r="E59" s="1478">
        <f t="shared" si="95"/>
        <v>138.00507614213197</v>
      </c>
      <c r="F59" s="1478">
        <f t="shared" si="95"/>
        <v>107.96106557377048</v>
      </c>
      <c r="G59" s="3350">
        <v>2005</v>
      </c>
      <c r="H59" s="1466">
        <v>2</v>
      </c>
      <c r="I59" s="1466">
        <v>0.47</v>
      </c>
      <c r="J59" s="1466">
        <v>0.1</v>
      </c>
      <c r="K59" s="1466">
        <v>0.52</v>
      </c>
      <c r="L59" s="1480">
        <v>0.79</v>
      </c>
      <c r="N59" s="1525">
        <f t="shared" si="92"/>
        <v>1.420065760241713E-2</v>
      </c>
      <c r="O59" s="1526">
        <f t="shared" si="92"/>
        <v>3.3080938028376083E-3</v>
      </c>
      <c r="P59" s="1526">
        <f t="shared" si="93"/>
        <v>6.598984771573603E-2</v>
      </c>
      <c r="Q59" s="1526">
        <f t="shared" si="93"/>
        <v>5.2953117818293153E-3</v>
      </c>
      <c r="R59" s="1475"/>
      <c r="S59" s="1473"/>
      <c r="T59" s="1474"/>
      <c r="U59" s="1474"/>
      <c r="V59" s="1474"/>
      <c r="X59" s="1527"/>
      <c r="Y59" s="1527"/>
      <c r="Z59" s="1527"/>
    </row>
    <row r="60" spans="1:26">
      <c r="A60" s="1462" t="s">
        <v>1194</v>
      </c>
      <c r="B60" s="1478">
        <f t="shared" si="94"/>
        <v>122.57204301075269</v>
      </c>
      <c r="C60" s="1478">
        <f t="shared" si="94"/>
        <v>123.4932735426009</v>
      </c>
      <c r="D60" s="1478">
        <f t="shared" si="64"/>
        <v>123.4932735426009</v>
      </c>
      <c r="E60" s="1478">
        <f t="shared" si="95"/>
        <v>129.82233502538071</v>
      </c>
      <c r="F60" s="1478">
        <f t="shared" si="95"/>
        <v>107.39446721311475</v>
      </c>
      <c r="G60" s="3351">
        <v>2005</v>
      </c>
      <c r="H60" s="1465">
        <v>1</v>
      </c>
      <c r="I60" s="1465">
        <v>0.43</v>
      </c>
      <c r="J60" s="1465">
        <v>0.37</v>
      </c>
      <c r="K60" s="1465">
        <v>0.37</v>
      </c>
      <c r="L60" s="1479">
        <v>0.55000000000000004</v>
      </c>
      <c r="N60" s="1528">
        <f t="shared" si="92"/>
        <v>1.2992090997956099E-2</v>
      </c>
      <c r="O60" s="1529">
        <f t="shared" si="92"/>
        <v>1.2239947070499151E-2</v>
      </c>
      <c r="P60" s="1529">
        <f t="shared" si="93"/>
        <v>4.6954314720812178E-2</v>
      </c>
      <c r="Q60" s="1529">
        <f t="shared" si="93"/>
        <v>3.6866094683621815E-3</v>
      </c>
      <c r="R60" s="1475"/>
      <c r="S60" s="1481">
        <f>B60/B61-1</f>
        <v>1.2992090997956174E-2</v>
      </c>
      <c r="T60" s="1482">
        <f>C60/C61-1</f>
        <v>1.2239947070499246E-2</v>
      </c>
      <c r="U60" s="1482">
        <f>E60/E61-1</f>
        <v>4.695431472081224E-2</v>
      </c>
      <c r="V60" s="1482">
        <f>F60/F61-1</f>
        <v>3.6866094683620787E-3</v>
      </c>
      <c r="X60" s="1527"/>
      <c r="Y60" s="1527"/>
      <c r="Z60" s="1527"/>
    </row>
    <row r="61" spans="1:26" ht="13.5" thickBot="1">
      <c r="A61" s="1462" t="s">
        <v>1195</v>
      </c>
      <c r="B61" s="1512">
        <v>121</v>
      </c>
      <c r="C61" s="1512">
        <v>122</v>
      </c>
      <c r="D61" s="1512">
        <f t="shared" si="64"/>
        <v>122</v>
      </c>
      <c r="E61" s="1512">
        <v>124</v>
      </c>
      <c r="F61" s="1513">
        <v>107</v>
      </c>
      <c r="G61" s="3349">
        <v>2004</v>
      </c>
      <c r="H61" s="1483">
        <v>4</v>
      </c>
      <c r="I61" s="1483">
        <v>0.33</v>
      </c>
      <c r="J61" s="1483">
        <v>0.5</v>
      </c>
      <c r="K61" s="1483">
        <v>0.5</v>
      </c>
      <c r="L61" s="1484">
        <v>0</v>
      </c>
      <c r="N61" s="1525">
        <f t="shared" ref="N61:O64" si="96">I61/SUM(I$61:I$64)*(B$61/B$65-1)</f>
        <v>1.3391770148526898E-2</v>
      </c>
      <c r="O61" s="1526">
        <f t="shared" si="96"/>
        <v>1.063264221158958E-2</v>
      </c>
      <c r="P61" s="1526">
        <f t="shared" ref="P61:Q64" si="97">K61/SUM(K$61:K$64)*(E$61/E$65-1)</f>
        <v>2.2244466688911134E-2</v>
      </c>
      <c r="Q61" s="1526">
        <f t="shared" si="97"/>
        <v>0</v>
      </c>
      <c r="R61" s="1475"/>
      <c r="S61" s="1476"/>
      <c r="T61" s="1477"/>
      <c r="U61" s="1477"/>
      <c r="V61" s="1477"/>
      <c r="X61" s="1527"/>
      <c r="Y61" s="1527"/>
      <c r="Z61" s="1527"/>
    </row>
    <row r="62" spans="1:26">
      <c r="A62" s="1462" t="s">
        <v>1196</v>
      </c>
      <c r="B62" s="1478">
        <f t="shared" ref="B62:C64" si="98">B63+(B$61-B$65)*I62/SUM(I$61:I$64)</f>
        <v>119.51351351351352</v>
      </c>
      <c r="C62" s="1478">
        <f t="shared" si="98"/>
        <v>120.7878787878788</v>
      </c>
      <c r="D62" s="1478">
        <f t="shared" si="64"/>
        <v>120.7878787878788</v>
      </c>
      <c r="E62" s="1478">
        <f t="shared" ref="E62:F64" si="99">E63+(E$61-E$65)*K62/SUM(K$61:K$64)</f>
        <v>121.5975975975976</v>
      </c>
      <c r="F62" s="1478">
        <f t="shared" si="99"/>
        <v>107</v>
      </c>
      <c r="G62" s="3350">
        <v>2004</v>
      </c>
      <c r="H62" s="1488">
        <v>3</v>
      </c>
      <c r="I62" s="1488">
        <v>0.56000000000000005</v>
      </c>
      <c r="J62" s="1488">
        <v>0.8</v>
      </c>
      <c r="K62" s="1488">
        <v>0.83</v>
      </c>
      <c r="L62" s="1489">
        <v>0.06</v>
      </c>
      <c r="N62" s="1525">
        <f t="shared" si="96"/>
        <v>2.2725428130833527E-2</v>
      </c>
      <c r="O62" s="1526">
        <f t="shared" si="96"/>
        <v>1.7012227538543329E-2</v>
      </c>
      <c r="P62" s="1526">
        <f t="shared" si="97"/>
        <v>3.6925814703592477E-2</v>
      </c>
      <c r="Q62" s="1526">
        <f t="shared" si="97"/>
        <v>2.8846153846153744E-2</v>
      </c>
      <c r="R62" s="1475"/>
      <c r="S62" s="1473"/>
      <c r="T62" s="1474"/>
      <c r="U62" s="1474"/>
      <c r="V62" s="1474"/>
      <c r="X62" s="1527"/>
      <c r="Y62" s="1527"/>
      <c r="Z62" s="1527"/>
    </row>
    <row r="63" spans="1:26">
      <c r="A63" s="1462" t="s">
        <v>1197</v>
      </c>
      <c r="B63" s="1478">
        <f t="shared" si="98"/>
        <v>116.99099099099099</v>
      </c>
      <c r="C63" s="1478">
        <f t="shared" si="98"/>
        <v>118.84848484848486</v>
      </c>
      <c r="D63" s="1478">
        <f t="shared" si="64"/>
        <v>118.84848484848486</v>
      </c>
      <c r="E63" s="1478">
        <f t="shared" si="99"/>
        <v>117.60960960960961</v>
      </c>
      <c r="F63" s="1478">
        <f t="shared" si="99"/>
        <v>104</v>
      </c>
      <c r="G63" s="3350">
        <v>2004</v>
      </c>
      <c r="H63" s="1466">
        <v>2</v>
      </c>
      <c r="I63" s="1466">
        <v>1</v>
      </c>
      <c r="J63" s="1466">
        <v>1.5</v>
      </c>
      <c r="K63" s="1466">
        <v>1.5</v>
      </c>
      <c r="L63" s="1480">
        <v>0</v>
      </c>
      <c r="N63" s="1525">
        <f t="shared" si="96"/>
        <v>4.0581121662202721E-2</v>
      </c>
      <c r="O63" s="1526">
        <f t="shared" si="96"/>
        <v>3.1897926634768738E-2</v>
      </c>
      <c r="P63" s="1526">
        <f t="shared" si="97"/>
        <v>6.6733400066733395E-2</v>
      </c>
      <c r="Q63" s="1526">
        <f t="shared" si="97"/>
        <v>0</v>
      </c>
      <c r="R63" s="1475"/>
      <c r="S63" s="1473"/>
      <c r="T63" s="1474"/>
      <c r="U63" s="1474"/>
      <c r="V63" s="1474"/>
      <c r="X63" s="1527"/>
      <c r="Y63" s="1527"/>
      <c r="Z63" s="1527"/>
    </row>
    <row r="64" spans="1:26" s="1518" customFormat="1" ht="13.5" thickBot="1">
      <c r="A64" s="1462" t="s">
        <v>1198</v>
      </c>
      <c r="B64" s="1515">
        <f t="shared" si="98"/>
        <v>112.48648648648648</v>
      </c>
      <c r="C64" s="1515">
        <f t="shared" si="98"/>
        <v>115.21212121212122</v>
      </c>
      <c r="D64" s="1515">
        <f t="shared" si="64"/>
        <v>115.21212121212122</v>
      </c>
      <c r="E64" s="1515">
        <f t="shared" si="99"/>
        <v>110.4024024024024</v>
      </c>
      <c r="F64" s="1515">
        <f t="shared" si="99"/>
        <v>104</v>
      </c>
      <c r="G64" s="3351">
        <v>2004</v>
      </c>
      <c r="H64" s="1516">
        <v>1</v>
      </c>
      <c r="I64" s="1516">
        <v>0.33</v>
      </c>
      <c r="J64" s="1516">
        <v>0.5</v>
      </c>
      <c r="K64" s="1516">
        <v>0.5</v>
      </c>
      <c r="L64" s="1517">
        <v>0</v>
      </c>
      <c r="N64" s="1530">
        <f t="shared" si="96"/>
        <v>1.3391770148526898E-2</v>
      </c>
      <c r="O64" s="1531">
        <f t="shared" si="96"/>
        <v>1.063264221158958E-2</v>
      </c>
      <c r="P64" s="1531">
        <f t="shared" si="97"/>
        <v>2.2244466688911134E-2</v>
      </c>
      <c r="Q64" s="1531">
        <f t="shared" si="97"/>
        <v>0</v>
      </c>
      <c r="R64" s="1521"/>
      <c r="S64" s="1519">
        <f>B64/B65-1</f>
        <v>1.3391770148526883E-2</v>
      </c>
      <c r="T64" s="1520">
        <f>C64/C65-1</f>
        <v>1.063264221158966E-2</v>
      </c>
      <c r="U64" s="1520">
        <f>E64/E65-1</f>
        <v>2.2244466688911224E-2</v>
      </c>
      <c r="V64" s="1520">
        <f>F64/F65-1</f>
        <v>0</v>
      </c>
      <c r="X64" s="1532"/>
      <c r="Y64" s="1532"/>
      <c r="Z64" s="1532"/>
    </row>
    <row r="65" spans="1:26" ht="13.5" thickBot="1">
      <c r="A65" s="1462" t="s">
        <v>1199</v>
      </c>
      <c r="B65" s="1533">
        <v>111</v>
      </c>
      <c r="C65" s="1533">
        <v>114</v>
      </c>
      <c r="D65" s="1533">
        <f t="shared" si="64"/>
        <v>114</v>
      </c>
      <c r="E65" s="1533">
        <v>108</v>
      </c>
      <c r="F65" s="1534">
        <v>104</v>
      </c>
      <c r="G65" s="3349">
        <v>2003</v>
      </c>
      <c r="H65" s="1523">
        <v>4</v>
      </c>
      <c r="I65" s="1535"/>
      <c r="J65" s="1535"/>
      <c r="K65" s="1535"/>
      <c r="L65" s="1535"/>
      <c r="N65" s="1536"/>
      <c r="O65" s="1535"/>
      <c r="P65" s="1535"/>
      <c r="Q65" s="1535"/>
      <c r="S65" s="1536"/>
      <c r="T65" s="1535"/>
      <c r="U65" s="1535"/>
      <c r="V65" s="1535"/>
      <c r="X65" s="1527"/>
      <c r="Y65" s="1527"/>
      <c r="Z65" s="1527"/>
    </row>
    <row r="66" spans="1:26">
      <c r="A66" s="1462" t="s">
        <v>1200</v>
      </c>
      <c r="B66" s="1537">
        <f t="shared" ref="B66:C68" si="100">B67+(B$65-B$69)/4</f>
        <v>109.75</v>
      </c>
      <c r="C66" s="1537">
        <f t="shared" si="100"/>
        <v>112.25</v>
      </c>
      <c r="D66" s="1537">
        <f t="shared" si="64"/>
        <v>112.25</v>
      </c>
      <c r="E66" s="1537">
        <f t="shared" ref="E66:F68" si="101">E67+(E$65-E$69)/4</f>
        <v>107.25</v>
      </c>
      <c r="F66" s="1537">
        <f t="shared" si="101"/>
        <v>103.5</v>
      </c>
      <c r="G66" s="3350">
        <v>2003</v>
      </c>
      <c r="H66" s="1488">
        <v>3</v>
      </c>
      <c r="I66" s="1535"/>
      <c r="J66" s="1535"/>
      <c r="K66" s="1535"/>
      <c r="L66" s="1535"/>
      <c r="X66" s="1527"/>
      <c r="Y66" s="1527"/>
      <c r="Z66" s="1527"/>
    </row>
    <row r="67" spans="1:26">
      <c r="A67" s="1462" t="s">
        <v>1201</v>
      </c>
      <c r="B67" s="1537">
        <f t="shared" si="100"/>
        <v>108.5</v>
      </c>
      <c r="C67" s="1537">
        <f t="shared" si="100"/>
        <v>110.5</v>
      </c>
      <c r="D67" s="1537">
        <f t="shared" si="64"/>
        <v>110.5</v>
      </c>
      <c r="E67" s="1537">
        <f t="shared" si="101"/>
        <v>106.5</v>
      </c>
      <c r="F67" s="1537">
        <f t="shared" si="101"/>
        <v>103</v>
      </c>
      <c r="G67" s="3350">
        <v>2003</v>
      </c>
      <c r="H67" s="1466">
        <v>2</v>
      </c>
      <c r="I67" s="1535"/>
      <c r="J67" s="1535"/>
      <c r="K67" s="1535"/>
      <c r="L67" s="1535"/>
      <c r="X67" s="1527"/>
      <c r="Y67" s="1527"/>
      <c r="Z67" s="1527"/>
    </row>
    <row r="68" spans="1:26" ht="13.5" thickBot="1">
      <c r="A68" s="1462" t="s">
        <v>1202</v>
      </c>
      <c r="B68" s="1537">
        <f t="shared" si="100"/>
        <v>107.25</v>
      </c>
      <c r="C68" s="1537">
        <f t="shared" si="100"/>
        <v>108.75</v>
      </c>
      <c r="D68" s="1537">
        <f t="shared" si="64"/>
        <v>108.75</v>
      </c>
      <c r="E68" s="1537">
        <f t="shared" si="101"/>
        <v>105.75</v>
      </c>
      <c r="F68" s="1537">
        <f t="shared" si="101"/>
        <v>102.5</v>
      </c>
      <c r="G68" s="3351">
        <v>2003</v>
      </c>
      <c r="H68" s="1538">
        <v>1</v>
      </c>
      <c r="I68" s="1535"/>
      <c r="J68" s="1535"/>
      <c r="K68" s="1535"/>
      <c r="L68" s="1535"/>
      <c r="S68" s="1473"/>
      <c r="T68" s="1474"/>
      <c r="U68" s="1474"/>
      <c r="X68" s="1527"/>
      <c r="Y68" s="1527"/>
      <c r="Z68" s="1527"/>
    </row>
    <row r="69" spans="1:26" ht="13.5" thickBot="1">
      <c r="A69" s="1462" t="s">
        <v>1203</v>
      </c>
      <c r="B69" s="1539">
        <v>106</v>
      </c>
      <c r="C69" s="1539">
        <v>107</v>
      </c>
      <c r="D69" s="1539">
        <f t="shared" si="64"/>
        <v>107</v>
      </c>
      <c r="E69" s="1539">
        <v>105</v>
      </c>
      <c r="F69" s="1540">
        <v>102</v>
      </c>
      <c r="G69" s="3349">
        <v>2002</v>
      </c>
      <c r="H69" s="1483">
        <v>4</v>
      </c>
      <c r="I69" s="1535"/>
      <c r="J69" s="1535"/>
      <c r="K69" s="1535"/>
      <c r="L69" s="1535"/>
      <c r="N69" s="1536"/>
      <c r="O69" s="1535"/>
      <c r="P69" s="1535"/>
      <c r="Q69" s="1535"/>
      <c r="S69" s="1536"/>
      <c r="T69" s="1535"/>
      <c r="U69" s="1535"/>
      <c r="V69" s="1535"/>
      <c r="X69" s="1527"/>
      <c r="Y69" s="1527"/>
      <c r="Z69" s="1527"/>
    </row>
    <row r="70" spans="1:26">
      <c r="A70" s="1462" t="s">
        <v>1204</v>
      </c>
      <c r="B70" s="1537">
        <f t="shared" ref="B70:C72" si="102">B71+(B$69-B$73)/4</f>
        <v>105</v>
      </c>
      <c r="C70" s="1537">
        <f t="shared" si="102"/>
        <v>106</v>
      </c>
      <c r="D70" s="1537">
        <f t="shared" si="64"/>
        <v>106</v>
      </c>
      <c r="E70" s="1537">
        <f t="shared" ref="E70:F72" si="103">E71+(E$69-E$73)/4</f>
        <v>104.5</v>
      </c>
      <c r="F70" s="1537">
        <f t="shared" si="103"/>
        <v>101.5</v>
      </c>
      <c r="G70" s="3350">
        <v>2002</v>
      </c>
      <c r="H70" s="1488">
        <v>3</v>
      </c>
      <c r="I70" s="1535"/>
      <c r="J70" s="1535"/>
      <c r="K70" s="1535"/>
      <c r="L70" s="1535"/>
      <c r="X70" s="1527"/>
      <c r="Y70" s="1527"/>
      <c r="Z70" s="1527"/>
    </row>
    <row r="71" spans="1:26">
      <c r="A71" s="1462" t="s">
        <v>1205</v>
      </c>
      <c r="B71" s="1537">
        <f t="shared" si="102"/>
        <v>104</v>
      </c>
      <c r="C71" s="1537">
        <f t="shared" si="102"/>
        <v>105</v>
      </c>
      <c r="D71" s="1537">
        <f t="shared" si="64"/>
        <v>105</v>
      </c>
      <c r="E71" s="1537">
        <f t="shared" si="103"/>
        <v>104</v>
      </c>
      <c r="F71" s="1537">
        <f t="shared" si="103"/>
        <v>101</v>
      </c>
      <c r="G71" s="3350">
        <v>2002</v>
      </c>
      <c r="H71" s="1466">
        <v>2</v>
      </c>
      <c r="I71" s="1535"/>
      <c r="J71" s="1535"/>
      <c r="K71" s="1535"/>
      <c r="L71" s="1535"/>
      <c r="X71" s="1527"/>
      <c r="Y71" s="1527"/>
      <c r="Z71" s="1527"/>
    </row>
    <row r="72" spans="1:26" s="1499" customFormat="1" ht="13.5" thickBot="1">
      <c r="A72" s="1495" t="s">
        <v>1206</v>
      </c>
      <c r="B72" s="1541">
        <f t="shared" si="102"/>
        <v>103</v>
      </c>
      <c r="C72" s="1541">
        <f t="shared" si="102"/>
        <v>104</v>
      </c>
      <c r="D72" s="1541">
        <f t="shared" si="64"/>
        <v>104</v>
      </c>
      <c r="E72" s="1541">
        <f t="shared" si="103"/>
        <v>103.5</v>
      </c>
      <c r="F72" s="1541">
        <f t="shared" si="103"/>
        <v>100.5</v>
      </c>
      <c r="G72" s="3351">
        <v>2002</v>
      </c>
      <c r="H72" s="1542">
        <v>1</v>
      </c>
      <c r="I72" s="1543"/>
      <c r="J72" s="1543"/>
      <c r="K72" s="1543"/>
      <c r="L72" s="1543"/>
      <c r="N72" s="1544"/>
      <c r="S72" s="1544"/>
      <c r="X72" s="1545"/>
      <c r="Y72" s="1545"/>
      <c r="Z72" s="1545"/>
    </row>
    <row r="73" spans="1:26" ht="13.5" thickBot="1">
      <c r="B73" s="1546">
        <v>102</v>
      </c>
      <c r="C73" s="1547">
        <v>103</v>
      </c>
      <c r="D73" s="1547">
        <f t="shared" si="64"/>
        <v>103</v>
      </c>
      <c r="E73" s="1547">
        <v>103</v>
      </c>
      <c r="F73" s="1548">
        <v>100</v>
      </c>
      <c r="I73" s="1535"/>
      <c r="J73" s="1535"/>
      <c r="K73" s="1535"/>
      <c r="L73" s="1535"/>
      <c r="N73" s="1536"/>
      <c r="O73" s="1535"/>
      <c r="P73" s="1535"/>
      <c r="Q73" s="1535"/>
      <c r="S73" s="1536"/>
      <c r="T73" s="1535"/>
      <c r="U73" s="1535"/>
      <c r="V73" s="1535"/>
      <c r="X73" s="1477"/>
      <c r="Y73" s="1477"/>
      <c r="Z73" s="1477"/>
    </row>
    <row r="75" spans="1:26" s="1550" customFormat="1">
      <c r="A75" s="1549" t="s">
        <v>1207</v>
      </c>
      <c r="G75" s="1551"/>
      <c r="N75" s="1551"/>
      <c r="S75" s="1551"/>
    </row>
    <row r="76" spans="1:26" s="1550" customFormat="1">
      <c r="A76" s="1550" t="s">
        <v>1208</v>
      </c>
      <c r="G76" s="1551"/>
      <c r="N76" s="1551"/>
      <c r="S76" s="1551"/>
    </row>
    <row r="77" spans="1:26" s="1550" customFormat="1">
      <c r="A77" s="1550" t="s">
        <v>1209</v>
      </c>
      <c r="G77" s="1551"/>
      <c r="I77" s="1552"/>
      <c r="J77" s="1552"/>
      <c r="K77" s="1552"/>
      <c r="L77" s="1552"/>
      <c r="N77" s="1553"/>
      <c r="O77" s="1552"/>
      <c r="P77" s="1552"/>
      <c r="Q77" s="1552"/>
      <c r="S77" s="1553"/>
      <c r="T77" s="1552"/>
      <c r="U77" s="1552"/>
      <c r="V77" s="1552"/>
    </row>
    <row r="78" spans="1:26" s="1550" customFormat="1">
      <c r="A78" s="1550" t="s">
        <v>1210</v>
      </c>
      <c r="G78" s="1551"/>
      <c r="N78" s="1551"/>
      <c r="S78" s="1551"/>
    </row>
    <row r="85" spans="7:22" ht="13.5" thickBot="1"/>
    <row r="86" spans="7:22">
      <c r="G86" s="1472"/>
      <c r="S86" s="1554" t="s">
        <v>1211</v>
      </c>
      <c r="T86" s="1555" t="s">
        <v>1212</v>
      </c>
      <c r="U86" s="1555" t="s">
        <v>1213</v>
      </c>
      <c r="V86" s="1555" t="s">
        <v>1214</v>
      </c>
    </row>
    <row r="87" spans="7:22">
      <c r="G87" s="1472"/>
      <c r="N87" s="1476"/>
      <c r="O87" s="1477"/>
      <c r="P87" s="1477"/>
      <c r="Q87" s="1477"/>
      <c r="S87" s="1556">
        <v>2006</v>
      </c>
      <c r="T87" s="1557">
        <v>15.1</v>
      </c>
      <c r="U87" s="1557">
        <v>7.43</v>
      </c>
      <c r="V87" s="1557">
        <v>26.26</v>
      </c>
    </row>
    <row r="88" spans="7:22">
      <c r="G88" s="1472"/>
      <c r="N88" s="1476"/>
      <c r="O88" s="1477"/>
      <c r="P88" s="1477"/>
      <c r="Q88" s="1477"/>
      <c r="S88" s="1558">
        <v>2005</v>
      </c>
      <c r="T88" s="1559">
        <v>13.9</v>
      </c>
      <c r="U88" s="1559">
        <v>7.49</v>
      </c>
      <c r="V88" s="1559">
        <v>24.92</v>
      </c>
    </row>
    <row r="89" spans="7:22">
      <c r="G89" s="1472"/>
      <c r="N89" s="1476"/>
      <c r="O89" s="1477"/>
      <c r="P89" s="1477"/>
      <c r="Q89" s="1477"/>
      <c r="S89" s="1556">
        <v>2004</v>
      </c>
      <c r="T89" s="1557">
        <v>9.48</v>
      </c>
      <c r="U89" s="1557">
        <v>7.2</v>
      </c>
      <c r="V89" s="1557">
        <v>14.68</v>
      </c>
    </row>
    <row r="90" spans="7:22">
      <c r="G90" s="1472"/>
      <c r="N90" s="1476"/>
      <c r="O90" s="1477"/>
      <c r="P90" s="1477"/>
      <c r="Q90" s="1477"/>
      <c r="S90" s="1558">
        <v>2003</v>
      </c>
      <c r="T90" s="1559">
        <v>4.5</v>
      </c>
      <c r="U90" s="1559">
        <v>6.12</v>
      </c>
      <c r="V90" s="1559">
        <v>2.34</v>
      </c>
    </row>
    <row r="91" spans="7:22" ht="13.5" thickBot="1">
      <c r="G91" s="1472"/>
      <c r="N91" s="1476"/>
      <c r="O91" s="1477"/>
      <c r="P91" s="1477"/>
      <c r="Q91" s="1477"/>
      <c r="S91" s="1560">
        <v>2002</v>
      </c>
      <c r="T91" s="1561">
        <v>3.59</v>
      </c>
      <c r="U91" s="1561">
        <v>4.54</v>
      </c>
      <c r="V91" s="1561">
        <v>2.5499999999999998</v>
      </c>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row>
    <row r="101" spans="7:19">
      <c r="G101" s="1472"/>
      <c r="N101" s="1476"/>
      <c r="O101" s="1477"/>
      <c r="P101" s="1477"/>
      <c r="Q101" s="1477"/>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row r="106" spans="7:19">
      <c r="G106" s="1472"/>
      <c r="N106" s="1476"/>
      <c r="O106" s="1477"/>
      <c r="P106" s="1477"/>
      <c r="Q106" s="1477"/>
      <c r="S106" s="1472"/>
    </row>
    <row r="107" spans="7:19">
      <c r="G107" s="1472"/>
      <c r="N107" s="1476"/>
      <c r="O107" s="1477"/>
      <c r="P107" s="1477"/>
      <c r="Q107" s="1477"/>
      <c r="S107" s="1472"/>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0" zoomScale="70" zoomScaleNormal="70" zoomScaleSheetLayoutView="90" workbookViewId="0">
      <selection activeCell="K49" sqref="K4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0"/>
      <c r="C1" s="1835" t="s">
        <v>27</v>
      </c>
      <c r="D1" s="1818" t="s">
        <v>70</v>
      </c>
      <c r="E1" s="1819" t="s">
        <v>1383</v>
      </c>
      <c r="F1" s="1284">
        <f ca="1">J53</f>
        <v>44.68</v>
      </c>
      <c r="G1" s="1834">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1511</v>
      </c>
      <c r="B2" s="1842">
        <f ca="1">C40+J29+L46</f>
        <v>66616</v>
      </c>
      <c r="C2" s="1843" t="s">
        <v>1512</v>
      </c>
      <c r="D2" s="1843"/>
      <c r="E2" s="1844"/>
      <c r="F2" s="1845"/>
      <c r="G2" s="1846"/>
      <c r="H2" s="1838"/>
      <c r="I2" s="1838"/>
      <c r="J2" s="1838"/>
      <c r="K2" s="1839"/>
      <c r="L2" s="1838"/>
      <c r="M2" s="1838"/>
    </row>
    <row r="3" spans="1:37" ht="18" customHeight="1" thickBot="1">
      <c r="A3" s="1847" t="s">
        <v>1513</v>
      </c>
      <c r="B3" s="1848">
        <f ca="1">IF(ISERROR(B2*10000/F43),0,ROUND(B2*10000/F43,0))</f>
        <v>20943</v>
      </c>
      <c r="C3" s="1843" t="s">
        <v>1514</v>
      </c>
      <c r="D3" s="1843"/>
      <c r="E3" s="1844"/>
      <c r="F3" s="1845"/>
      <c r="G3" s="1846"/>
      <c r="H3" s="742"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3">
        <f ca="1">C6+C10+C12</f>
        <v>3139</v>
      </c>
      <c r="D5" s="1820" t="s">
        <v>1398</v>
      </c>
      <c r="E5" s="1294"/>
      <c r="F5" s="1295"/>
      <c r="G5" s="1849"/>
      <c r="H5" s="344">
        <v>1</v>
      </c>
      <c r="I5" s="345" t="s">
        <v>1397</v>
      </c>
      <c r="J5" s="1293">
        <f ca="1">J6+J10+J12</f>
        <v>0</v>
      </c>
      <c r="K5" s="1820" t="s">
        <v>1398</v>
      </c>
      <c r="L5" s="1294"/>
      <c r="M5" s="1295"/>
    </row>
    <row r="6" spans="1:37" ht="18" customHeight="1">
      <c r="A6" s="1292" t="s">
        <v>1032</v>
      </c>
      <c r="B6" s="3275" t="s">
        <v>1399</v>
      </c>
      <c r="C6" s="1297">
        <f ca="1">ROUND(F6*F8*F7*(1-F9)/10000,0)</f>
        <v>3135</v>
      </c>
      <c r="D6" s="164" t="s">
        <v>3030</v>
      </c>
      <c r="E6" s="347" t="s">
        <v>1401</v>
      </c>
      <c r="F6" s="348">
        <f ca="1">INDIRECT("'数据-取费表'!u"&amp;$G$1)</f>
        <v>3</v>
      </c>
      <c r="G6" s="1849"/>
      <c r="H6" s="1292" t="s">
        <v>1032</v>
      </c>
      <c r="I6" s="3275" t="s">
        <v>1399</v>
      </c>
      <c r="J6" s="346">
        <f ca="1">ROUND(M6*M8*M7*(1-M9)/10000,0)</f>
        <v>0</v>
      </c>
      <c r="K6" s="164" t="s">
        <v>3029</v>
      </c>
      <c r="L6" s="347" t="s">
        <v>1401</v>
      </c>
      <c r="M6" s="348">
        <f ca="1">INDIRECT("'数据-取费表'!z"&amp;$G$1)</f>
        <v>0</v>
      </c>
    </row>
    <row r="7" spans="1:37" ht="18" customHeight="1">
      <c r="A7" s="1296"/>
      <c r="B7" s="3276"/>
      <c r="C7" s="1298"/>
      <c r="D7" s="352"/>
      <c r="E7" s="1299" t="s">
        <v>1402</v>
      </c>
      <c r="F7" s="348">
        <f ca="1">IF(INDIRECT("'数据-取费表'!ah"&amp;$G$1)="",INDIRECT("'数据-取费表'!k"&amp;$G$1),INDIRECT("'数据-取费表'!ah"&amp;$G$1))</f>
        <v>31807.97</v>
      </c>
      <c r="G7" s="1849"/>
      <c r="H7" s="349"/>
      <c r="I7" s="3276"/>
      <c r="J7" s="351"/>
      <c r="K7" s="352"/>
      <c r="L7" s="347" t="s">
        <v>1402</v>
      </c>
      <c r="M7" s="348">
        <f ca="1">F7</f>
        <v>31807.97</v>
      </c>
    </row>
    <row r="8" spans="1:37" ht="18" customHeight="1">
      <c r="A8" s="349"/>
      <c r="B8" s="3276"/>
      <c r="C8" s="351"/>
      <c r="D8" s="352"/>
      <c r="E8" s="347" t="s">
        <v>1403</v>
      </c>
      <c r="F8" s="348">
        <f ca="1">INDIRECT("'数据-取费表'!ai"&amp;$G$1)</f>
        <v>365</v>
      </c>
      <c r="G8" s="1849"/>
      <c r="H8" s="349"/>
      <c r="I8" s="3276"/>
      <c r="J8" s="351"/>
      <c r="K8" s="352"/>
      <c r="L8" s="347" t="s">
        <v>1403</v>
      </c>
      <c r="M8" s="348">
        <f ca="1">INDIRECT("'数据-取费表'!ai"&amp;$G$1)</f>
        <v>365</v>
      </c>
    </row>
    <row r="9" spans="1:37" ht="18" customHeight="1">
      <c r="A9" s="349"/>
      <c r="B9" s="3277"/>
      <c r="C9" s="351"/>
      <c r="D9" s="352"/>
      <c r="E9" s="347" t="s">
        <v>1404</v>
      </c>
      <c r="F9" s="357">
        <f ca="1">INDIRECT("'数据-取费表'!w"&amp;$G$1)</f>
        <v>0.1</v>
      </c>
      <c r="G9" s="1849"/>
      <c r="H9" s="349"/>
      <c r="I9" s="3277"/>
      <c r="J9" s="351"/>
      <c r="K9" s="352"/>
      <c r="L9" s="358" t="s">
        <v>1404</v>
      </c>
      <c r="M9" s="359">
        <f ca="1">INDIRECT("'数据-取费表'!ab"&amp;$G$1)</f>
        <v>0</v>
      </c>
    </row>
    <row r="10" spans="1:37" ht="18" customHeight="1">
      <c r="A10" s="1292" t="s">
        <v>1036</v>
      </c>
      <c r="B10" s="1821" t="s">
        <v>1405</v>
      </c>
      <c r="C10" s="361">
        <f ca="1">ROUND(IF(F10="押一",C6/12*F11,IF(F10="押二",C6/12*2*F11,IF(F10="押三",C6/12*3*F11,C11*F11))),0)</f>
        <v>4</v>
      </c>
      <c r="D10" s="1822" t="s">
        <v>3039</v>
      </c>
      <c r="E10" s="358" t="s">
        <v>1406</v>
      </c>
      <c r="F10" s="1367" t="s">
        <v>3073</v>
      </c>
      <c r="G10" s="1849"/>
      <c r="H10" s="1292" t="s">
        <v>1036</v>
      </c>
      <c r="I10" s="1821" t="s">
        <v>1405</v>
      </c>
      <c r="J10" s="346">
        <f ca="1">ROUND(IF(M10="押一",J6/12*M11,IF(M10="押二",J6/12*2*M11,IF(M10="押三",J6/12*3*M11,J11*M11))),0)</f>
        <v>0</v>
      </c>
      <c r="K10" s="1822" t="s">
        <v>3038</v>
      </c>
      <c r="L10" s="358" t="s">
        <v>1406</v>
      </c>
      <c r="M10" s="1367" t="s">
        <v>1407</v>
      </c>
    </row>
    <row r="11" spans="1:37" ht="18" customHeight="1">
      <c r="A11" s="353"/>
      <c r="B11" s="1823" t="s">
        <v>1384</v>
      </c>
      <c r="C11" s="1179"/>
      <c r="D11" s="1824"/>
      <c r="E11" s="358" t="s">
        <v>1408</v>
      </c>
      <c r="F11" s="359">
        <f ca="1">'数据-取费表'!B39</f>
        <v>1.4999999999999999E-2</v>
      </c>
      <c r="G11" s="1849"/>
      <c r="H11" s="1300"/>
      <c r="I11" s="1823" t="s">
        <v>1384</v>
      </c>
      <c r="J11" s="1179"/>
      <c r="K11" s="746"/>
      <c r="L11" s="358" t="s">
        <v>1408</v>
      </c>
      <c r="M11" s="1057">
        <f ca="1">'数据-取费表'!B39</f>
        <v>1.4999999999999999E-2</v>
      </c>
    </row>
    <row r="12" spans="1:37" ht="18" customHeight="1" thickBot="1">
      <c r="A12" s="1334" t="s">
        <v>1072</v>
      </c>
      <c r="B12" s="1825" t="s">
        <v>1409</v>
      </c>
      <c r="C12" s="1335"/>
      <c r="D12" s="1336"/>
      <c r="E12" s="1341"/>
      <c r="F12" s="1337"/>
      <c r="G12" s="1849"/>
      <c r="H12" s="1334" t="s">
        <v>1072</v>
      </c>
      <c r="I12" s="1825" t="s">
        <v>1409</v>
      </c>
      <c r="J12" s="1335"/>
      <c r="K12" s="1349"/>
      <c r="L12" s="1341"/>
      <c r="M12" s="1350"/>
    </row>
    <row r="13" spans="1:37" ht="18" customHeight="1" thickTop="1">
      <c r="A13" s="1330">
        <v>2</v>
      </c>
      <c r="B13" s="1331" t="s">
        <v>1410</v>
      </c>
      <c r="C13" s="355">
        <f ca="1">ROUND(C29*F13,0)</f>
        <v>13712</v>
      </c>
      <c r="D13" s="1332" t="s">
        <v>1411</v>
      </c>
      <c r="E13" s="1332" t="s">
        <v>1412</v>
      </c>
      <c r="F13" s="1333">
        <f ca="1">INDIRECT("'数据-取费表'!y"&amp;$G$1)</f>
        <v>1</v>
      </c>
      <c r="G13" s="1849"/>
      <c r="H13" s="1330">
        <v>2</v>
      </c>
      <c r="I13" s="1331" t="s">
        <v>1410</v>
      </c>
      <c r="J13" s="1291">
        <f ca="1">ROUND(J14*J15,0)</f>
        <v>0</v>
      </c>
      <c r="K13" s="1338" t="s">
        <v>1411</v>
      </c>
      <c r="L13" s="1850"/>
      <c r="M13" s="1851"/>
    </row>
    <row r="14" spans="1:37" ht="18" customHeight="1">
      <c r="A14" s="1202" t="s">
        <v>1031</v>
      </c>
      <c r="B14" s="347" t="s">
        <v>1413</v>
      </c>
      <c r="C14" s="363">
        <f ca="1">INDIRECT("'数据-取费表'!m"&amp;$G$1)+INDIRECT("'数据-取费表'!t"&amp;$G$1)</f>
        <v>8906</v>
      </c>
      <c r="D14" s="1798" t="s">
        <v>1414</v>
      </c>
      <c r="E14" s="1792"/>
      <c r="F14" s="364"/>
      <c r="G14" s="1849"/>
      <c r="H14" s="1202" t="s">
        <v>1032</v>
      </c>
      <c r="I14" s="347" t="s">
        <v>1415</v>
      </c>
      <c r="J14" s="24">
        <f ca="1">C29</f>
        <v>13712</v>
      </c>
      <c r="K14" s="15"/>
      <c r="L14" s="980"/>
      <c r="M14" s="981"/>
    </row>
    <row r="15" spans="1:37" s="1856" customFormat="1" ht="18" customHeight="1" thickBot="1">
      <c r="A15" s="1202" t="s">
        <v>1033</v>
      </c>
      <c r="B15" s="347" t="s">
        <v>1416</v>
      </c>
      <c r="C15" s="24">
        <f ca="1">ROUND(C14*F15,0)</f>
        <v>267</v>
      </c>
      <c r="D15" s="365" t="s">
        <v>1417</v>
      </c>
      <c r="E15" s="365" t="s">
        <v>1418</v>
      </c>
      <c r="F15" s="366">
        <f>'数据-取费表'!B33</f>
        <v>0.03</v>
      </c>
      <c r="G15" s="1852"/>
      <c r="H15" s="1340" t="s">
        <v>1036</v>
      </c>
      <c r="I15" s="1341" t="s">
        <v>1412</v>
      </c>
      <c r="J15" s="1350">
        <f ca="1">INDIRECT("'数据-取费表'!ad"&amp;$G$1)</f>
        <v>0</v>
      </c>
      <c r="K15" s="1351"/>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1385</v>
      </c>
      <c r="B16" s="347" t="s">
        <v>1419</v>
      </c>
      <c r="C16" s="24">
        <f ca="1">ROUND(INDIRECT("'数据-取费表'!m"&amp;$G$1)*F16,0)</f>
        <v>0</v>
      </c>
      <c r="D16" s="347" t="s">
        <v>1417</v>
      </c>
      <c r="E16" s="347" t="s">
        <v>1418</v>
      </c>
      <c r="F16" s="367">
        <f ca="1">IF(INDIRECT("'数据-取费表'!c"&amp;$G$1)="住宅",'数据-取费表'!B34,0)</f>
        <v>0</v>
      </c>
      <c r="G16" s="1849"/>
      <c r="H16" s="1330" t="s">
        <v>1027</v>
      </c>
      <c r="I16" s="1331" t="s">
        <v>1420</v>
      </c>
      <c r="J16" s="355">
        <f ca="1">ROUND(J17+J22+J23+J24,0)</f>
        <v>324</v>
      </c>
      <c r="K16" s="1338" t="s">
        <v>1421</v>
      </c>
      <c r="L16" s="1339"/>
      <c r="M16" s="1295"/>
    </row>
    <row r="17" spans="1:37" s="1856" customFormat="1" ht="18" customHeight="1">
      <c r="A17" s="1202" t="s">
        <v>1386</v>
      </c>
      <c r="B17" s="347" t="s">
        <v>1422</v>
      </c>
      <c r="C17" s="24">
        <f ca="1">ROUND(F17*(F43+INDIRECT("'数据-取费表'!S"&amp;$G$1))/10000,0)</f>
        <v>636</v>
      </c>
      <c r="D17" s="347" t="s">
        <v>1423</v>
      </c>
      <c r="E17" s="347" t="s">
        <v>1424</v>
      </c>
      <c r="F17" s="26">
        <f>'数据-取费表'!B35</f>
        <v>200</v>
      </c>
      <c r="G17" s="1852"/>
      <c r="H17" s="1202" t="s">
        <v>1032</v>
      </c>
      <c r="I17" s="347" t="s">
        <v>1425</v>
      </c>
      <c r="J17" s="24">
        <f ca="1">ROUND(IF(项目基本情况!B11="自然人",J5*M17,J18+J19+J20),1)</f>
        <v>118.3</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1387</v>
      </c>
      <c r="B18" s="347" t="s">
        <v>1428</v>
      </c>
      <c r="C18" s="24">
        <f ca="1">ROUND(C14*F18,0)</f>
        <v>134</v>
      </c>
      <c r="D18" s="347" t="s">
        <v>1417</v>
      </c>
      <c r="E18" s="347" t="s">
        <v>1418</v>
      </c>
      <c r="F18" s="367">
        <f>'数据-取费表'!B36</f>
        <v>1.4999999999999999E-2</v>
      </c>
      <c r="G18" s="1852"/>
      <c r="H18" s="1202" t="s">
        <v>1031</v>
      </c>
      <c r="I18" s="347" t="s">
        <v>1429</v>
      </c>
      <c r="J18" s="24">
        <f ca="1">ROUND(J5*M18/(1+'数据-取费表'!C42),2)</f>
        <v>0</v>
      </c>
      <c r="K18" s="1796"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1032</v>
      </c>
      <c r="B19" s="347" t="s">
        <v>1431</v>
      </c>
      <c r="C19" s="24">
        <f ca="1">SUM(C14:C18)</f>
        <v>9943</v>
      </c>
      <c r="D19" s="140" t="s">
        <v>1432</v>
      </c>
      <c r="E19" s="1816"/>
      <c r="F19" s="26"/>
      <c r="G19" s="1849"/>
      <c r="H19" s="1202" t="s">
        <v>1033</v>
      </c>
      <c r="I19" s="347" t="s">
        <v>1433</v>
      </c>
      <c r="J19" s="24">
        <f ca="1">IF(K19="按租金收入计税",ROUND(J5*M19,2),ROUND(C29*M19*0.7,2))</f>
        <v>115.18</v>
      </c>
      <c r="K19" s="1826" t="s">
        <v>1434</v>
      </c>
      <c r="L19" s="347" t="s">
        <v>1418</v>
      </c>
      <c r="M19" s="367">
        <f>IF(K19="按租金收入计税",'数据-取费表'!B51,'数据-取费表'!B50)</f>
        <v>1.2E-2</v>
      </c>
    </row>
    <row r="20" spans="1:37" s="1856" customFormat="1" ht="18" customHeight="1">
      <c r="A20" s="1202" t="s">
        <v>1036</v>
      </c>
      <c r="B20" s="347" t="s">
        <v>1435</v>
      </c>
      <c r="C20" s="24">
        <f ca="1">ROUND(C19*F20,0)</f>
        <v>199</v>
      </c>
      <c r="D20" s="369" t="s">
        <v>1436</v>
      </c>
      <c r="E20" s="347" t="s">
        <v>1418</v>
      </c>
      <c r="F20" s="367">
        <f>'数据-取费表'!B37</f>
        <v>0.02</v>
      </c>
      <c r="G20" s="1852"/>
      <c r="H20" s="1202" t="s">
        <v>1385</v>
      </c>
      <c r="I20" s="164" t="s">
        <v>1437</v>
      </c>
      <c r="J20" s="25">
        <f ca="1">ROUND(M20*M21/10000,2)</f>
        <v>3.1</v>
      </c>
      <c r="K20" s="370" t="s">
        <v>1438</v>
      </c>
      <c r="L20" s="347" t="s">
        <v>1439</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1072</v>
      </c>
      <c r="B21" s="347" t="s">
        <v>1440</v>
      </c>
      <c r="C21" s="24" t="s">
        <v>18</v>
      </c>
      <c r="D21" s="369" t="s">
        <v>1441</v>
      </c>
      <c r="E21" s="347" t="s">
        <v>1442</v>
      </c>
      <c r="F21" s="367">
        <f>'数据-取费表'!B38</f>
        <v>0.02</v>
      </c>
      <c r="G21" s="1852"/>
      <c r="H21" s="372"/>
      <c r="I21" s="356"/>
      <c r="J21" s="29"/>
      <c r="K21" s="373"/>
      <c r="L21" s="347" t="s">
        <v>1443</v>
      </c>
      <c r="M21" s="348">
        <f ca="1">INDIRECT("'数据-取费表'!r"&amp;$G$1)</f>
        <v>10333.02</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1388</v>
      </c>
      <c r="B22" s="347" t="s">
        <v>1444</v>
      </c>
      <c r="C22" s="24"/>
      <c r="D22" s="140" t="str">
        <f>IF(F23&lt;=1,"单利计息。","复利计息。")&amp;"建造成本、管理费用、销售费用产生的利息。"</f>
        <v>复利计息。建造成本、管理费用、销售费用产生的利息。</v>
      </c>
      <c r="E22" s="1816"/>
      <c r="F22" s="26"/>
      <c r="G22" s="1849"/>
      <c r="H22" s="1202" t="s">
        <v>1036</v>
      </c>
      <c r="I22" s="347" t="s">
        <v>1445</v>
      </c>
      <c r="J22" s="24">
        <f ca="1">ROUND(J14*M22,1)</f>
        <v>205.7</v>
      </c>
      <c r="K22" s="1796" t="s">
        <v>1446</v>
      </c>
      <c r="L22" s="347" t="s">
        <v>1418</v>
      </c>
      <c r="M22" s="374">
        <f ca="1">INDIRECT("'数据-取费表'!Ak"&amp;$G$1)</f>
        <v>1.4999999999999999E-2</v>
      </c>
    </row>
    <row r="23" spans="1:37" s="1856" customFormat="1" ht="18" customHeight="1">
      <c r="A23" s="1202" t="s">
        <v>1031</v>
      </c>
      <c r="B23" s="347" t="s">
        <v>1447</v>
      </c>
      <c r="C23" s="24">
        <f ca="1">IF('数据-取费表'!B22&lt;=1,ROUND(C19*F24*F23/2,0)+ROUND(C20*F24*F23/2,0),ROUND(C19*(POWER((1+F24),F23/2)-1),0)+ROUND(C20*(POWER((1+F24),F23/2)-1),0))</f>
        <v>481</v>
      </c>
      <c r="D23" s="375" t="str">
        <f>IF(F23&lt;=1,"(建造成本+管理费用)×利率×(建设周期÷2)","(建造成本+管理费用)×((1+利率)^(建设周期÷2)-1)")</f>
        <v>(建造成本+管理费用)×((1+利率)^(建设周期÷2)-1)</v>
      </c>
      <c r="E23" s="347" t="s">
        <v>1448</v>
      </c>
      <c r="F23" s="371">
        <f>'数据-取费表'!B20</f>
        <v>2</v>
      </c>
      <c r="G23" s="1852"/>
      <c r="H23" s="1202" t="s">
        <v>1072</v>
      </c>
      <c r="I23" s="347" t="s">
        <v>1449</v>
      </c>
      <c r="J23" s="24">
        <f ca="1">ROUND(J13*M23,1)</f>
        <v>0</v>
      </c>
      <c r="K23" s="1796" t="s">
        <v>1450</v>
      </c>
      <c r="L23" s="347" t="s">
        <v>1451</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40" t="s">
        <v>1389</v>
      </c>
      <c r="I24" s="1341" t="s">
        <v>1435</v>
      </c>
      <c r="J24" s="1342">
        <f ca="1">ROUND(J5*M24,1)</f>
        <v>0</v>
      </c>
      <c r="K24" s="1343" t="s">
        <v>1455</v>
      </c>
      <c r="L24" s="1341" t="s">
        <v>1451</v>
      </c>
      <c r="M24" s="1337">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2" t="s">
        <v>1456</v>
      </c>
      <c r="B25" s="347" t="s">
        <v>1457</v>
      </c>
      <c r="C25" s="24"/>
      <c r="D25" s="140" t="s">
        <v>1458</v>
      </c>
      <c r="E25" s="1816"/>
      <c r="F25" s="26"/>
      <c r="G25" s="1849"/>
      <c r="H25" s="1330" t="s">
        <v>1028</v>
      </c>
      <c r="I25" s="1345" t="s">
        <v>1459</v>
      </c>
      <c r="J25" s="355">
        <f ca="1">J5-J16</f>
        <v>-324</v>
      </c>
      <c r="K25" s="1346" t="s">
        <v>1460</v>
      </c>
      <c r="L25" s="1347"/>
      <c r="M25" s="1348"/>
    </row>
    <row r="26" spans="1:37">
      <c r="A26" s="1202" t="s">
        <v>1031</v>
      </c>
      <c r="B26" s="347" t="s">
        <v>1461</v>
      </c>
      <c r="C26" s="24">
        <f ca="1">ROUND((C19+C20)*F26,0)</f>
        <v>2028</v>
      </c>
      <c r="D26" s="369" t="s">
        <v>1462</v>
      </c>
      <c r="E26" s="358" t="s">
        <v>1463</v>
      </c>
      <c r="F26" s="357">
        <f ca="1">INDIRECT("'数据-取费表'!q"&amp;$G$1)</f>
        <v>0.2</v>
      </c>
      <c r="G26" s="1849"/>
      <c r="H26" s="344" t="s">
        <v>1029</v>
      </c>
      <c r="I26" s="345" t="s">
        <v>1464</v>
      </c>
      <c r="J26" s="346">
        <f ca="1">IF(J5&lt;&gt;0,ROUND(J25*(1-((1+M28)/(1+M26))^M27)/(M26-M28),0),0)</f>
        <v>0</v>
      </c>
      <c r="K26" s="370" t="s">
        <v>1465</v>
      </c>
      <c r="L26" s="347" t="s">
        <v>1466</v>
      </c>
      <c r="M26" s="357">
        <f ca="1">INDIRECT("'数据-取费表'!I"&amp;$G$1)</f>
        <v>0.05</v>
      </c>
    </row>
    <row r="27" spans="1:37" ht="18" customHeight="1">
      <c r="A27" s="1202" t="s">
        <v>1033</v>
      </c>
      <c r="B27" s="347" t="s">
        <v>1467</v>
      </c>
      <c r="C27" s="24">
        <f ca="1">ROUND(F21*F26,4)</f>
        <v>4.0000000000000001E-3</v>
      </c>
      <c r="D27" s="369" t="s">
        <v>1468</v>
      </c>
      <c r="E27" s="365"/>
      <c r="F27" s="366"/>
      <c r="G27" s="1849"/>
      <c r="H27" s="349"/>
      <c r="I27" s="350"/>
      <c r="J27" s="351"/>
      <c r="K27" s="378" t="s">
        <v>1469</v>
      </c>
      <c r="L27" s="347" t="s">
        <v>1470</v>
      </c>
      <c r="M27" s="379">
        <f ca="1">INDIRECT("'数据-取费表'!ag"&amp;$G$1)</f>
        <v>0</v>
      </c>
    </row>
    <row r="28" spans="1:37" s="1856" customFormat="1" ht="18" customHeight="1">
      <c r="A28" s="1202" t="s">
        <v>1034</v>
      </c>
      <c r="B28" s="347" t="s">
        <v>1471</v>
      </c>
      <c r="C28" s="24">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40" t="s">
        <v>1035</v>
      </c>
      <c r="B29" s="1341" t="s">
        <v>1474</v>
      </c>
      <c r="C29" s="1342">
        <f ca="1">ROUND((C19+C20+C23+C26)/(1-F21-C24-C27-C28),0)</f>
        <v>13712</v>
      </c>
      <c r="D29" s="1343"/>
      <c r="E29" s="1341"/>
      <c r="F29" s="1344"/>
      <c r="G29" s="1852"/>
      <c r="H29" s="380" t="s">
        <v>1030</v>
      </c>
      <c r="I29" s="381" t="s">
        <v>1475</v>
      </c>
      <c r="J29" s="382">
        <f ca="1">ROUND(J26/(1+F40)^F41,0)</f>
        <v>0</v>
      </c>
      <c r="K29" s="383" t="s">
        <v>1476</v>
      </c>
      <c r="L29" s="384"/>
      <c r="M29" s="385">
        <f ca="1">INDIRECT("'数据-取费表'!k"&amp;$G$1)</f>
        <v>31807.97</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30" t="s">
        <v>1027</v>
      </c>
      <c r="B30" s="1331" t="s">
        <v>1420</v>
      </c>
      <c r="C30" s="355">
        <f ca="1">ROUND(C31+C36+C37+C38,0)</f>
        <v>833</v>
      </c>
      <c r="D30" s="1338" t="s">
        <v>1421</v>
      </c>
      <c r="E30" s="1339"/>
      <c r="F30" s="1295"/>
      <c r="G30" s="1849"/>
      <c r="H30" s="743"/>
      <c r="I30" s="744"/>
      <c r="J30" s="745"/>
      <c r="K30" s="746"/>
      <c r="L30" s="747"/>
      <c r="M30" s="748"/>
    </row>
    <row r="31" spans="1:37" ht="18" customHeight="1">
      <c r="A31" s="1202" t="s">
        <v>1032</v>
      </c>
      <c r="B31" s="347" t="s">
        <v>1425</v>
      </c>
      <c r="C31" s="24">
        <f ca="1">ROUND(IF(项目基本情况!B11="自然人",C5*F31,C32+C33+C34),1)</f>
        <v>544.20000000000005</v>
      </c>
      <c r="D31" s="1798" t="s">
        <v>1426</v>
      </c>
      <c r="E31" s="1796" t="s">
        <v>1477</v>
      </c>
      <c r="F31" s="368" t="str">
        <f ca="1">IF(项目基本情况!B11="企业","",IF(INDIRECT("'数据-取费表'!c"&amp;$G$1)="住宅",5%,IF(F6*F7*F8/12/(1+'数据-取费表'!C42)&gt;20000,12%,7%)))</f>
        <v/>
      </c>
      <c r="G31" s="1849"/>
      <c r="H31" s="743"/>
      <c r="I31" s="744"/>
      <c r="J31" s="745"/>
      <c r="K31" s="746"/>
      <c r="L31" s="747"/>
      <c r="M31" s="748"/>
    </row>
    <row r="32" spans="1:37" ht="18" customHeight="1">
      <c r="A32" s="1202" t="s">
        <v>1031</v>
      </c>
      <c r="B32" s="347" t="s">
        <v>1429</v>
      </c>
      <c r="C32" s="24">
        <f ca="1">IF(项目基本情况!B11="自然人","——",ROUND(C5*F32/(1+'数据-取费表'!C42),2))</f>
        <v>164.42</v>
      </c>
      <c r="D32" s="1796" t="s">
        <v>1430</v>
      </c>
      <c r="E32" s="347" t="s">
        <v>1418</v>
      </c>
      <c r="F32" s="377">
        <f>'数据-取费表'!B41</f>
        <v>5.5000000000000007E-2</v>
      </c>
      <c r="G32" s="1849"/>
      <c r="H32" s="743"/>
      <c r="I32" s="744"/>
      <c r="J32" s="745"/>
      <c r="K32" s="746"/>
      <c r="L32" s="747"/>
      <c r="M32" s="748"/>
    </row>
    <row r="33" spans="1:18" ht="18" customHeight="1">
      <c r="A33" s="1202" t="s">
        <v>1033</v>
      </c>
      <c r="B33" s="347" t="s">
        <v>1433</v>
      </c>
      <c r="C33" s="24">
        <f ca="1">IF(项目基本情况!B11="自然人","——",IF(D33="按租金收入计税",ROUND(C5*F33,2),IF(D33="按房产原值计税",ROUND(C29*F33*0.7,2),INDIRECT("'数据-取费表'!Aj"&amp;$G$1))))</f>
        <v>376.68</v>
      </c>
      <c r="D33" s="1826" t="s">
        <v>3072</v>
      </c>
      <c r="E33" s="347" t="s">
        <v>1418</v>
      </c>
      <c r="F33" s="367">
        <f>IF(D33="按票据","——",IF(D33="按租金收入计税",'数据-取费表'!B51,'数据-取费表'!B50))</f>
        <v>0.12</v>
      </c>
      <c r="G33" s="1849"/>
      <c r="H33" s="1857"/>
      <c r="I33" s="1858"/>
      <c r="J33" s="1859"/>
      <c r="K33" s="1860"/>
      <c r="L33" s="1857"/>
      <c r="M33" s="1857"/>
    </row>
    <row r="34" spans="1:18" ht="18" customHeight="1">
      <c r="A34" s="1292" t="s">
        <v>1385</v>
      </c>
      <c r="B34" s="164" t="s">
        <v>1437</v>
      </c>
      <c r="C34" s="25">
        <f ca="1">IF(项目基本情况!B11="自然人","——",ROUND(F34*F35/10000,2))</f>
        <v>3.1</v>
      </c>
      <c r="D34" s="370" t="s">
        <v>1438</v>
      </c>
      <c r="E34" s="347" t="s">
        <v>1439</v>
      </c>
      <c r="F34" s="371">
        <f>'数据-取费表'!B52</f>
        <v>3</v>
      </c>
      <c r="G34" s="1849"/>
      <c r="H34" s="743"/>
      <c r="I34" s="1858"/>
      <c r="J34" s="1859"/>
      <c r="K34" s="1861"/>
      <c r="L34" s="1862"/>
      <c r="M34" s="1862"/>
    </row>
    <row r="35" spans="1:18" ht="18" customHeight="1">
      <c r="A35" s="1354"/>
      <c r="B35" s="1352"/>
      <c r="C35" s="29"/>
      <c r="D35" s="373"/>
      <c r="E35" s="347" t="s">
        <v>1443</v>
      </c>
      <c r="F35" s="348">
        <f ca="1">INDIRECT("'数据-取费表'!r"&amp;$G$1)</f>
        <v>10333.02</v>
      </c>
      <c r="G35" s="1849"/>
      <c r="H35" s="743"/>
      <c r="I35" s="1858"/>
      <c r="J35" s="1859"/>
      <c r="K35" s="1860"/>
      <c r="L35" s="1857"/>
      <c r="M35" s="1857"/>
    </row>
    <row r="36" spans="1:18" ht="18" customHeight="1">
      <c r="A36" s="1353" t="s">
        <v>1036</v>
      </c>
      <c r="B36" s="347" t="s">
        <v>1445</v>
      </c>
      <c r="C36" s="24">
        <f ca="1">ROUND(C29*F36,1)</f>
        <v>205.7</v>
      </c>
      <c r="D36" s="1796" t="s">
        <v>1478</v>
      </c>
      <c r="E36" s="347" t="s">
        <v>1418</v>
      </c>
      <c r="F36" s="374">
        <f ca="1">INDIRECT("'数据-取费表'!Ak"&amp;$G$1)</f>
        <v>1.4999999999999999E-2</v>
      </c>
      <c r="G36" s="1849"/>
      <c r="H36" s="1857"/>
      <c r="I36" s="1858"/>
      <c r="J36" s="1859"/>
      <c r="K36" s="749"/>
      <c r="L36" s="1857"/>
      <c r="M36" s="1857"/>
    </row>
    <row r="37" spans="1:18" ht="18" customHeight="1">
      <c r="A37" s="1202" t="s">
        <v>1072</v>
      </c>
      <c r="B37" s="347" t="s">
        <v>1449</v>
      </c>
      <c r="C37" s="24">
        <f ca="1">ROUND(C13*F37,1)</f>
        <v>20.6</v>
      </c>
      <c r="D37" s="1796" t="s">
        <v>1450</v>
      </c>
      <c r="E37" s="347" t="s">
        <v>1451</v>
      </c>
      <c r="F37" s="376">
        <f ca="1">INDIRECT("'数据-取费表'!Al"&amp;$G$1)</f>
        <v>1.5E-3</v>
      </c>
      <c r="G37" s="1849"/>
      <c r="H37" s="1857"/>
      <c r="I37" s="1858"/>
      <c r="J37" s="1859"/>
      <c r="K37" s="749"/>
      <c r="L37" s="1857"/>
      <c r="M37" s="1857"/>
    </row>
    <row r="38" spans="1:18" ht="18" customHeight="1" thickBot="1">
      <c r="A38" s="1340" t="s">
        <v>1389</v>
      </c>
      <c r="B38" s="1341" t="s">
        <v>1435</v>
      </c>
      <c r="C38" s="1342">
        <f ca="1">ROUND(C5*F38,1)</f>
        <v>62.8</v>
      </c>
      <c r="D38" s="1343" t="s">
        <v>1455</v>
      </c>
      <c r="E38" s="1341" t="s">
        <v>1451</v>
      </c>
      <c r="F38" s="1337">
        <f ca="1">INDIRECT("'数据-取费表'!Am"&amp;$G$1)</f>
        <v>0.02</v>
      </c>
      <c r="G38" s="1849"/>
      <c r="H38" s="1857"/>
      <c r="I38" s="1858"/>
      <c r="J38" s="1859"/>
      <c r="K38" s="1863"/>
      <c r="L38" s="1857"/>
      <c r="M38" s="1857"/>
    </row>
    <row r="39" spans="1:18" ht="24.6" customHeight="1" thickTop="1">
      <c r="A39" s="1330" t="s">
        <v>1028</v>
      </c>
      <c r="B39" s="1345" t="s">
        <v>1479</v>
      </c>
      <c r="C39" s="355">
        <f ca="1">C5-C30</f>
        <v>2306</v>
      </c>
      <c r="D39" s="1346" t="s">
        <v>1480</v>
      </c>
      <c r="E39" s="1347"/>
      <c r="F39" s="1348"/>
      <c r="G39" s="1849"/>
      <c r="H39" s="1857"/>
      <c r="I39" s="1858"/>
      <c r="J39" s="1859"/>
      <c r="K39" s="1863"/>
      <c r="L39" s="1857"/>
      <c r="M39" s="1857"/>
    </row>
    <row r="40" spans="1:18" ht="18" customHeight="1">
      <c r="A40" s="344" t="s">
        <v>1029</v>
      </c>
      <c r="B40" s="345" t="s">
        <v>1481</v>
      </c>
      <c r="C40" s="346">
        <f ca="1">ROUND(C39*(1-((1+F42)/(1+F40))^F41)/(F40-F42),0)</f>
        <v>66473</v>
      </c>
      <c r="D40" s="370" t="s">
        <v>1465</v>
      </c>
      <c r="E40" s="347" t="s">
        <v>1466</v>
      </c>
      <c r="F40" s="357">
        <f ca="1">INDIRECT("'数据-取费表'!I"&amp;$G$1)</f>
        <v>0.05</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44.68</v>
      </c>
      <c r="G41" s="1849"/>
      <c r="H41" s="730"/>
      <c r="I41" s="1858"/>
      <c r="J41" s="1859"/>
      <c r="K41" s="749"/>
      <c r="L41" s="730"/>
      <c r="M41" s="730"/>
    </row>
    <row r="42" spans="1:18" ht="18" customHeight="1">
      <c r="A42" s="353"/>
      <c r="B42" s="354"/>
      <c r="C42" s="355"/>
      <c r="D42" s="373"/>
      <c r="E42" s="347" t="s">
        <v>1473</v>
      </c>
      <c r="F42" s="357">
        <f ca="1">INDIRECT("'数据-取费表'!v"&amp;$G$1)</f>
        <v>0.03</v>
      </c>
      <c r="G42" s="1849"/>
      <c r="H42" s="730"/>
      <c r="I42" s="1858"/>
      <c r="J42" s="1859"/>
      <c r="K42" s="749"/>
      <c r="L42" s="730"/>
      <c r="M42" s="730"/>
    </row>
    <row r="43" spans="1:18" ht="18" customHeight="1" thickBot="1">
      <c r="A43" s="380" t="s">
        <v>1030</v>
      </c>
      <c r="B43" s="381" t="s">
        <v>1483</v>
      </c>
      <c r="C43" s="382">
        <f ca="1">ROUND(C40*10000/F43,0)</f>
        <v>20898</v>
      </c>
      <c r="D43" s="383" t="s">
        <v>1484</v>
      </c>
      <c r="E43" s="384" t="s">
        <v>1485</v>
      </c>
      <c r="F43" s="385">
        <f ca="1">INDIRECT("'数据-取费表'!k"&amp;$G$1)</f>
        <v>31807.97</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1515</v>
      </c>
      <c r="P45" s="1837"/>
      <c r="Q45" s="1837"/>
      <c r="R45" s="1837"/>
    </row>
    <row r="46" spans="1:18" s="1840" customFormat="1" ht="13.5" thickBot="1">
      <c r="A46" s="1868" t="s">
        <v>1516</v>
      </c>
      <c r="C46" s="1869">
        <f ca="1">C68-C40</f>
        <v>-90971</v>
      </c>
      <c r="D46" s="1870" t="str">
        <f>C2</f>
        <v>万元</v>
      </c>
      <c r="E46" s="1864"/>
      <c r="F46" s="1864"/>
      <c r="I46" s="1871" t="s">
        <v>1517</v>
      </c>
      <c r="J46" s="1872"/>
      <c r="K46" s="1873"/>
      <c r="L46" s="1874">
        <f ca="1">IF(M47="住宅",0,IF(L48&gt;J51,L60,J60))</f>
        <v>143</v>
      </c>
      <c r="O46" s="1875" t="s">
        <v>1518</v>
      </c>
      <c r="P46" s="1876" t="s">
        <v>1519</v>
      </c>
      <c r="Q46" s="1877" t="s">
        <v>1520</v>
      </c>
      <c r="R46" s="1877" t="s">
        <v>1521</v>
      </c>
    </row>
    <row r="47" spans="1:18" s="1840" customFormat="1" ht="13.5" thickBot="1">
      <c r="A47" s="1166" t="s">
        <v>1392</v>
      </c>
      <c r="B47" s="1198" t="s">
        <v>1393</v>
      </c>
      <c r="C47" s="1368" t="s">
        <v>1394</v>
      </c>
      <c r="D47" s="1198" t="s">
        <v>1395</v>
      </c>
      <c r="E47" s="1280" t="s">
        <v>1396</v>
      </c>
      <c r="F47" s="1281"/>
      <c r="G47" s="790"/>
      <c r="I47" s="1878" t="s">
        <v>1522</v>
      </c>
      <c r="J47" s="1879" t="s">
        <v>3074</v>
      </c>
      <c r="K47" s="1880" t="s">
        <v>1523</v>
      </c>
      <c r="L47" s="1881">
        <f ca="1">INDIRECT("'数据-取费表'!d"&amp;$G$1)</f>
        <v>50</v>
      </c>
      <c r="M47" s="1836" t="str">
        <f>IF(ISNUMBER(FIND("住宅",C1)),"住宅","非住宅")</f>
        <v>非住宅</v>
      </c>
      <c r="O47" s="1882" t="s">
        <v>1037</v>
      </c>
      <c r="P47" s="1883" t="s">
        <v>1524</v>
      </c>
      <c r="Q47" s="1884">
        <f ca="1">C40+J29</f>
        <v>66473</v>
      </c>
      <c r="R47" s="1884" t="s">
        <v>1525</v>
      </c>
    </row>
    <row r="48" spans="1:18" s="1840" customFormat="1" ht="28.5" thickBot="1">
      <c r="A48" s="1361" t="s">
        <v>1132</v>
      </c>
      <c r="B48" s="345" t="s">
        <v>1397</v>
      </c>
      <c r="C48" s="1815">
        <f ca="1">C49+C53+C55</f>
        <v>0</v>
      </c>
      <c r="D48" s="1363"/>
      <c r="E48" s="1364"/>
      <c r="F48" s="1182"/>
      <c r="G48" s="790"/>
      <c r="H48" s="791"/>
      <c r="I48" s="1885" t="s">
        <v>1526</v>
      </c>
      <c r="J48" s="1886" t="s">
        <v>3075</v>
      </c>
      <c r="K48" s="1887" t="s">
        <v>1527</v>
      </c>
      <c r="L48" s="1888">
        <f ca="1">INDIRECT("'数据-取费表'!f"&amp;$G$1)</f>
        <v>44.68</v>
      </c>
      <c r="O48" s="1882" t="s">
        <v>1038</v>
      </c>
      <c r="P48" s="1883" t="s">
        <v>1528</v>
      </c>
      <c r="Q48" s="1884">
        <f ca="1">J60</f>
        <v>143</v>
      </c>
      <c r="R48" s="1884" t="s">
        <v>1529</v>
      </c>
    </row>
    <row r="49" spans="1:18" s="1840" customFormat="1" ht="13.5" thickBot="1">
      <c r="A49" s="1195" t="s">
        <v>1133</v>
      </c>
      <c r="B49" s="1827" t="s">
        <v>1486</v>
      </c>
      <c r="C49" s="1365">
        <f ca="1">ROUND(F49*F51*F50*(1-F52)/10000,0)</f>
        <v>0</v>
      </c>
      <c r="D49" s="1277" t="s">
        <v>3031</v>
      </c>
      <c r="E49" s="1828" t="s">
        <v>1487</v>
      </c>
      <c r="F49" s="1282"/>
      <c r="G49" s="1889"/>
      <c r="H49" s="791"/>
      <c r="I49" s="1885" t="s">
        <v>1530</v>
      </c>
      <c r="J49" s="1890">
        <v>2019</v>
      </c>
      <c r="K49" s="1887" t="s">
        <v>1531</v>
      </c>
      <c r="L49" s="1891"/>
      <c r="O49" s="1892" t="s">
        <v>1039</v>
      </c>
      <c r="P49" s="1883" t="s">
        <v>1532</v>
      </c>
      <c r="Q49" s="1884">
        <f ca="1">C29</f>
        <v>13712</v>
      </c>
      <c r="R49" s="1884" t="s">
        <v>1525</v>
      </c>
    </row>
    <row r="50" spans="1:18" s="1840" customFormat="1" ht="13.5" thickBot="1">
      <c r="A50" s="1196"/>
      <c r="B50" s="1199"/>
      <c r="C50" s="1369"/>
      <c r="D50" s="1173"/>
      <c r="E50" s="1278" t="s">
        <v>1402</v>
      </c>
      <c r="F50" s="1279">
        <f ca="1">F7</f>
        <v>31807.97</v>
      </c>
      <c r="H50" s="791"/>
      <c r="I50" s="1885" t="s">
        <v>1533</v>
      </c>
      <c r="J50" s="1893">
        <f>SUMPRODUCT((I63:I65=J47)*(J62:L62=J48)*(J63:L65))</f>
        <v>60</v>
      </c>
      <c r="K50" s="1887" t="s">
        <v>1534</v>
      </c>
      <c r="L50" s="1891"/>
      <c r="M50" s="1894"/>
      <c r="O50" s="1892" t="s">
        <v>1040</v>
      </c>
      <c r="P50" s="1883" t="s">
        <v>1535</v>
      </c>
      <c r="Q50" s="1895">
        <f ca="1">J58</f>
        <v>0.4</v>
      </c>
      <c r="R50" s="1884"/>
    </row>
    <row r="51" spans="1:18" s="1840" customFormat="1" ht="13.5" thickBot="1">
      <c r="A51" s="1197"/>
      <c r="B51" s="1199"/>
      <c r="C51" s="1200"/>
      <c r="D51" s="1173"/>
      <c r="E51" s="1201" t="s">
        <v>1403</v>
      </c>
      <c r="F51" s="348">
        <f ca="1">F8</f>
        <v>365</v>
      </c>
      <c r="I51" s="1896" t="s">
        <v>1536</v>
      </c>
      <c r="J51" s="1897">
        <f>IF(J49="",J50,J49+J50-YEAR('数据-取费表'!B2))</f>
        <v>60</v>
      </c>
      <c r="K51" s="1898" t="s">
        <v>1537</v>
      </c>
      <c r="L51" s="1899">
        <f ca="1">ROUND(-PV(INDIRECT("'数据-取费表'!h"&amp;$G$1),L48,(C39-C13*C76),0),0)</f>
        <v>23108</v>
      </c>
      <c r="M51" s="1900"/>
      <c r="O51" s="1892" t="s">
        <v>1041</v>
      </c>
      <c r="P51" s="1883" t="s">
        <v>1538</v>
      </c>
      <c r="Q51" s="1895">
        <f>J52</f>
        <v>8.5000000000000006E-2</v>
      </c>
      <c r="R51" s="1884"/>
    </row>
    <row r="52" spans="1:18" s="1840" customFormat="1" ht="13.5" thickBot="1">
      <c r="A52" s="1197"/>
      <c r="B52" s="1199"/>
      <c r="C52" s="1200"/>
      <c r="D52" s="1173"/>
      <c r="E52" s="1201" t="s">
        <v>1404</v>
      </c>
      <c r="F52" s="1276"/>
      <c r="I52" s="1901" t="s">
        <v>1539</v>
      </c>
      <c r="J52" s="1902">
        <v>8.5000000000000006E-2</v>
      </c>
      <c r="K52" s="1901" t="s">
        <v>1540</v>
      </c>
      <c r="L52" s="1902"/>
      <c r="O52" s="1892" t="s">
        <v>1042</v>
      </c>
      <c r="P52" s="1883" t="s">
        <v>1541</v>
      </c>
      <c r="Q52" s="1884">
        <f ca="1">J53</f>
        <v>44.68</v>
      </c>
      <c r="R52" s="1884" t="s">
        <v>1542</v>
      </c>
    </row>
    <row r="53" spans="1:18" s="1840" customFormat="1" ht="24.75" thickBot="1">
      <c r="A53" s="1406" t="s">
        <v>1134</v>
      </c>
      <c r="B53" s="1829" t="s">
        <v>1405</v>
      </c>
      <c r="C53" s="361">
        <f ca="1">ROUND(IF(F53="押一",C49/12*F11,IF(F53="押二",C49/12*2*F11,IF(F53="押三",C49/12*3*F11,C54*F11))),0)</f>
        <v>0</v>
      </c>
      <c r="D53" s="1822" t="s">
        <v>3038</v>
      </c>
      <c r="E53" s="358" t="s">
        <v>1406</v>
      </c>
      <c r="F53" s="1367"/>
      <c r="I53" s="1903" t="s">
        <v>1543</v>
      </c>
      <c r="J53" s="1904">
        <f ca="1">IF(M47="住宅",IF(D1="——",MAX(J51,L48),IF(D1="在建（套用方法）",MAX(J51,L48-'数据-取费表'!B24),MAX(J51,L48-'数据-取费表'!B20))),IF(D1="——",MIN(J51,L48),IF(D1="在建（套用方法）",MIN(J51,L48-'数据-取费表'!B24),IF(D1="土地（套用方法）",MIN(J51,L48-'数据-取费表'!B20)))))</f>
        <v>44.68</v>
      </c>
      <c r="K53" s="3278" t="s">
        <v>1544</v>
      </c>
      <c r="L53" s="3279"/>
      <c r="O53" s="1882" t="s">
        <v>1043</v>
      </c>
      <c r="P53" s="1883" t="s">
        <v>1545</v>
      </c>
      <c r="Q53" s="1884">
        <f ca="1">Q47+Q48</f>
        <v>66616</v>
      </c>
      <c r="R53" s="1884" t="s">
        <v>1044</v>
      </c>
    </row>
    <row r="54" spans="1:18" s="1840" customFormat="1" ht="13.5" thickBot="1">
      <c r="A54" s="1407"/>
      <c r="B54" s="1823" t="s">
        <v>1384</v>
      </c>
      <c r="C54" s="1179"/>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4" t="s">
        <v>1072</v>
      </c>
      <c r="B55" s="1825" t="s">
        <v>1409</v>
      </c>
      <c r="C55" s="1335"/>
      <c r="D55" s="1822"/>
      <c r="E55" s="1830"/>
      <c r="F55" s="1905"/>
      <c r="I55" s="1908" t="s">
        <v>1547</v>
      </c>
      <c r="J55" s="1909">
        <f ca="1">ROUND(IF(J47="钢混",J57/J50,1-(1-2%)*(J50-J57)/J50),3)</f>
        <v>0.255</v>
      </c>
      <c r="K55" s="1910" t="s">
        <v>1548</v>
      </c>
      <c r="L55" s="1911" t="s">
        <v>1549</v>
      </c>
      <c r="O55" s="1875" t="s">
        <v>1518</v>
      </c>
      <c r="P55" s="1876" t="s">
        <v>1519</v>
      </c>
      <c r="Q55" s="1877" t="s">
        <v>1520</v>
      </c>
      <c r="R55" s="1877" t="s">
        <v>1521</v>
      </c>
    </row>
    <row r="56" spans="1:18" s="1840" customFormat="1" ht="25.5" thickTop="1" thickBot="1">
      <c r="A56" s="1177">
        <v>2</v>
      </c>
      <c r="B56" s="1178" t="s">
        <v>1410</v>
      </c>
      <c r="C56" s="276">
        <f ca="1">C13</f>
        <v>13712</v>
      </c>
      <c r="D56" s="1912"/>
      <c r="E56" s="1913"/>
      <c r="F56" s="1905"/>
      <c r="I56" s="1914" t="s">
        <v>1550</v>
      </c>
      <c r="J56" s="1915" t="s">
        <v>3076</v>
      </c>
      <c r="K56" s="1885" t="s">
        <v>1551</v>
      </c>
      <c r="L56" s="1888" t="str">
        <f ca="1">IF(L48&lt;J51,"——",L48-J53)</f>
        <v>——</v>
      </c>
      <c r="O56" s="1882" t="s">
        <v>1037</v>
      </c>
      <c r="P56" s="1883" t="s">
        <v>1524</v>
      </c>
      <c r="Q56" s="1884">
        <f ca="1">C40+J29</f>
        <v>66473</v>
      </c>
      <c r="R56" s="1884" t="s">
        <v>1525</v>
      </c>
    </row>
    <row r="57" spans="1:18" s="1840" customFormat="1" ht="24.75" thickBot="1">
      <c r="A57" s="1916"/>
      <c r="B57" s="1170" t="s">
        <v>1474</v>
      </c>
      <c r="C57" s="282">
        <f ca="1">C29</f>
        <v>13712</v>
      </c>
      <c r="D57" s="1917"/>
      <c r="E57" s="1918"/>
      <c r="F57" s="1919"/>
      <c r="I57" s="1920" t="s">
        <v>1552</v>
      </c>
      <c r="J57" s="1921">
        <f ca="1">IF(OR(M47="住宅",J51&lt;L48,J56="是"),"——",J51-L48)</f>
        <v>15.32</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78" t="s">
        <v>1420</v>
      </c>
      <c r="C58" s="361">
        <f ca="1">ROUND(C59+C64+C65+C66,0)</f>
        <v>1381</v>
      </c>
      <c r="D58" s="1180" t="s">
        <v>1421</v>
      </c>
      <c r="E58" s="1181"/>
      <c r="F58" s="1182"/>
      <c r="I58" s="1920" t="s">
        <v>1556</v>
      </c>
      <c r="J58" s="1922">
        <f ca="1">IF(J55&lt;0.4,0.4,J55)</f>
        <v>0.4</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2" t="s">
        <v>1032</v>
      </c>
      <c r="B59" s="1170" t="s">
        <v>1425</v>
      </c>
      <c r="C59" s="24">
        <f ca="1">ROUND(IF(项目基本情况!B11="自然人",C48*F59,C60+C61+C62),1)</f>
        <v>1154.9000000000001</v>
      </c>
      <c r="D59" s="1183" t="s">
        <v>1426</v>
      </c>
      <c r="E59" s="1184" t="s">
        <v>1427</v>
      </c>
      <c r="F59" s="368" t="str">
        <f ca="1">IF(项目基本情况!B11="企业","",IF(INDIRECT("'数据-取费表'!c"&amp;$G$1)="住宅",5%,IF(F49*F50*F51/12/(1+'数据-取费表'!C42)&gt;20000,12%,7%)))</f>
        <v/>
      </c>
      <c r="I59" s="1920" t="s">
        <v>1559</v>
      </c>
      <c r="J59" s="1921">
        <f ca="1">IF(OR(M47="住宅",J51&lt;L48,J56="是"),"——",ROUND(C29*J58,0))</f>
        <v>5485</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202" t="s">
        <v>1031</v>
      </c>
      <c r="B60" s="1170" t="s">
        <v>1429</v>
      </c>
      <c r="C60" s="24">
        <f ca="1">IF(项目基本情况!B11="自然人","——",ROUND(C48*F60/(1+'数据-取费表'!C42),2))</f>
        <v>0</v>
      </c>
      <c r="D60" s="1184" t="s">
        <v>1430</v>
      </c>
      <c r="E60" s="1170" t="s">
        <v>1418</v>
      </c>
      <c r="F60" s="377">
        <f t="shared" ref="F60:F66" si="0">F32</f>
        <v>5.5000000000000007E-2</v>
      </c>
      <c r="I60" s="1923" t="s">
        <v>1561</v>
      </c>
      <c r="J60" s="1924">
        <f ca="1">IF(OR(M47="住宅",J51&lt;L48,J56="是"),"0",ROUND(J59/(1+J52)^J53,0))</f>
        <v>143</v>
      </c>
      <c r="K60" s="1925" t="s">
        <v>1562</v>
      </c>
      <c r="L60" s="1924">
        <f ca="1">IF(OR(M47="住宅",L48&lt;J51),0,ROUND(L57*(L58/L59-1),0))</f>
        <v>0</v>
      </c>
      <c r="O60" s="1892" t="s">
        <v>1041</v>
      </c>
      <c r="P60" s="1883" t="s">
        <v>1563</v>
      </c>
      <c r="Q60" s="1884" t="e">
        <f ca="1">L58</f>
        <v>#DIV/0!</v>
      </c>
      <c r="R60" s="1884" t="s">
        <v>1564</v>
      </c>
    </row>
    <row r="61" spans="1:18" s="1840" customFormat="1" ht="13.5" thickBot="1">
      <c r="A61" s="1202" t="s">
        <v>1488</v>
      </c>
      <c r="B61" s="1170" t="s">
        <v>1489</v>
      </c>
      <c r="C61" s="24">
        <f ca="1">IF(项目基本情况!B11="自然人","——",IF(D61="按租金收入计税",ROUND(C48*F61,2),IF(D61="按房产原值计税",ROUND(C57*F61*0.7,2),INDIRECT("'数据-取费表'!Aj"&amp;$G$1))))</f>
        <v>1151.81</v>
      </c>
      <c r="D61" s="1826" t="s">
        <v>1434</v>
      </c>
      <c r="E61" s="1170" t="s">
        <v>1490</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202" t="s">
        <v>1491</v>
      </c>
      <c r="B62" s="1169" t="s">
        <v>1492</v>
      </c>
      <c r="C62" s="25">
        <f ca="1">IF(项目基本情况!B11="自然人","——",ROUND(F62*F63/10000,2))</f>
        <v>3.1</v>
      </c>
      <c r="D62" s="1185" t="s">
        <v>1493</v>
      </c>
      <c r="E62" s="1170" t="s">
        <v>1494</v>
      </c>
      <c r="F62" s="371">
        <f t="shared" si="0"/>
        <v>3</v>
      </c>
      <c r="I62" s="1927" t="s">
        <v>1566</v>
      </c>
      <c r="J62" s="1928" t="s">
        <v>1567</v>
      </c>
      <c r="K62" s="1928" t="s">
        <v>1568</v>
      </c>
      <c r="L62" s="1928" t="s">
        <v>1569</v>
      </c>
      <c r="M62" s="1929" t="s">
        <v>1570</v>
      </c>
      <c r="O62" s="1882" t="s">
        <v>1043</v>
      </c>
      <c r="P62" s="1883" t="s">
        <v>1571</v>
      </c>
      <c r="Q62" s="1884">
        <f ca="1">Q56+Q57</f>
        <v>66473</v>
      </c>
      <c r="R62" s="1884" t="s">
        <v>1044</v>
      </c>
    </row>
    <row r="63" spans="1:18" s="1840" customFormat="1" ht="13.5" thickBot="1">
      <c r="A63" s="372"/>
      <c r="B63" s="1176"/>
      <c r="C63" s="29"/>
      <c r="D63" s="1186"/>
      <c r="E63" s="1170" t="s">
        <v>1495</v>
      </c>
      <c r="F63" s="348">
        <f t="shared" ca="1" si="0"/>
        <v>10333.02</v>
      </c>
      <c r="I63" s="1927" t="s">
        <v>1572</v>
      </c>
      <c r="J63" s="1928">
        <v>70</v>
      </c>
      <c r="K63" s="1928">
        <v>50</v>
      </c>
      <c r="L63" s="1928">
        <v>80</v>
      </c>
      <c r="M63" s="1930">
        <v>0.02</v>
      </c>
      <c r="O63" s="1867" t="s">
        <v>1573</v>
      </c>
      <c r="P63" s="1837"/>
      <c r="Q63" s="1837"/>
      <c r="R63" s="1837"/>
    </row>
    <row r="64" spans="1:18" s="1840" customFormat="1" ht="13.5" thickBot="1">
      <c r="A64" s="1202" t="s">
        <v>1496</v>
      </c>
      <c r="B64" s="1170" t="s">
        <v>1497</v>
      </c>
      <c r="C64" s="24">
        <f ca="1">ROUND(C57*F64,1)</f>
        <v>205.7</v>
      </c>
      <c r="D64" s="1184" t="s">
        <v>1498</v>
      </c>
      <c r="E64" s="1170" t="s">
        <v>1490</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202" t="s">
        <v>1499</v>
      </c>
      <c r="B65" s="1170" t="s">
        <v>1449</v>
      </c>
      <c r="C65" s="24">
        <f ca="1">ROUND(C56*F65,1)</f>
        <v>20.6</v>
      </c>
      <c r="D65" s="1184" t="s">
        <v>1450</v>
      </c>
      <c r="E65" s="1170" t="s">
        <v>1451</v>
      </c>
      <c r="F65" s="376">
        <f t="shared" ca="1" si="0"/>
        <v>1.5E-3</v>
      </c>
      <c r="I65" s="1927" t="s">
        <v>1575</v>
      </c>
      <c r="J65" s="1928">
        <v>40</v>
      </c>
      <c r="K65" s="1928">
        <v>30</v>
      </c>
      <c r="L65" s="1928">
        <v>50</v>
      </c>
      <c r="M65" s="1930">
        <v>0.02</v>
      </c>
      <c r="O65" s="1882" t="s">
        <v>1037</v>
      </c>
      <c r="P65" s="1883" t="s">
        <v>1576</v>
      </c>
      <c r="Q65" s="1884">
        <f ca="1">C40+J29</f>
        <v>66473</v>
      </c>
      <c r="R65" s="1884" t="s">
        <v>1525</v>
      </c>
    </row>
    <row r="66" spans="1:18" s="1840" customFormat="1" ht="16.5" thickBot="1">
      <c r="A66" s="1202" t="s">
        <v>1500</v>
      </c>
      <c r="B66" s="1170" t="s">
        <v>1435</v>
      </c>
      <c r="C66" s="24">
        <f ca="1">ROUND(C48*F66,1)</f>
        <v>0</v>
      </c>
      <c r="D66" s="1184" t="s">
        <v>1501</v>
      </c>
      <c r="E66" s="1170" t="s">
        <v>1418</v>
      </c>
      <c r="F66" s="357">
        <f t="shared" ca="1" si="0"/>
        <v>0.02</v>
      </c>
      <c r="O66" s="1882" t="s">
        <v>1038</v>
      </c>
      <c r="P66" s="1883" t="s">
        <v>1554</v>
      </c>
      <c r="Q66" s="1884">
        <f ca="1">L60</f>
        <v>0</v>
      </c>
      <c r="R66" s="1884" t="s">
        <v>1577</v>
      </c>
    </row>
    <row r="67" spans="1:18" s="1840" customFormat="1" ht="16.5" thickBot="1">
      <c r="A67" s="1177" t="s">
        <v>1028</v>
      </c>
      <c r="B67" s="1187" t="s">
        <v>1459</v>
      </c>
      <c r="C67" s="361">
        <f ca="1">C48-C58</f>
        <v>-1381</v>
      </c>
      <c r="D67" s="1183" t="s">
        <v>1460</v>
      </c>
      <c r="E67" s="1188"/>
      <c r="F67" s="1189"/>
      <c r="O67" s="1892" t="s">
        <v>1039</v>
      </c>
      <c r="P67" s="1883" t="s">
        <v>1558</v>
      </c>
      <c r="Q67" s="1931">
        <f ca="1">L51</f>
        <v>23108</v>
      </c>
      <c r="R67" s="1884" t="s">
        <v>1578</v>
      </c>
    </row>
    <row r="68" spans="1:18" s="1840" customFormat="1" ht="16.5" thickBot="1">
      <c r="A68" s="1167" t="s">
        <v>1029</v>
      </c>
      <c r="B68" s="1168" t="s">
        <v>1481</v>
      </c>
      <c r="C68" s="346">
        <f ca="1">ROUND(C67*(1-((1+F70)/(1+F68))^F69)/(F68-F70),0)</f>
        <v>-24498</v>
      </c>
      <c r="D68" s="1185" t="s">
        <v>1465</v>
      </c>
      <c r="E68" s="1170" t="s">
        <v>1466</v>
      </c>
      <c r="F68" s="357">
        <f ca="1">F40</f>
        <v>0.05</v>
      </c>
      <c r="O68" s="1892" t="s">
        <v>1040</v>
      </c>
      <c r="P68" s="1932" t="s">
        <v>1579</v>
      </c>
      <c r="Q68" s="1884">
        <f ca="1">ROUND(Q69-Q70*Q71,0)</f>
        <v>1209</v>
      </c>
      <c r="R68" s="1884" t="s">
        <v>1048</v>
      </c>
    </row>
    <row r="69" spans="1:18" s="1840" customFormat="1" ht="13.5" thickBot="1">
      <c r="A69" s="1171"/>
      <c r="B69" s="1172"/>
      <c r="C69" s="351"/>
      <c r="D69" s="1190" t="s">
        <v>1469</v>
      </c>
      <c r="E69" s="1170" t="s">
        <v>1470</v>
      </c>
      <c r="F69" s="379">
        <f ca="1">F41</f>
        <v>44.68</v>
      </c>
      <c r="O69" s="1892" t="s">
        <v>1045</v>
      </c>
      <c r="P69" s="1932" t="s">
        <v>1580</v>
      </c>
      <c r="Q69" s="1884">
        <f ca="1">C39</f>
        <v>2306</v>
      </c>
      <c r="R69" s="1884" t="s">
        <v>1525</v>
      </c>
    </row>
    <row r="70" spans="1:18" s="1840" customFormat="1" ht="13.5" thickBot="1">
      <c r="A70" s="1174"/>
      <c r="B70" s="1175"/>
      <c r="C70" s="355"/>
      <c r="D70" s="1186"/>
      <c r="E70" s="1170" t="s">
        <v>1473</v>
      </c>
      <c r="F70" s="1276"/>
      <c r="O70" s="1892" t="s">
        <v>1046</v>
      </c>
      <c r="P70" s="1932" t="s">
        <v>1581</v>
      </c>
      <c r="Q70" s="1884">
        <f ca="1">C13</f>
        <v>13712</v>
      </c>
      <c r="R70" s="1884" t="s">
        <v>1525</v>
      </c>
    </row>
    <row r="71" spans="1:18" s="1840" customFormat="1" ht="13.5" thickBot="1">
      <c r="A71" s="1191" t="s">
        <v>1030</v>
      </c>
      <c r="B71" s="1192" t="s">
        <v>1483</v>
      </c>
      <c r="C71" s="382">
        <f ca="1">ROUND(C68*10000/F71,0)</f>
        <v>-7702</v>
      </c>
      <c r="D71" s="1193" t="s">
        <v>1484</v>
      </c>
      <c r="E71" s="1194" t="s">
        <v>1485</v>
      </c>
      <c r="F71" s="385">
        <f ca="1">F43</f>
        <v>31807.97</v>
      </c>
      <c r="O71" s="1892" t="s">
        <v>1047</v>
      </c>
      <c r="P71" s="1932" t="s">
        <v>1582</v>
      </c>
      <c r="Q71" s="1895">
        <f ca="1">C76</f>
        <v>0.08</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1097</v>
      </c>
      <c r="D75" s="1840"/>
      <c r="E75" s="1840"/>
      <c r="F75" s="1840"/>
      <c r="K75" s="1866"/>
      <c r="L75" s="1840"/>
      <c r="O75" s="1882" t="s">
        <v>1043</v>
      </c>
      <c r="P75" s="1883" t="s">
        <v>1545</v>
      </c>
      <c r="Q75" s="1884">
        <f ca="1">Q65+Q66</f>
        <v>66473</v>
      </c>
      <c r="R75" s="1884" t="s">
        <v>1044</v>
      </c>
    </row>
    <row r="76" spans="1:18">
      <c r="B76" s="388" t="s">
        <v>1503</v>
      </c>
      <c r="C76" s="389">
        <f ca="1">INDIRECT("'数据-取费表'!j"&amp;$G$1)</f>
        <v>0.08</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0.52400000000000002</v>
      </c>
    </row>
    <row r="80" spans="1:18">
      <c r="B80" s="386" t="s">
        <v>1507</v>
      </c>
      <c r="C80" s="318">
        <f ca="1">ROUND(C75/C39,3)</f>
        <v>0.47599999999999998</v>
      </c>
    </row>
    <row r="81" spans="2:3">
      <c r="B81" s="314" t="s">
        <v>1508</v>
      </c>
      <c r="C81" s="282"/>
    </row>
    <row r="82" spans="2:3">
      <c r="B82" s="317" t="s">
        <v>1509</v>
      </c>
      <c r="C82" s="319">
        <f ca="1">1-C83</f>
        <v>0.79400000000000004</v>
      </c>
    </row>
    <row r="83" spans="2:3">
      <c r="B83" s="317" t="s">
        <v>1510</v>
      </c>
      <c r="C83" s="318">
        <f ca="1">ROUND(C13/C40,3)</f>
        <v>0.20599999999999999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25" priority="56">
      <formula>$L$48&gt;$J$51</formula>
    </cfRule>
  </conditionalFormatting>
  <conditionalFormatting sqref="I55 I60">
    <cfRule type="expression" dxfId="24" priority="57">
      <formula>$J$51&gt;$L$48</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4">
    <cfRule type="expression" dxfId="2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60185</v>
      </c>
      <c r="C2" s="2" t="s">
        <v>133</v>
      </c>
      <c r="D2" s="243"/>
      <c r="E2" s="243"/>
      <c r="F2" s="243"/>
      <c r="G2" s="243"/>
    </row>
    <row r="3" spans="1:7" s="244" customFormat="1" ht="18" customHeight="1" thickBot="1">
      <c r="A3" s="247" t="s">
        <v>85</v>
      </c>
      <c r="B3" s="248">
        <f ca="1">ROUND(B2*10000/'数据-汇总表'!E3,0)</f>
        <v>9029</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610</v>
      </c>
      <c r="D7" s="264"/>
      <c r="E7" s="262"/>
      <c r="F7" s="265">
        <f>'数据-取费表'!B48+'数据-取费表'!B49</f>
        <v>3.0499999999999999E-2</v>
      </c>
      <c r="G7" s="263"/>
    </row>
    <row r="8" spans="1:7" s="267" customFormat="1">
      <c r="A8" s="950" t="s">
        <v>793</v>
      </c>
      <c r="B8" s="259" t="s">
        <v>92</v>
      </c>
      <c r="C8" s="264" t="str">
        <f>IF(G8="已包含在土地购买价格中","0",'数据-取费表'!B29)</f>
        <v>0</v>
      </c>
      <c r="D8" s="266"/>
      <c r="E8" s="264"/>
      <c r="F8" s="265"/>
      <c r="G8" s="1" t="s">
        <v>1145</v>
      </c>
    </row>
    <row r="9" spans="1:7" s="258" customFormat="1" ht="13.5" customHeight="1">
      <c r="A9" s="951" t="s">
        <v>800</v>
      </c>
      <c r="B9" s="268" t="s">
        <v>93</v>
      </c>
      <c r="C9" s="269">
        <f>ROUND(D9*E9/10000,0)</f>
        <v>0</v>
      </c>
      <c r="D9" s="1033">
        <f>'数据-汇总表'!E5</f>
        <v>0</v>
      </c>
      <c r="E9" s="269">
        <f>'数据-取费表'!B27</f>
        <v>0</v>
      </c>
      <c r="F9" s="265"/>
      <c r="G9" s="270"/>
    </row>
    <row r="10" spans="1:7" s="258" customFormat="1" ht="13.5" customHeight="1">
      <c r="A10" s="951" t="s">
        <v>801</v>
      </c>
      <c r="B10" s="268" t="s">
        <v>94</v>
      </c>
      <c r="C10" s="269">
        <f>ROUND(D10*E10/10000,0)</f>
        <v>1266</v>
      </c>
      <c r="D10" s="1033">
        <f>'数据-汇总表'!E6</f>
        <v>66657.509999999995</v>
      </c>
      <c r="E10" s="269">
        <f>'数据-取费表'!B28</f>
        <v>190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1052</v>
      </c>
      <c r="B19" s="254" t="s">
        <v>111</v>
      </c>
      <c r="C19" s="255">
        <f>IF(G19="已包含在土地取得成本中","0",ROUND(D19*E19/10000,0))</f>
        <v>1333</v>
      </c>
      <c r="D19" s="1037">
        <f>'数据-汇总表'!E3</f>
        <v>66657.509999999995</v>
      </c>
      <c r="E19" s="255">
        <f>'数据-取费表'!B31</f>
        <v>200</v>
      </c>
      <c r="F19" s="275"/>
      <c r="G19" s="1" t="s">
        <v>1071</v>
      </c>
    </row>
    <row r="20" spans="1:7" s="258" customFormat="1" ht="13.5" customHeight="1">
      <c r="A20" s="949" t="s">
        <v>1054</v>
      </c>
      <c r="B20" s="254" t="s">
        <v>104</v>
      </c>
      <c r="C20" s="276">
        <f>ROUND((C5+C19)*F20,0)</f>
        <v>439</v>
      </c>
      <c r="D20" s="276"/>
      <c r="E20" s="276"/>
      <c r="F20" s="277">
        <f>'数据-取费表'!B37</f>
        <v>0.02</v>
      </c>
      <c r="G20" s="1290" t="s">
        <v>1065</v>
      </c>
    </row>
    <row r="21" spans="1:7" s="258" customFormat="1" ht="13.5" customHeight="1">
      <c r="A21" s="949" t="s">
        <v>1056</v>
      </c>
      <c r="B21" s="254" t="s">
        <v>105</v>
      </c>
      <c r="C21" s="279">
        <f>F21</f>
        <v>0.02</v>
      </c>
      <c r="D21" s="280" t="s">
        <v>126</v>
      </c>
      <c r="E21" s="276"/>
      <c r="F21" s="277">
        <f>'数据-取费表'!B38</f>
        <v>0.02</v>
      </c>
      <c r="G21" s="278" t="s">
        <v>106</v>
      </c>
    </row>
    <row r="22" spans="1:7" s="258" customFormat="1" ht="13.5" customHeight="1">
      <c r="A22" s="949" t="s">
        <v>786</v>
      </c>
      <c r="B22" s="254" t="s">
        <v>107</v>
      </c>
      <c r="C22" s="1355">
        <f ca="1">ROUND(SUM(C23:C25),0)</f>
        <v>2155</v>
      </c>
      <c r="D22" s="279">
        <f ca="1">C26</f>
        <v>1E-3</v>
      </c>
      <c r="E22" s="280" t="s">
        <v>126</v>
      </c>
      <c r="F22" s="281">
        <f ca="1">'数据-取费表'!B40</f>
        <v>4.7500000000000001E-2</v>
      </c>
      <c r="G22" s="1290" t="str">
        <f>IF('数据-取费表'!B22&lt;=1,"单利计息","复利计息")</f>
        <v>复利计息</v>
      </c>
    </row>
    <row r="23" spans="1:7" s="258" customFormat="1" ht="13.5" customHeight="1">
      <c r="A23" s="952" t="s">
        <v>794</v>
      </c>
      <c r="B23" s="259" t="s">
        <v>1058</v>
      </c>
      <c r="C23" s="1356">
        <f ca="1">ROUND(IF('数据-取费表'!B22&lt;=1,C5*F22*'数据-取费表'!B23,C5*(POWER((1+F22),'数据-取费表'!B23)-1)),0)</f>
        <v>2004</v>
      </c>
      <c r="D23" s="282"/>
      <c r="E23" s="282"/>
      <c r="F23" s="283"/>
      <c r="G23" s="284" t="s">
        <v>108</v>
      </c>
    </row>
    <row r="24" spans="1:7" s="258" customFormat="1" ht="13.5" customHeight="1">
      <c r="A24" s="952" t="s">
        <v>792</v>
      </c>
      <c r="B24" s="259" t="s">
        <v>1053</v>
      </c>
      <c r="C24" s="1356">
        <f ca="1">ROUND(IF('数据-取费表'!B22&lt;=1,C19*F22*('数据-取费表'!B19/2+'数据-取费表'!B21),C19*(POWER((1+F22),('数据-取费表'!B19/2+'数据-取费表'!B21))-1)),0)</f>
        <v>130</v>
      </c>
      <c r="D24" s="282"/>
      <c r="E24" s="282"/>
      <c r="F24" s="283"/>
      <c r="G24" s="284" t="s">
        <v>109</v>
      </c>
    </row>
    <row r="25" spans="1:7" s="258" customFormat="1" ht="24">
      <c r="A25" s="952" t="s">
        <v>793</v>
      </c>
      <c r="B25" s="259" t="s">
        <v>1055</v>
      </c>
      <c r="C25" s="1356">
        <f ca="1">ROUND(IF('数据-取费表'!B22&lt;=1,C20*F22*'数据-取费表'!B23/2,C20*(POWER((1+F22),'数据-取费表'!B23/2)-1)),0)</f>
        <v>21</v>
      </c>
      <c r="D25" s="282"/>
      <c r="E25" s="285"/>
      <c r="F25" s="283"/>
      <c r="G25" s="286" t="s">
        <v>110</v>
      </c>
    </row>
    <row r="26" spans="1:7" s="258" customFormat="1">
      <c r="A26" s="952" t="s">
        <v>795</v>
      </c>
      <c r="B26" s="259" t="s">
        <v>1057</v>
      </c>
      <c r="C26" s="282">
        <f ca="1">ROUND(IF('数据-取费表'!B22&lt;=1,F21*F22*'数据-取费表'!B23/2,F21*(POWER((1+F22),'数据-取费表'!B23/2)-1)),4)</f>
        <v>1E-3</v>
      </c>
      <c r="D26" s="282"/>
      <c r="E26" s="285"/>
      <c r="F26" s="283"/>
      <c r="G26" s="287"/>
    </row>
    <row r="27" spans="1:7" s="258" customFormat="1" ht="24.75">
      <c r="A27" s="949" t="s">
        <v>787</v>
      </c>
      <c r="B27" s="288" t="s">
        <v>112</v>
      </c>
      <c r="C27" s="289">
        <f>C28</f>
        <v>4476</v>
      </c>
      <c r="D27" s="279">
        <f>C29</f>
        <v>4.0000000000000001E-3</v>
      </c>
      <c r="E27" s="280" t="s">
        <v>126</v>
      </c>
      <c r="F27" s="290">
        <f>'数据-取费表'!Q16</f>
        <v>0.2</v>
      </c>
      <c r="G27" s="291" t="s">
        <v>1066</v>
      </c>
    </row>
    <row r="28" spans="1:7" s="258" customFormat="1" ht="13.5" customHeight="1">
      <c r="A28" s="952" t="s">
        <v>794</v>
      </c>
      <c r="B28" s="292" t="s">
        <v>1059</v>
      </c>
      <c r="C28" s="293">
        <f>ROUND((C5+C19+C20)*F27*'数据-取费表'!B21/'数据-取费表'!B20,0)</f>
        <v>4476</v>
      </c>
      <c r="D28" s="279"/>
      <c r="E28" s="280"/>
      <c r="F28" s="290"/>
      <c r="G28" s="291"/>
    </row>
    <row r="29" spans="1:7" s="258" customFormat="1" ht="13.5" customHeight="1">
      <c r="A29" s="952" t="s">
        <v>792</v>
      </c>
      <c r="B29" s="292" t="s">
        <v>1060</v>
      </c>
      <c r="C29" s="282">
        <f>ROUND(C21*F27*'数据-取费表'!B21/'数据-取费表'!B20,4)</f>
        <v>4.0000000000000001E-3</v>
      </c>
      <c r="D29" s="279"/>
      <c r="E29" s="280"/>
      <c r="F29" s="290"/>
      <c r="G29" s="291"/>
    </row>
    <row r="30" spans="1:7" s="258" customFormat="1" ht="13.5" customHeight="1">
      <c r="A30" s="949"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31446</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20837</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18664</v>
      </c>
      <c r="D34" s="261"/>
      <c r="E34" s="264"/>
      <c r="F34" s="301">
        <f>IF('数据-取费表'!B24=0,1,'数据-取费表'!N16)</f>
        <v>1</v>
      </c>
      <c r="G34" s="263" t="s">
        <v>116</v>
      </c>
    </row>
    <row r="35" spans="1:7" ht="13.5" customHeight="1">
      <c r="A35" s="952" t="s">
        <v>796</v>
      </c>
      <c r="B35" s="259" t="s">
        <v>60</v>
      </c>
      <c r="C35" s="264">
        <f>ROUND(C34*F35,0)</f>
        <v>560</v>
      </c>
      <c r="D35" s="264"/>
      <c r="E35" s="264"/>
      <c r="F35" s="303">
        <f>'数据-取费表'!B33</f>
        <v>0.03</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2" t="s">
        <v>798</v>
      </c>
      <c r="B37" s="259" t="s">
        <v>118</v>
      </c>
      <c r="C37" s="293">
        <f>ROUND(E37*D37*F34/10000,0)</f>
        <v>1333</v>
      </c>
      <c r="D37" s="261">
        <f>'数据-汇总表'!E3</f>
        <v>66657.509999999995</v>
      </c>
      <c r="E37" s="293">
        <f>'数据-取费表'!B35</f>
        <v>200</v>
      </c>
      <c r="F37" s="303"/>
      <c r="G37" s="305" t="s">
        <v>119</v>
      </c>
    </row>
    <row r="38" spans="1:7" ht="13.5" customHeight="1">
      <c r="A38" s="952" t="s">
        <v>799</v>
      </c>
      <c r="B38" s="259" t="s">
        <v>63</v>
      </c>
      <c r="C38" s="264">
        <f>ROUND(C34*F38,0)</f>
        <v>280</v>
      </c>
      <c r="D38" s="264"/>
      <c r="E38" s="264"/>
      <c r="F38" s="303">
        <f>'数据-取费表'!B36</f>
        <v>1.4999999999999999E-2</v>
      </c>
      <c r="G38" s="263" t="s">
        <v>117</v>
      </c>
    </row>
    <row r="39" spans="1:7" s="258" customFormat="1" ht="13.5" customHeight="1">
      <c r="A39" s="949" t="s">
        <v>783</v>
      </c>
      <c r="B39" s="254" t="s">
        <v>104</v>
      </c>
      <c r="C39" s="276">
        <f>ROUND(C33*F20,0)</f>
        <v>417</v>
      </c>
      <c r="D39" s="276"/>
      <c r="E39" s="276"/>
      <c r="F39" s="277"/>
      <c r="G39" s="1290" t="s">
        <v>1068</v>
      </c>
    </row>
    <row r="40" spans="1:7" s="258" customFormat="1" ht="13.5" customHeight="1">
      <c r="A40" s="949" t="s">
        <v>784</v>
      </c>
      <c r="B40" s="254" t="s">
        <v>105</v>
      </c>
      <c r="C40" s="306">
        <f>F21</f>
        <v>0.02</v>
      </c>
      <c r="D40" s="280" t="s">
        <v>129</v>
      </c>
      <c r="E40" s="276"/>
      <c r="F40" s="277"/>
      <c r="G40" s="278" t="s">
        <v>120</v>
      </c>
    </row>
    <row r="41" spans="1:7" s="258" customFormat="1" ht="13.5" customHeight="1">
      <c r="A41" s="949" t="s">
        <v>785</v>
      </c>
      <c r="B41" s="254" t="s">
        <v>107</v>
      </c>
      <c r="C41" s="276">
        <f ca="1">ROUND(SUM(C42:C43),0)</f>
        <v>1010</v>
      </c>
      <c r="D41" s="279">
        <f ca="1">C44</f>
        <v>1E-3</v>
      </c>
      <c r="E41" s="280" t="s">
        <v>129</v>
      </c>
      <c r="F41" s="281"/>
      <c r="G41" s="1290" t="str">
        <f>IF('数据-取费表'!B22&lt;=1,"单利计息","复利计息")</f>
        <v>复利计息</v>
      </c>
    </row>
    <row r="42" spans="1:7" ht="13.5" customHeight="1">
      <c r="A42" s="952" t="s">
        <v>794</v>
      </c>
      <c r="B42" s="259" t="s">
        <v>1058</v>
      </c>
      <c r="C42" s="282">
        <f ca="1">ROUND(IF('数据-取费表'!B22&lt;=1,C33*F22*'数据-取费表'!B21/2,C33*(POWER((1+F22),'数据-取费表'!B21/2)-1)),0)</f>
        <v>990</v>
      </c>
      <c r="D42" s="282"/>
      <c r="E42" s="282"/>
      <c r="F42" s="283"/>
      <c r="G42" s="3222" t="s">
        <v>121</v>
      </c>
    </row>
    <row r="43" spans="1:7" ht="13.5" customHeight="1">
      <c r="A43" s="952" t="s">
        <v>792</v>
      </c>
      <c r="B43" s="259" t="s">
        <v>1061</v>
      </c>
      <c r="C43" s="282">
        <f ca="1">ROUND(IF('数据-取费表'!B22&lt;=1,C39*F22*'数据-取费表'!B21/2,C39*(POWER((1+F22),'数据-取费表'!B21/2)-1)),0)</f>
        <v>20</v>
      </c>
      <c r="D43" s="282"/>
      <c r="E43" s="282"/>
      <c r="F43" s="283"/>
      <c r="G43" s="3223"/>
    </row>
    <row r="44" spans="1:7" ht="13.5" customHeight="1">
      <c r="A44" s="952" t="s">
        <v>793</v>
      </c>
      <c r="B44" s="259" t="s">
        <v>1063</v>
      </c>
      <c r="C44" s="282">
        <f ca="1">ROUND(IF('数据-取费表'!B22&lt;=1,C40*F22*'数据-取费表'!B21/2,C40*(POWER((1+F22),'数据-取费表'!B21/2)-1)),4)</f>
        <v>1E-3</v>
      </c>
      <c r="D44" s="282"/>
      <c r="E44" s="282"/>
      <c r="F44" s="283"/>
      <c r="G44" s="3224"/>
    </row>
    <row r="45" spans="1:7" s="258" customFormat="1" ht="13.5" customHeight="1">
      <c r="A45" s="949" t="s">
        <v>786</v>
      </c>
      <c r="B45" s="288" t="s">
        <v>112</v>
      </c>
      <c r="C45" s="289">
        <f>C46</f>
        <v>4251</v>
      </c>
      <c r="D45" s="279">
        <f>C47</f>
        <v>4.0000000000000001E-3</v>
      </c>
      <c r="E45" s="280" t="s">
        <v>129</v>
      </c>
      <c r="F45" s="290"/>
      <c r="G45" s="291" t="s">
        <v>1069</v>
      </c>
    </row>
    <row r="46" spans="1:7" s="258" customFormat="1" ht="13.5" customHeight="1">
      <c r="A46" s="952" t="s">
        <v>794</v>
      </c>
      <c r="B46" s="292" t="s">
        <v>1062</v>
      </c>
      <c r="C46" s="293">
        <f>ROUND((C33+C39)*F27,0)</f>
        <v>4251</v>
      </c>
      <c r="D46" s="307"/>
      <c r="E46" s="280"/>
      <c r="F46" s="290"/>
      <c r="G46" s="291"/>
    </row>
    <row r="47" spans="1:7" s="258" customFormat="1" ht="13.5" customHeight="1">
      <c r="A47" s="952" t="s">
        <v>792</v>
      </c>
      <c r="B47" s="292" t="s">
        <v>1064</v>
      </c>
      <c r="C47" s="282">
        <f>ROUND(C40*F27,4)</f>
        <v>4.0000000000000001E-3</v>
      </c>
      <c r="D47" s="307"/>
      <c r="E47" s="280"/>
      <c r="F47" s="290"/>
      <c r="G47" s="291"/>
    </row>
    <row r="48" spans="1:7" s="258" customFormat="1" ht="13.5" customHeight="1">
      <c r="A48" s="949" t="s">
        <v>787</v>
      </c>
      <c r="B48" s="254" t="s">
        <v>122</v>
      </c>
      <c r="C48" s="306">
        <f>F30</f>
        <v>5.5000000000000007E-2</v>
      </c>
      <c r="D48" s="280" t="s">
        <v>130</v>
      </c>
      <c r="E48" s="276"/>
      <c r="F48" s="281"/>
      <c r="G48" s="278" t="s">
        <v>123</v>
      </c>
    </row>
    <row r="49" spans="1:7" ht="16.5" customHeight="1">
      <c r="A49" s="949" t="s">
        <v>788</v>
      </c>
      <c r="B49" s="254" t="s">
        <v>131</v>
      </c>
      <c r="C49" s="276">
        <f ca="1">ROUND((C33+C39+C41+C45)/(1-C40-D41-D45-C48/(1+'数据-取费表'!B42)),0)</f>
        <v>28739</v>
      </c>
      <c r="D49" s="276"/>
      <c r="E49" s="276"/>
      <c r="F49" s="308"/>
      <c r="G49" s="278" t="s">
        <v>1070</v>
      </c>
    </row>
    <row r="50" spans="1:7" s="302" customFormat="1" ht="24">
      <c r="A50" s="949" t="s">
        <v>789</v>
      </c>
      <c r="B50" s="254" t="s">
        <v>124</v>
      </c>
      <c r="C50" s="276"/>
      <c r="D50" s="276"/>
      <c r="E50" s="276"/>
      <c r="F50" s="308">
        <f>IF('数据-取费表'!B24=0,'数据-取费表'!N16,1)</f>
        <v>1</v>
      </c>
      <c r="G50" s="291" t="s">
        <v>125</v>
      </c>
    </row>
    <row r="51" spans="1:7" ht="16.5" customHeight="1">
      <c r="A51" s="949" t="s">
        <v>790</v>
      </c>
      <c r="B51" s="254" t="s">
        <v>132</v>
      </c>
      <c r="C51" s="276">
        <f ca="1">ROUND(C49*F50,0)</f>
        <v>28739</v>
      </c>
      <c r="D51" s="276"/>
      <c r="E51" s="276"/>
      <c r="F51" s="308"/>
      <c r="G51" s="278" t="s">
        <v>64</v>
      </c>
    </row>
    <row r="52" spans="1:7" s="252" customFormat="1" ht="16.5" thickBot="1">
      <c r="A52" s="309" t="s">
        <v>65</v>
      </c>
      <c r="B52" s="310"/>
      <c r="C52" s="311">
        <f ca="1">C31+C51</f>
        <v>60185</v>
      </c>
      <c r="D52" s="310"/>
      <c r="E52" s="310"/>
      <c r="F52" s="310"/>
      <c r="G52" s="312"/>
    </row>
    <row r="55" spans="1:7" ht="15">
      <c r="B55" s="314" t="s">
        <v>66</v>
      </c>
      <c r="C55" s="315"/>
    </row>
    <row r="56" spans="1:7">
      <c r="B56" s="317" t="s">
        <v>67</v>
      </c>
      <c r="C56" s="318">
        <f ca="1">ROUND(C51/C52,3)</f>
        <v>0.47799999999999998</v>
      </c>
    </row>
    <row r="57" spans="1:7">
      <c r="B57" s="317" t="s">
        <v>68</v>
      </c>
      <c r="C57" s="319">
        <f ca="1">1-C56</f>
        <v>0.52200000000000002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357" t="s">
        <v>156</v>
      </c>
      <c r="B1" s="3357"/>
      <c r="C1" s="3357"/>
      <c r="D1" s="3357"/>
      <c r="E1" s="3357"/>
      <c r="F1" s="3357"/>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58" t="s">
        <v>169</v>
      </c>
      <c r="B2" s="3358"/>
      <c r="C2" s="3358"/>
      <c r="D2" s="3358"/>
      <c r="E2" s="3358"/>
      <c r="F2" s="3358"/>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59"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60"/>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57" t="s">
        <v>868</v>
      </c>
      <c r="B1" s="3357"/>
    </row>
    <row r="2" spans="1:6" ht="14.25" thickBot="1">
      <c r="A2" s="1058"/>
      <c r="B2" s="1058"/>
    </row>
    <row r="3" spans="1:6" ht="14.25" thickBot="1">
      <c r="A3" s="1058"/>
      <c r="B3" s="1058"/>
      <c r="C3" s="1062" t="s">
        <v>871</v>
      </c>
      <c r="D3" s="1062" t="s">
        <v>872</v>
      </c>
      <c r="E3" s="1062" t="s">
        <v>873</v>
      </c>
      <c r="F3" s="1062" t="s">
        <v>874</v>
      </c>
    </row>
    <row r="4" spans="1:6" ht="14.25" thickBot="1">
      <c r="A4" s="1060" t="s">
        <v>869</v>
      </c>
      <c r="B4" s="1061" t="s">
        <v>870</v>
      </c>
      <c r="C4" s="1062"/>
      <c r="D4" s="1062"/>
      <c r="E4" s="1062"/>
      <c r="F4" s="1062"/>
    </row>
    <row r="5" spans="1:6" ht="14.25" thickBot="1">
      <c r="A5" s="838" t="s">
        <v>875</v>
      </c>
      <c r="B5" s="839" t="s">
        <v>876</v>
      </c>
      <c r="C5" s="1063">
        <v>8.8999999999999996E-2</v>
      </c>
      <c r="D5" s="1063">
        <v>7.3999999999999996E-2</v>
      </c>
      <c r="E5" s="1063">
        <v>7.4999999999999997E-2</v>
      </c>
      <c r="F5" s="1064">
        <v>0.1</v>
      </c>
    </row>
    <row r="6" spans="1:6" ht="14.25" thickBot="1">
      <c r="A6" s="838" t="s">
        <v>212</v>
      </c>
      <c r="B6" s="832" t="s">
        <v>877</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878</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879</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880</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881</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882</v>
      </c>
      <c r="C72" s="1078"/>
      <c r="D72" s="1078"/>
      <c r="E72" s="1078"/>
      <c r="F72" s="1066">
        <v>0.05</v>
      </c>
    </row>
    <row r="73" spans="1:6" ht="14.25" thickBot="1">
      <c r="A73" s="838" t="s">
        <v>137</v>
      </c>
      <c r="B73" s="832" t="s">
        <v>883</v>
      </c>
      <c r="C73" s="1078"/>
      <c r="D73" s="1078"/>
      <c r="E73" s="1078"/>
      <c r="F73" s="1066">
        <v>0.05</v>
      </c>
    </row>
    <row r="74" spans="1:6" ht="14.25" thickBot="1">
      <c r="A74" s="838" t="s">
        <v>137</v>
      </c>
      <c r="B74" s="832" t="s">
        <v>884</v>
      </c>
      <c r="C74" s="1078"/>
      <c r="D74" s="1078"/>
      <c r="E74" s="1078"/>
      <c r="F74" s="1066">
        <v>0.05</v>
      </c>
    </row>
    <row r="75" spans="1:6" ht="14.25" thickBot="1">
      <c r="A75" s="848" t="s">
        <v>137</v>
      </c>
      <c r="B75" s="844" t="s">
        <v>885</v>
      </c>
      <c r="C75" s="1075"/>
      <c r="D75" s="1075"/>
      <c r="E75" s="1075"/>
      <c r="F75" s="1068">
        <v>0.05</v>
      </c>
    </row>
    <row r="76" spans="1:6" ht="14.25" thickBot="1">
      <c r="A76" s="838" t="s">
        <v>523</v>
      </c>
      <c r="B76" s="839" t="s">
        <v>886</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887</v>
      </c>
      <c r="C102" s="1078"/>
      <c r="D102" s="1078"/>
      <c r="E102" s="1078"/>
      <c r="F102" s="1066">
        <v>0.05</v>
      </c>
    </row>
    <row r="103" spans="1:6" ht="24.75" thickBot="1">
      <c r="A103" s="838" t="s">
        <v>523</v>
      </c>
      <c r="B103" s="832" t="s">
        <v>888</v>
      </c>
      <c r="C103" s="1078"/>
      <c r="D103" s="1078"/>
      <c r="E103" s="1078"/>
      <c r="F103" s="1066">
        <v>0.05</v>
      </c>
    </row>
    <row r="104" spans="1:6" ht="14.25" thickBot="1">
      <c r="A104" s="838" t="s">
        <v>523</v>
      </c>
      <c r="B104" s="832" t="s">
        <v>889</v>
      </c>
      <c r="C104" s="1078"/>
      <c r="D104" s="1078"/>
      <c r="E104" s="1078"/>
      <c r="F104" s="1066">
        <v>0.05</v>
      </c>
    </row>
    <row r="105" spans="1:6" ht="14.25" thickBot="1">
      <c r="A105" s="838" t="s">
        <v>523</v>
      </c>
      <c r="B105" s="832" t="s">
        <v>890</v>
      </c>
      <c r="C105" s="1078"/>
      <c r="D105" s="1078"/>
      <c r="E105" s="1078"/>
      <c r="F105" s="1066">
        <v>0.05</v>
      </c>
    </row>
    <row r="106" spans="1:6" ht="14.25" thickBot="1">
      <c r="A106" s="838" t="s">
        <v>523</v>
      </c>
      <c r="B106" s="832" t="s">
        <v>891</v>
      </c>
      <c r="C106" s="1078"/>
      <c r="D106" s="1078"/>
      <c r="E106" s="1078"/>
      <c r="F106" s="1066">
        <v>0.05</v>
      </c>
    </row>
    <row r="107" spans="1:6" ht="24.75" thickBot="1">
      <c r="A107" s="838" t="s">
        <v>523</v>
      </c>
      <c r="B107" s="832" t="s">
        <v>892</v>
      </c>
      <c r="C107" s="1078"/>
      <c r="D107" s="1078"/>
      <c r="E107" s="1078"/>
      <c r="F107" s="1066">
        <v>0.05</v>
      </c>
    </row>
    <row r="108" spans="1:6" ht="24.75" thickBot="1">
      <c r="A108" s="838" t="s">
        <v>523</v>
      </c>
      <c r="B108" s="832" t="s">
        <v>893</v>
      </c>
      <c r="C108" s="1078"/>
      <c r="D108" s="1078"/>
      <c r="E108" s="1078"/>
      <c r="F108" s="1066">
        <v>0.05</v>
      </c>
    </row>
    <row r="109" spans="1:6" ht="24.75" thickBot="1">
      <c r="A109" s="848" t="s">
        <v>523</v>
      </c>
      <c r="B109" s="844" t="s">
        <v>894</v>
      </c>
      <c r="C109" s="1075"/>
      <c r="D109" s="1075"/>
      <c r="E109" s="1075"/>
      <c r="F109" s="1068">
        <v>0.05</v>
      </c>
    </row>
    <row r="110" spans="1:6" ht="14.25" thickBot="1">
      <c r="A110" s="838" t="s">
        <v>56</v>
      </c>
      <c r="B110" s="839" t="s">
        <v>895</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896</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897</v>
      </c>
      <c r="C138" s="1065">
        <v>0.105</v>
      </c>
      <c r="D138" s="1065">
        <v>0.125</v>
      </c>
      <c r="E138" s="1065">
        <v>0.112</v>
      </c>
      <c r="F138" s="1077"/>
    </row>
    <row r="139" spans="1:6" ht="14.25" thickBot="1">
      <c r="A139" s="838" t="s">
        <v>56</v>
      </c>
      <c r="B139" s="832" t="s">
        <v>898</v>
      </c>
      <c r="C139" s="1065">
        <v>0.127</v>
      </c>
      <c r="D139" s="1065">
        <v>0.127</v>
      </c>
      <c r="E139" s="1065">
        <v>0.122</v>
      </c>
      <c r="F139" s="1066">
        <v>0.13</v>
      </c>
    </row>
    <row r="140" spans="1:6" ht="14.25" thickBot="1">
      <c r="A140" s="838" t="s">
        <v>56</v>
      </c>
      <c r="B140" s="832" t="s">
        <v>899</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900</v>
      </c>
      <c r="C144" s="1070">
        <v>0.126</v>
      </c>
      <c r="D144" s="1070">
        <v>0.126</v>
      </c>
      <c r="E144" s="1070">
        <v>0.121</v>
      </c>
      <c r="F144" s="1077"/>
    </row>
    <row r="145" spans="1:6" ht="14.25" thickBot="1">
      <c r="A145" s="848" t="s">
        <v>56</v>
      </c>
      <c r="B145" s="1071" t="s">
        <v>901</v>
      </c>
      <c r="C145" s="1079"/>
      <c r="D145" s="1079"/>
      <c r="E145" s="1079"/>
      <c r="F145" s="1072">
        <v>0.05</v>
      </c>
    </row>
    <row r="146" spans="1:6" ht="24.75" thickBot="1">
      <c r="A146" s="1073" t="s">
        <v>56</v>
      </c>
      <c r="B146" s="842" t="s">
        <v>902</v>
      </c>
      <c r="C146" s="1078"/>
      <c r="D146" s="1078"/>
      <c r="E146" s="1078"/>
      <c r="F146" s="1074">
        <v>0.05</v>
      </c>
    </row>
    <row r="147" spans="1:6" ht="24.75" thickBot="1">
      <c r="A147" s="838" t="s">
        <v>56</v>
      </c>
      <c r="B147" s="832" t="s">
        <v>903</v>
      </c>
      <c r="C147" s="1078"/>
      <c r="D147" s="1078"/>
      <c r="E147" s="1078"/>
      <c r="F147" s="1066">
        <v>0.05</v>
      </c>
    </row>
    <row r="148" spans="1:6" ht="24.75" thickBot="1">
      <c r="A148" s="838" t="s">
        <v>56</v>
      </c>
      <c r="B148" s="832" t="s">
        <v>904</v>
      </c>
      <c r="C148" s="1078"/>
      <c r="D148" s="1078"/>
      <c r="E148" s="1078"/>
      <c r="F148" s="1066">
        <v>0.05</v>
      </c>
    </row>
    <row r="149" spans="1:6" ht="24.75" thickBot="1">
      <c r="A149" s="838" t="s">
        <v>56</v>
      </c>
      <c r="B149" s="832" t="s">
        <v>905</v>
      </c>
      <c r="C149" s="1078"/>
      <c r="D149" s="1078"/>
      <c r="E149" s="1078"/>
      <c r="F149" s="1066">
        <v>0.05</v>
      </c>
    </row>
    <row r="150" spans="1:6" ht="24.75" thickBot="1">
      <c r="A150" s="838" t="s">
        <v>56</v>
      </c>
      <c r="B150" s="832" t="s">
        <v>906</v>
      </c>
      <c r="C150" s="1078"/>
      <c r="D150" s="1078"/>
      <c r="E150" s="1078"/>
      <c r="F150" s="1066">
        <v>0.05</v>
      </c>
    </row>
    <row r="151" spans="1:6" ht="24.75" thickBot="1">
      <c r="A151" s="838" t="s">
        <v>56</v>
      </c>
      <c r="B151" s="832" t="s">
        <v>907</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908</v>
      </c>
      <c r="C153" s="1078"/>
      <c r="D153" s="1078"/>
      <c r="E153" s="1078"/>
      <c r="F153" s="1066">
        <v>0.05</v>
      </c>
    </row>
    <row r="154" spans="1:6" ht="14.25" thickBot="1">
      <c r="A154" s="838" t="s">
        <v>56</v>
      </c>
      <c r="B154" s="832" t="s">
        <v>909</v>
      </c>
      <c r="C154" s="1078"/>
      <c r="D154" s="1078"/>
      <c r="E154" s="1078"/>
      <c r="F154" s="1066">
        <v>0.05</v>
      </c>
    </row>
    <row r="155" spans="1:6" ht="24.75" thickBot="1">
      <c r="A155" s="838" t="s">
        <v>56</v>
      </c>
      <c r="B155" s="832" t="s">
        <v>910</v>
      </c>
      <c r="C155" s="1078"/>
      <c r="D155" s="1078"/>
      <c r="E155" s="1078"/>
      <c r="F155" s="1066">
        <v>0.05</v>
      </c>
    </row>
    <row r="156" spans="1:6" ht="24.75" thickBot="1">
      <c r="A156" s="838" t="s">
        <v>56</v>
      </c>
      <c r="B156" s="832" t="s">
        <v>911</v>
      </c>
      <c r="C156" s="1078"/>
      <c r="D156" s="1078"/>
      <c r="E156" s="1078"/>
      <c r="F156" s="1066">
        <v>0.05</v>
      </c>
    </row>
    <row r="157" spans="1:6" ht="14.25" thickBot="1">
      <c r="A157" s="848" t="s">
        <v>56</v>
      </c>
      <c r="B157" s="844" t="s">
        <v>912</v>
      </c>
      <c r="C157" s="1075"/>
      <c r="D157" s="1075"/>
      <c r="E157" s="1075"/>
      <c r="F157" s="1068">
        <v>0.05</v>
      </c>
    </row>
    <row r="158" spans="1:6" ht="14.25" thickBot="1">
      <c r="A158" s="838" t="s">
        <v>526</v>
      </c>
      <c r="B158" s="839" t="s">
        <v>913</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914</v>
      </c>
      <c r="C171" s="1065">
        <v>0.127</v>
      </c>
      <c r="D171" s="1065">
        <v>0.126</v>
      </c>
      <c r="E171" s="1065">
        <v>0.126</v>
      </c>
      <c r="F171" s="1066">
        <v>0.11799999999999999</v>
      </c>
    </row>
    <row r="172" spans="1:6" ht="14.25" thickBot="1">
      <c r="A172" s="838" t="s">
        <v>526</v>
      </c>
      <c r="B172" s="832" t="s">
        <v>915</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916</v>
      </c>
      <c r="C174" s="1065">
        <v>0.13</v>
      </c>
      <c r="D174" s="1065">
        <v>0.13</v>
      </c>
      <c r="E174" s="1065">
        <v>0.13</v>
      </c>
      <c r="F174" s="1066">
        <v>0.13</v>
      </c>
    </row>
    <row r="175" spans="1:6" ht="14.25" thickBot="1">
      <c r="A175" s="838" t="s">
        <v>526</v>
      </c>
      <c r="B175" s="832" t="s">
        <v>917</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918</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919</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920</v>
      </c>
      <c r="C185" s="1065">
        <v>0.127</v>
      </c>
      <c r="D185" s="1065">
        <v>0.127</v>
      </c>
      <c r="E185" s="1065">
        <v>0.128</v>
      </c>
      <c r="F185" s="1066">
        <v>0.13</v>
      </c>
    </row>
    <row r="186" spans="1:6" ht="24.75" thickBot="1">
      <c r="A186" s="838" t="s">
        <v>526</v>
      </c>
      <c r="B186" s="832" t="s">
        <v>921</v>
      </c>
      <c r="C186" s="1078"/>
      <c r="D186" s="1078"/>
      <c r="E186" s="1078"/>
      <c r="F186" s="1066">
        <v>0.05</v>
      </c>
    </row>
    <row r="187" spans="1:6" ht="14.25" thickBot="1">
      <c r="A187" s="838" t="s">
        <v>526</v>
      </c>
      <c r="B187" s="832" t="s">
        <v>922</v>
      </c>
      <c r="C187" s="1078"/>
      <c r="D187" s="1078"/>
      <c r="E187" s="1078"/>
      <c r="F187" s="1066">
        <v>0.05</v>
      </c>
    </row>
    <row r="188" spans="1:6" ht="14.25" thickBot="1">
      <c r="A188" s="838" t="s">
        <v>526</v>
      </c>
      <c r="B188" s="832" t="s">
        <v>923</v>
      </c>
      <c r="C188" s="1078"/>
      <c r="D188" s="1078"/>
      <c r="E188" s="1078"/>
      <c r="F188" s="1066">
        <v>0.05</v>
      </c>
    </row>
    <row r="189" spans="1:6" ht="24.75" thickBot="1">
      <c r="A189" s="838" t="s">
        <v>526</v>
      </c>
      <c r="B189" s="832" t="s">
        <v>924</v>
      </c>
      <c r="C189" s="1078"/>
      <c r="D189" s="1078"/>
      <c r="E189" s="1078"/>
      <c r="F189" s="1066">
        <v>0.05</v>
      </c>
    </row>
    <row r="190" spans="1:6" ht="24.75" thickBot="1">
      <c r="A190" s="838" t="s">
        <v>526</v>
      </c>
      <c r="B190" s="832" t="s">
        <v>925</v>
      </c>
      <c r="C190" s="1078"/>
      <c r="D190" s="1078"/>
      <c r="E190" s="1078"/>
      <c r="F190" s="1066">
        <v>0.05</v>
      </c>
    </row>
    <row r="191" spans="1:6" ht="24.75" thickBot="1">
      <c r="A191" s="838" t="s">
        <v>526</v>
      </c>
      <c r="B191" s="832" t="s">
        <v>926</v>
      </c>
      <c r="C191" s="1078"/>
      <c r="D191" s="1078"/>
      <c r="E191" s="1078"/>
      <c r="F191" s="1066">
        <v>0.05</v>
      </c>
    </row>
    <row r="192" spans="1:6" ht="24.75" thickBot="1">
      <c r="A192" s="838" t="s">
        <v>526</v>
      </c>
      <c r="B192" s="832" t="s">
        <v>927</v>
      </c>
      <c r="C192" s="1078"/>
      <c r="D192" s="1078"/>
      <c r="E192" s="1078"/>
      <c r="F192" s="1066">
        <v>0.05</v>
      </c>
    </row>
    <row r="193" spans="1:6" ht="24.75" thickBot="1">
      <c r="A193" s="838" t="s">
        <v>526</v>
      </c>
      <c r="B193" s="832" t="s">
        <v>928</v>
      </c>
      <c r="C193" s="1078"/>
      <c r="D193" s="1078"/>
      <c r="E193" s="1078"/>
      <c r="F193" s="1066">
        <v>0.05</v>
      </c>
    </row>
    <row r="194" spans="1:6" ht="24.75" thickBot="1">
      <c r="A194" s="838" t="s">
        <v>526</v>
      </c>
      <c r="B194" s="832" t="s">
        <v>929</v>
      </c>
      <c r="C194" s="1078"/>
      <c r="D194" s="1078"/>
      <c r="E194" s="1078"/>
      <c r="F194" s="1066">
        <v>0.05</v>
      </c>
    </row>
    <row r="195" spans="1:6" ht="14.25" thickBot="1">
      <c r="A195" s="838" t="s">
        <v>526</v>
      </c>
      <c r="B195" s="832" t="s">
        <v>930</v>
      </c>
      <c r="C195" s="1078"/>
      <c r="D195" s="1078"/>
      <c r="E195" s="1078"/>
      <c r="F195" s="1066">
        <v>0.05</v>
      </c>
    </row>
    <row r="196" spans="1:6" ht="24.75" thickBot="1">
      <c r="A196" s="838" t="s">
        <v>526</v>
      </c>
      <c r="B196" s="832" t="s">
        <v>931</v>
      </c>
      <c r="C196" s="1078"/>
      <c r="D196" s="1078"/>
      <c r="E196" s="1078"/>
      <c r="F196" s="1066">
        <v>0.05</v>
      </c>
    </row>
    <row r="197" spans="1:6" ht="24.75" thickBot="1">
      <c r="A197" s="838" t="s">
        <v>526</v>
      </c>
      <c r="B197" s="832" t="s">
        <v>932</v>
      </c>
      <c r="C197" s="1078"/>
      <c r="D197" s="1078"/>
      <c r="E197" s="1078"/>
      <c r="F197" s="1066">
        <v>0.05</v>
      </c>
    </row>
    <row r="198" spans="1:6" ht="24.75" thickBot="1">
      <c r="A198" s="838" t="s">
        <v>526</v>
      </c>
      <c r="B198" s="832" t="s">
        <v>933</v>
      </c>
      <c r="C198" s="1078"/>
      <c r="D198" s="1078"/>
      <c r="E198" s="1078"/>
      <c r="F198" s="1066">
        <v>0.05</v>
      </c>
    </row>
    <row r="199" spans="1:6" ht="24.75" thickBot="1">
      <c r="A199" s="838" t="s">
        <v>526</v>
      </c>
      <c r="B199" s="832" t="s">
        <v>934</v>
      </c>
      <c r="C199" s="1078"/>
      <c r="D199" s="1078"/>
      <c r="E199" s="1078"/>
      <c r="F199" s="1066">
        <v>0.05</v>
      </c>
    </row>
    <row r="200" spans="1:6" ht="24.75" thickBot="1">
      <c r="A200" s="838" t="s">
        <v>526</v>
      </c>
      <c r="B200" s="832" t="s">
        <v>935</v>
      </c>
      <c r="C200" s="1078"/>
      <c r="D200" s="1078"/>
      <c r="E200" s="1078"/>
      <c r="F200" s="1066">
        <v>0.05</v>
      </c>
    </row>
    <row r="201" spans="1:6" ht="24.75" thickBot="1">
      <c r="A201" s="838" t="s">
        <v>526</v>
      </c>
      <c r="B201" s="832" t="s">
        <v>936</v>
      </c>
      <c r="C201" s="1078"/>
      <c r="D201" s="1078"/>
      <c r="E201" s="1078"/>
      <c r="F201" s="1066">
        <v>0.05</v>
      </c>
    </row>
    <row r="202" spans="1:6" ht="24.75" thickBot="1">
      <c r="A202" s="838" t="s">
        <v>526</v>
      </c>
      <c r="B202" s="832" t="s">
        <v>937</v>
      </c>
      <c r="C202" s="1078"/>
      <c r="D202" s="1078"/>
      <c r="E202" s="1078"/>
      <c r="F202" s="1066">
        <v>0.05</v>
      </c>
    </row>
    <row r="203" spans="1:6" ht="24.75" thickBot="1">
      <c r="A203" s="838" t="s">
        <v>526</v>
      </c>
      <c r="B203" s="832" t="s">
        <v>938</v>
      </c>
      <c r="C203" s="1078"/>
      <c r="D203" s="1078"/>
      <c r="E203" s="1078"/>
      <c r="F203" s="1066">
        <v>0.05</v>
      </c>
    </row>
    <row r="204" spans="1:6" ht="14.25" thickBot="1">
      <c r="A204" s="838" t="s">
        <v>526</v>
      </c>
      <c r="B204" s="832" t="s">
        <v>939</v>
      </c>
      <c r="C204" s="1078"/>
      <c r="D204" s="1078"/>
      <c r="E204" s="1078"/>
      <c r="F204" s="1066">
        <v>0.05</v>
      </c>
    </row>
    <row r="205" spans="1:6" ht="14.25" thickBot="1">
      <c r="A205" s="848" t="s">
        <v>526</v>
      </c>
      <c r="B205" s="844" t="s">
        <v>940</v>
      </c>
      <c r="C205" s="1075"/>
      <c r="D205" s="1075"/>
      <c r="E205" s="1075"/>
      <c r="F205" s="1068">
        <v>0.05</v>
      </c>
    </row>
    <row r="206" spans="1:6" ht="14.25" thickBot="1">
      <c r="A206" s="838" t="s">
        <v>528</v>
      </c>
      <c r="B206" s="839" t="s">
        <v>941</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942</v>
      </c>
      <c r="C210" s="1065">
        <v>0.15</v>
      </c>
      <c r="D210" s="1065">
        <v>0.15</v>
      </c>
      <c r="E210" s="1065">
        <v>0.15</v>
      </c>
      <c r="F210" s="1066">
        <v>0.13800000000000001</v>
      </c>
    </row>
    <row r="211" spans="1:6" ht="14.25" thickBot="1">
      <c r="A211" s="838" t="s">
        <v>528</v>
      </c>
      <c r="B211" s="832" t="s">
        <v>943</v>
      </c>
      <c r="C211" s="1065">
        <v>0.13700000000000001</v>
      </c>
      <c r="D211" s="1065">
        <v>0.13500000000000001</v>
      </c>
      <c r="E211" s="1065">
        <v>0.13600000000000001</v>
      </c>
      <c r="F211" s="1066">
        <v>0.1</v>
      </c>
    </row>
    <row r="212" spans="1:6" ht="14.25" thickBot="1">
      <c r="A212" s="838" t="s">
        <v>528</v>
      </c>
      <c r="B212" s="832" t="s">
        <v>944</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945</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946</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947</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948</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949</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950</v>
      </c>
      <c r="C231" s="1065">
        <v>0.128</v>
      </c>
      <c r="D231" s="1065">
        <v>0.125</v>
      </c>
      <c r="E231" s="1065">
        <v>0.13200000000000001</v>
      </c>
      <c r="F231" s="1077"/>
    </row>
    <row r="232" spans="1:6" ht="14.25" thickBot="1">
      <c r="A232" s="838" t="s">
        <v>528</v>
      </c>
      <c r="B232" s="832" t="s">
        <v>951</v>
      </c>
      <c r="C232" s="1065">
        <v>0.14499999999999999</v>
      </c>
      <c r="D232" s="1065">
        <v>0.14399999999999999</v>
      </c>
      <c r="E232" s="1065">
        <v>0.14599999999999999</v>
      </c>
      <c r="F232" s="1066">
        <v>0.13800000000000001</v>
      </c>
    </row>
    <row r="233" spans="1:6" ht="14.25" thickBot="1">
      <c r="A233" s="838" t="s">
        <v>528</v>
      </c>
      <c r="B233" s="832" t="s">
        <v>952</v>
      </c>
      <c r="C233" s="1065">
        <v>0.14499999999999999</v>
      </c>
      <c r="D233" s="1065">
        <v>0.14299999999999999</v>
      </c>
      <c r="E233" s="1065">
        <v>0.14199999999999999</v>
      </c>
      <c r="F233" s="1077"/>
    </row>
    <row r="234" spans="1:6" ht="14.25" thickBot="1">
      <c r="A234" s="838" t="s">
        <v>528</v>
      </c>
      <c r="B234" s="832" t="s">
        <v>953</v>
      </c>
      <c r="C234" s="1065">
        <v>0.14000000000000001</v>
      </c>
      <c r="D234" s="1065">
        <v>0.14000000000000001</v>
      </c>
      <c r="E234" s="1065">
        <v>0.14399999999999999</v>
      </c>
      <c r="F234" s="1077"/>
    </row>
    <row r="235" spans="1:6" ht="14.25" thickBot="1">
      <c r="A235" s="838" t="s">
        <v>528</v>
      </c>
      <c r="B235" s="832" t="s">
        <v>954</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955</v>
      </c>
      <c r="C237" s="1078"/>
      <c r="D237" s="1078"/>
      <c r="E237" s="1078"/>
      <c r="F237" s="1066">
        <v>0.05</v>
      </c>
    </row>
    <row r="238" spans="1:6" ht="24.75" thickBot="1">
      <c r="A238" s="838" t="s">
        <v>528</v>
      </c>
      <c r="B238" s="832" t="s">
        <v>956</v>
      </c>
      <c r="C238" s="1078"/>
      <c r="D238" s="1078"/>
      <c r="E238" s="1078"/>
      <c r="F238" s="1066">
        <v>0.05</v>
      </c>
    </row>
    <row r="239" spans="1:6" ht="24.75" thickBot="1">
      <c r="A239" s="838" t="s">
        <v>528</v>
      </c>
      <c r="B239" s="832" t="s">
        <v>957</v>
      </c>
      <c r="C239" s="1078"/>
      <c r="D239" s="1078"/>
      <c r="E239" s="1078"/>
      <c r="F239" s="1066">
        <v>0.05</v>
      </c>
    </row>
    <row r="240" spans="1:6" ht="24.75" thickBot="1">
      <c r="A240" s="838" t="s">
        <v>528</v>
      </c>
      <c r="B240" s="832" t="s">
        <v>958</v>
      </c>
      <c r="C240" s="1078"/>
      <c r="D240" s="1078"/>
      <c r="E240" s="1078"/>
      <c r="F240" s="1066">
        <v>0.05</v>
      </c>
    </row>
    <row r="241" spans="1:6" ht="24.75" thickBot="1">
      <c r="A241" s="838" t="s">
        <v>528</v>
      </c>
      <c r="B241" s="832" t="s">
        <v>959</v>
      </c>
      <c r="C241" s="1078"/>
      <c r="D241" s="1078"/>
      <c r="E241" s="1078"/>
      <c r="F241" s="1066">
        <v>0.05</v>
      </c>
    </row>
    <row r="242" spans="1:6" ht="24.75" thickBot="1">
      <c r="A242" s="838" t="s">
        <v>528</v>
      </c>
      <c r="B242" s="832" t="s">
        <v>960</v>
      </c>
      <c r="C242" s="1078"/>
      <c r="D242" s="1078"/>
      <c r="E242" s="1078"/>
      <c r="F242" s="1066">
        <v>0.05</v>
      </c>
    </row>
    <row r="243" spans="1:6" ht="24.75" thickBot="1">
      <c r="A243" s="838" t="s">
        <v>528</v>
      </c>
      <c r="B243" s="832" t="s">
        <v>961</v>
      </c>
      <c r="C243" s="1078"/>
      <c r="D243" s="1078"/>
      <c r="E243" s="1078"/>
      <c r="F243" s="1066">
        <v>0.05</v>
      </c>
    </row>
    <row r="244" spans="1:6" ht="24.75" thickBot="1">
      <c r="A244" s="848" t="s">
        <v>528</v>
      </c>
      <c r="B244" s="844" t="s">
        <v>962</v>
      </c>
      <c r="C244" s="1075"/>
      <c r="D244" s="1075"/>
      <c r="E244" s="1075"/>
      <c r="F244" s="1068">
        <v>0.05</v>
      </c>
    </row>
    <row r="245" spans="1:6" ht="14.25" thickBot="1">
      <c r="A245" s="838" t="s">
        <v>530</v>
      </c>
      <c r="B245" s="839" t="s">
        <v>963</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964</v>
      </c>
      <c r="C247" s="1065">
        <v>0.15</v>
      </c>
      <c r="D247" s="1065">
        <v>0.15</v>
      </c>
      <c r="E247" s="1065">
        <v>0.15</v>
      </c>
      <c r="F247" s="1066">
        <v>0.15</v>
      </c>
    </row>
    <row r="248" spans="1:6" ht="14.25" thickBot="1">
      <c r="A248" s="838" t="s">
        <v>530</v>
      </c>
      <c r="B248" s="832" t="s">
        <v>965</v>
      </c>
      <c r="C248" s="1065">
        <v>0.15</v>
      </c>
      <c r="D248" s="1065">
        <v>0.15</v>
      </c>
      <c r="E248" s="1065">
        <v>0.15</v>
      </c>
      <c r="F248" s="1066">
        <v>0.14000000000000001</v>
      </c>
    </row>
    <row r="249" spans="1:6" ht="14.25" thickBot="1">
      <c r="A249" s="838" t="s">
        <v>530</v>
      </c>
      <c r="B249" s="832" t="s">
        <v>966</v>
      </c>
      <c r="C249" s="1065">
        <v>0.15</v>
      </c>
      <c r="D249" s="1065">
        <v>0.14899999999999999</v>
      </c>
      <c r="E249" s="1065">
        <v>0.15</v>
      </c>
      <c r="F249" s="1066">
        <v>0.1</v>
      </c>
    </row>
    <row r="250" spans="1:6" ht="14.25" thickBot="1">
      <c r="A250" s="838" t="s">
        <v>530</v>
      </c>
      <c r="B250" s="832" t="s">
        <v>967</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968</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969</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970</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971</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972</v>
      </c>
      <c r="C273" s="1065">
        <v>0.14199999999999999</v>
      </c>
      <c r="D273" s="1065">
        <v>0.14299999999999999</v>
      </c>
      <c r="E273" s="1065">
        <v>0.15</v>
      </c>
      <c r="F273" s="1066">
        <v>0.1</v>
      </c>
    </row>
    <row r="274" spans="1:6" ht="14.25" thickBot="1">
      <c r="A274" s="838" t="s">
        <v>530</v>
      </c>
      <c r="B274" s="832" t="s">
        <v>973</v>
      </c>
      <c r="C274" s="1065">
        <v>0.14799999999999999</v>
      </c>
      <c r="D274" s="1065">
        <v>0.14799999999999999</v>
      </c>
      <c r="E274" s="1065">
        <v>0.15</v>
      </c>
      <c r="F274" s="1066">
        <v>6.7000000000000004E-2</v>
      </c>
    </row>
    <row r="275" spans="1:6" ht="14.25" thickBot="1">
      <c r="A275" s="838" t="s">
        <v>530</v>
      </c>
      <c r="B275" s="832" t="s">
        <v>974</v>
      </c>
      <c r="C275" s="1065">
        <v>0.15</v>
      </c>
      <c r="D275" s="1065">
        <v>0.15</v>
      </c>
      <c r="E275" s="1065">
        <v>0.15</v>
      </c>
      <c r="F275" s="1066">
        <v>0.15</v>
      </c>
    </row>
    <row r="276" spans="1:6" ht="14.25" thickBot="1">
      <c r="A276" s="838" t="s">
        <v>530</v>
      </c>
      <c r="B276" s="832" t="s">
        <v>975</v>
      </c>
      <c r="C276" s="1065">
        <v>0.14499999999999999</v>
      </c>
      <c r="D276" s="1065">
        <v>0.14299999999999999</v>
      </c>
      <c r="E276" s="1065">
        <v>0.15</v>
      </c>
      <c r="F276" s="1066">
        <v>5.8999999999999997E-2</v>
      </c>
    </row>
    <row r="277" spans="1:6" ht="14.25" thickBot="1">
      <c r="A277" s="838" t="s">
        <v>530</v>
      </c>
      <c r="B277" s="832" t="s">
        <v>976</v>
      </c>
      <c r="C277" s="1065">
        <v>0.15</v>
      </c>
      <c r="D277" s="1065">
        <v>0.15</v>
      </c>
      <c r="E277" s="1065">
        <v>0.15</v>
      </c>
      <c r="F277" s="1066">
        <v>0.121</v>
      </c>
    </row>
    <row r="278" spans="1:6" ht="14.25" thickBot="1">
      <c r="A278" s="838" t="s">
        <v>530</v>
      </c>
      <c r="B278" s="832" t="s">
        <v>977</v>
      </c>
      <c r="C278" s="1065">
        <v>0.15</v>
      </c>
      <c r="D278" s="1065">
        <v>0.15</v>
      </c>
      <c r="E278" s="1065">
        <v>0.15</v>
      </c>
      <c r="F278" s="1066">
        <v>0.13800000000000001</v>
      </c>
    </row>
    <row r="279" spans="1:6" ht="24.75" thickBot="1">
      <c r="A279" s="838" t="s">
        <v>530</v>
      </c>
      <c r="B279" s="832" t="s">
        <v>978</v>
      </c>
      <c r="C279" s="1078"/>
      <c r="D279" s="1078"/>
      <c r="E279" s="1078"/>
      <c r="F279" s="1066">
        <v>0.05</v>
      </c>
    </row>
    <row r="280" spans="1:6" ht="24.75" thickBot="1">
      <c r="A280" s="838" t="s">
        <v>530</v>
      </c>
      <c r="B280" s="832" t="s">
        <v>979</v>
      </c>
      <c r="C280" s="1078"/>
      <c r="D280" s="1078"/>
      <c r="E280" s="1078"/>
      <c r="F280" s="1066">
        <v>0.05</v>
      </c>
    </row>
    <row r="281" spans="1:6" ht="24.75" thickBot="1">
      <c r="A281" s="838" t="s">
        <v>530</v>
      </c>
      <c r="B281" s="832" t="s">
        <v>980</v>
      </c>
      <c r="C281" s="1078"/>
      <c r="D281" s="1078"/>
      <c r="E281" s="1078"/>
      <c r="F281" s="1066">
        <v>0.05</v>
      </c>
    </row>
    <row r="282" spans="1:6" ht="24.75" thickBot="1">
      <c r="A282" s="838" t="s">
        <v>530</v>
      </c>
      <c r="B282" s="832" t="s">
        <v>981</v>
      </c>
      <c r="C282" s="1078"/>
      <c r="D282" s="1078"/>
      <c r="E282" s="1078"/>
      <c r="F282" s="1066">
        <v>0.05</v>
      </c>
    </row>
    <row r="283" spans="1:6" ht="24.75" thickBot="1">
      <c r="A283" s="838" t="s">
        <v>530</v>
      </c>
      <c r="B283" s="832" t="s">
        <v>982</v>
      </c>
      <c r="C283" s="1078"/>
      <c r="D283" s="1078"/>
      <c r="E283" s="1078"/>
      <c r="F283" s="1066">
        <v>0.05</v>
      </c>
    </row>
    <row r="284" spans="1:6" ht="24.75" thickBot="1">
      <c r="A284" s="838" t="s">
        <v>530</v>
      </c>
      <c r="B284" s="832" t="s">
        <v>983</v>
      </c>
      <c r="C284" s="1078"/>
      <c r="D284" s="1078"/>
      <c r="E284" s="1078"/>
      <c r="F284" s="1066">
        <v>0.05</v>
      </c>
    </row>
    <row r="285" spans="1:6" ht="24.75" thickBot="1">
      <c r="A285" s="838" t="s">
        <v>530</v>
      </c>
      <c r="B285" s="832" t="s">
        <v>984</v>
      </c>
      <c r="C285" s="1078"/>
      <c r="D285" s="1078"/>
      <c r="E285" s="1078"/>
      <c r="F285" s="1066">
        <v>0.05</v>
      </c>
    </row>
    <row r="286" spans="1:6" ht="24.75" thickBot="1">
      <c r="A286" s="838" t="s">
        <v>530</v>
      </c>
      <c r="B286" s="832" t="s">
        <v>985</v>
      </c>
      <c r="C286" s="1078"/>
      <c r="D286" s="1078"/>
      <c r="E286" s="1078"/>
      <c r="F286" s="1066">
        <v>0.05</v>
      </c>
    </row>
    <row r="287" spans="1:6" ht="24.75" thickBot="1">
      <c r="A287" s="838" t="s">
        <v>530</v>
      </c>
      <c r="B287" s="832" t="s">
        <v>986</v>
      </c>
      <c r="C287" s="1078"/>
      <c r="D287" s="1078"/>
      <c r="E287" s="1078"/>
      <c r="F287" s="1066">
        <v>0.05</v>
      </c>
    </row>
    <row r="288" spans="1:6" ht="24.75" thickBot="1">
      <c r="A288" s="838" t="s">
        <v>530</v>
      </c>
      <c r="B288" s="832" t="s">
        <v>987</v>
      </c>
      <c r="C288" s="1078"/>
      <c r="D288" s="1078"/>
      <c r="E288" s="1078"/>
      <c r="F288" s="1066">
        <v>0.05</v>
      </c>
    </row>
    <row r="289" spans="1:6" ht="24.75" thickBot="1">
      <c r="A289" s="848" t="s">
        <v>530</v>
      </c>
      <c r="B289" s="844" t="s">
        <v>988</v>
      </c>
      <c r="C289" s="1075"/>
      <c r="D289" s="1075"/>
      <c r="E289" s="1075"/>
      <c r="F289" s="1068">
        <v>0.05</v>
      </c>
    </row>
    <row r="290" spans="1:6" ht="14.25" thickBot="1">
      <c r="A290" s="838" t="s">
        <v>534</v>
      </c>
      <c r="B290" s="839" t="s">
        <v>989</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990</v>
      </c>
      <c r="C292" s="1065">
        <v>0.15</v>
      </c>
      <c r="D292" s="1065">
        <v>0.15</v>
      </c>
      <c r="E292" s="1065">
        <v>0.15</v>
      </c>
      <c r="F292" s="1066">
        <v>0.14699999999999999</v>
      </c>
    </row>
    <row r="293" spans="1:6" ht="14.25" thickBot="1">
      <c r="A293" s="838" t="s">
        <v>534</v>
      </c>
      <c r="B293" s="832" t="s">
        <v>991</v>
      </c>
      <c r="C293" s="1078"/>
      <c r="D293" s="1078"/>
      <c r="E293" s="1078"/>
      <c r="F293" s="1066">
        <v>0.1</v>
      </c>
    </row>
    <row r="294" spans="1:6" ht="14.25" thickBot="1">
      <c r="A294" s="838" t="s">
        <v>534</v>
      </c>
      <c r="B294" s="832" t="s">
        <v>992</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993</v>
      </c>
      <c r="C296" s="1065">
        <v>0.15</v>
      </c>
      <c r="D296" s="1065">
        <v>0.15</v>
      </c>
      <c r="E296" s="1065">
        <v>0.15</v>
      </c>
      <c r="F296" s="1066">
        <v>0.15</v>
      </c>
    </row>
    <row r="297" spans="1:6" ht="14.25" thickBot="1">
      <c r="A297" s="838" t="s">
        <v>534</v>
      </c>
      <c r="B297" s="832" t="s">
        <v>994</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995</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996</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997</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998</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999</v>
      </c>
      <c r="C310" s="1065">
        <v>0.15</v>
      </c>
      <c r="D310" s="1065">
        <v>0.15</v>
      </c>
      <c r="E310" s="1065">
        <v>0.15</v>
      </c>
      <c r="F310" s="1066">
        <v>0.13700000000000001</v>
      </c>
    </row>
    <row r="311" spans="1:6" ht="14.25" thickBot="1">
      <c r="A311" s="838" t="s">
        <v>534</v>
      </c>
      <c r="B311" s="832" t="s">
        <v>1000</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1001</v>
      </c>
      <c r="C313" s="1065">
        <v>0.15</v>
      </c>
      <c r="D313" s="1065">
        <v>0.15</v>
      </c>
      <c r="E313" s="1065">
        <v>0.15</v>
      </c>
      <c r="F313" s="1066">
        <v>0.15</v>
      </c>
    </row>
    <row r="314" spans="1:6" ht="24.75" thickBot="1">
      <c r="A314" s="838" t="s">
        <v>534</v>
      </c>
      <c r="B314" s="832" t="s">
        <v>1002</v>
      </c>
      <c r="C314" s="1078"/>
      <c r="D314" s="1078"/>
      <c r="E314" s="1078"/>
      <c r="F314" s="1066">
        <v>0.05</v>
      </c>
    </row>
    <row r="315" spans="1:6" ht="24.75" thickBot="1">
      <c r="A315" s="838" t="s">
        <v>534</v>
      </c>
      <c r="B315" s="832" t="s">
        <v>1003</v>
      </c>
      <c r="C315" s="1078"/>
      <c r="D315" s="1078"/>
      <c r="E315" s="1078"/>
      <c r="F315" s="1066">
        <v>0.05</v>
      </c>
    </row>
    <row r="316" spans="1:6" ht="24.75" thickBot="1">
      <c r="A316" s="848" t="s">
        <v>534</v>
      </c>
      <c r="B316" s="844" t="s">
        <v>1004</v>
      </c>
      <c r="C316" s="1075"/>
      <c r="D316" s="1075"/>
      <c r="E316" s="1075"/>
      <c r="F316" s="1068">
        <v>0.05</v>
      </c>
    </row>
    <row r="317" spans="1:6" ht="14.25" thickBot="1">
      <c r="A317" s="838" t="s">
        <v>1005</v>
      </c>
      <c r="B317" s="839" t="s">
        <v>1006</v>
      </c>
      <c r="C317" s="1063">
        <v>0.15</v>
      </c>
      <c r="D317" s="1063">
        <v>0.15</v>
      </c>
      <c r="E317" s="1063">
        <v>0.15</v>
      </c>
      <c r="F317" s="1064">
        <v>0.15</v>
      </c>
    </row>
    <row r="318" spans="1:6" ht="14.25" thickBot="1">
      <c r="A318" s="838" t="s">
        <v>1005</v>
      </c>
      <c r="B318" s="832" t="s">
        <v>1007</v>
      </c>
      <c r="C318" s="1065">
        <v>0.107</v>
      </c>
      <c r="D318" s="1065">
        <v>0.11</v>
      </c>
      <c r="E318" s="1065">
        <v>0.112</v>
      </c>
      <c r="F318" s="1077"/>
    </row>
    <row r="319" spans="1:6" ht="14.25" thickBot="1">
      <c r="A319" s="838" t="s">
        <v>1005</v>
      </c>
      <c r="B319" s="832" t="s">
        <v>1008</v>
      </c>
      <c r="C319" s="1065">
        <v>0.15</v>
      </c>
      <c r="D319" s="1065">
        <v>0.15</v>
      </c>
      <c r="E319" s="1065">
        <v>0.15</v>
      </c>
      <c r="F319" s="1066">
        <v>0.15</v>
      </c>
    </row>
    <row r="320" spans="1:6" ht="14.25" thickBot="1">
      <c r="A320" s="838" t="s">
        <v>1005</v>
      </c>
      <c r="B320" s="832" t="s">
        <v>223</v>
      </c>
      <c r="C320" s="1065">
        <v>0.15</v>
      </c>
      <c r="D320" s="1065">
        <v>0.15</v>
      </c>
      <c r="E320" s="1065">
        <v>0.15</v>
      </c>
      <c r="F320" s="1077"/>
    </row>
    <row r="321" spans="1:6" ht="14.25" thickBot="1">
      <c r="A321" s="838" t="s">
        <v>1005</v>
      </c>
      <c r="B321" s="832" t="s">
        <v>1009</v>
      </c>
      <c r="C321" s="1065">
        <v>0.15</v>
      </c>
      <c r="D321" s="1065">
        <v>0.15</v>
      </c>
      <c r="E321" s="1065">
        <v>0.15</v>
      </c>
      <c r="F321" s="1077"/>
    </row>
    <row r="322" spans="1:6" ht="14.25" thickBot="1">
      <c r="A322" s="838" t="s">
        <v>1005</v>
      </c>
      <c r="B322" s="832" t="s">
        <v>1010</v>
      </c>
      <c r="C322" s="1065">
        <v>0.15</v>
      </c>
      <c r="D322" s="1065">
        <v>0.15</v>
      </c>
      <c r="E322" s="1065">
        <v>0.15</v>
      </c>
      <c r="F322" s="1066">
        <v>0.15</v>
      </c>
    </row>
    <row r="323" spans="1:6" ht="14.25" thickBot="1">
      <c r="A323" s="838" t="s">
        <v>1005</v>
      </c>
      <c r="B323" s="832" t="s">
        <v>1011</v>
      </c>
      <c r="C323" s="1065">
        <v>0.15</v>
      </c>
      <c r="D323" s="1065">
        <v>0.15</v>
      </c>
      <c r="E323" s="1065">
        <v>0.15</v>
      </c>
      <c r="F323" s="1077"/>
    </row>
    <row r="324" spans="1:6" ht="14.25" thickBot="1">
      <c r="A324" s="838" t="s">
        <v>1005</v>
      </c>
      <c r="B324" s="832" t="s">
        <v>1012</v>
      </c>
      <c r="C324" s="1065">
        <v>0.15</v>
      </c>
      <c r="D324" s="1065">
        <v>0.15</v>
      </c>
      <c r="E324" s="1065">
        <v>0.15</v>
      </c>
      <c r="F324" s="1077"/>
    </row>
    <row r="325" spans="1:6" ht="14.25" thickBot="1">
      <c r="A325" s="838" t="s">
        <v>1005</v>
      </c>
      <c r="B325" s="832" t="s">
        <v>1013</v>
      </c>
      <c r="C325" s="1065">
        <v>0.15</v>
      </c>
      <c r="D325" s="1065">
        <v>0.15</v>
      </c>
      <c r="E325" s="1065">
        <v>0.15</v>
      </c>
      <c r="F325" s="1066">
        <v>0.14699999999999999</v>
      </c>
    </row>
    <row r="326" spans="1:6" ht="14.25" thickBot="1">
      <c r="A326" s="838" t="s">
        <v>1005</v>
      </c>
      <c r="B326" s="832" t="s">
        <v>290</v>
      </c>
      <c r="C326" s="1065">
        <v>0.15</v>
      </c>
      <c r="D326" s="1065">
        <v>0.15</v>
      </c>
      <c r="E326" s="1065">
        <v>0.15</v>
      </c>
      <c r="F326" s="1077"/>
    </row>
    <row r="327" spans="1:6" ht="14.25" thickBot="1">
      <c r="A327" s="838" t="s">
        <v>1005</v>
      </c>
      <c r="B327" s="832" t="s">
        <v>1014</v>
      </c>
      <c r="C327" s="1065">
        <v>0.15</v>
      </c>
      <c r="D327" s="1065">
        <v>0.15</v>
      </c>
      <c r="E327" s="1065">
        <v>0.15</v>
      </c>
      <c r="F327" s="1066">
        <v>0.15</v>
      </c>
    </row>
    <row r="328" spans="1:6" ht="14.25" thickBot="1">
      <c r="A328" s="838" t="s">
        <v>1005</v>
      </c>
      <c r="B328" s="832" t="s">
        <v>310</v>
      </c>
      <c r="C328" s="1065">
        <v>0.15</v>
      </c>
      <c r="D328" s="1065">
        <v>0.15</v>
      </c>
      <c r="E328" s="1065">
        <v>0.15</v>
      </c>
      <c r="F328" s="1066">
        <v>0.14099999999999999</v>
      </c>
    </row>
    <row r="329" spans="1:6" ht="14.25" thickBot="1">
      <c r="A329" s="838" t="s">
        <v>1005</v>
      </c>
      <c r="B329" s="832" t="s">
        <v>320</v>
      </c>
      <c r="C329" s="1065">
        <v>0.15</v>
      </c>
      <c r="D329" s="1065">
        <v>0.15</v>
      </c>
      <c r="E329" s="1065">
        <v>0.15</v>
      </c>
      <c r="F329" s="1066">
        <v>0.15</v>
      </c>
    </row>
    <row r="330" spans="1:6" ht="14.25" thickBot="1">
      <c r="A330" s="838" t="s">
        <v>1005</v>
      </c>
      <c r="B330" s="832" t="s">
        <v>331</v>
      </c>
      <c r="C330" s="1065">
        <v>0.15</v>
      </c>
      <c r="D330" s="1065">
        <v>0.15</v>
      </c>
      <c r="E330" s="1065">
        <v>0.15</v>
      </c>
      <c r="F330" s="1077"/>
    </row>
    <row r="331" spans="1:6" ht="14.25" thickBot="1">
      <c r="A331" s="838" t="s">
        <v>1005</v>
      </c>
      <c r="B331" s="832" t="s">
        <v>1015</v>
      </c>
      <c r="C331" s="1065">
        <v>0.15</v>
      </c>
      <c r="D331" s="1065">
        <v>0.15</v>
      </c>
      <c r="E331" s="1065">
        <v>0.15</v>
      </c>
      <c r="F331" s="1066">
        <v>0.15</v>
      </c>
    </row>
    <row r="332" spans="1:6" ht="14.25" thickBot="1">
      <c r="A332" s="838" t="s">
        <v>1005</v>
      </c>
      <c r="B332" s="832" t="s">
        <v>352</v>
      </c>
      <c r="C332" s="1065">
        <v>0.15</v>
      </c>
      <c r="D332" s="1065">
        <v>0.15</v>
      </c>
      <c r="E332" s="1065">
        <v>0.15</v>
      </c>
      <c r="F332" s="1066">
        <v>0.15</v>
      </c>
    </row>
    <row r="333" spans="1:6" ht="14.25" thickBot="1">
      <c r="A333" s="838" t="s">
        <v>1005</v>
      </c>
      <c r="B333" s="832" t="s">
        <v>1016</v>
      </c>
      <c r="C333" s="1065">
        <v>0.15</v>
      </c>
      <c r="D333" s="1065">
        <v>0.15</v>
      </c>
      <c r="E333" s="1065">
        <v>0.15</v>
      </c>
      <c r="F333" s="1066">
        <v>0.14099999999999999</v>
      </c>
    </row>
    <row r="334" spans="1:6" ht="14.25" thickBot="1">
      <c r="A334" s="838" t="s">
        <v>1005</v>
      </c>
      <c r="B334" s="832" t="s">
        <v>372</v>
      </c>
      <c r="C334" s="1065">
        <v>0.15</v>
      </c>
      <c r="D334" s="1065">
        <v>0.15</v>
      </c>
      <c r="E334" s="1065">
        <v>0.15</v>
      </c>
      <c r="F334" s="1066">
        <v>0.15</v>
      </c>
    </row>
    <row r="335" spans="1:6" ht="14.25" thickBot="1">
      <c r="A335" s="838" t="s">
        <v>1005</v>
      </c>
      <c r="B335" s="832" t="s">
        <v>382</v>
      </c>
      <c r="C335" s="1065">
        <v>0.15</v>
      </c>
      <c r="D335" s="1065">
        <v>0.15</v>
      </c>
      <c r="E335" s="1065">
        <v>0.15</v>
      </c>
      <c r="F335" s="1077"/>
    </row>
    <row r="336" spans="1:6" ht="14.25" thickBot="1">
      <c r="A336" s="838" t="s">
        <v>1005</v>
      </c>
      <c r="B336" s="832" t="s">
        <v>1017</v>
      </c>
      <c r="C336" s="1065">
        <v>0.15</v>
      </c>
      <c r="D336" s="1065">
        <v>0.15</v>
      </c>
      <c r="E336" s="1065">
        <v>0.15</v>
      </c>
      <c r="F336" s="1066">
        <v>0.11799999999999999</v>
      </c>
    </row>
    <row r="337" spans="1:6" ht="14.25" thickBot="1">
      <c r="A337" s="848" t="s">
        <v>1005</v>
      </c>
      <c r="B337" s="844" t="s">
        <v>400</v>
      </c>
      <c r="C337" s="1075"/>
      <c r="D337" s="1075"/>
      <c r="E337" s="1075"/>
      <c r="F337" s="1068">
        <v>0.14299999999999999</v>
      </c>
    </row>
    <row r="338" spans="1:6" ht="14.25" thickBot="1">
      <c r="A338" s="838" t="s">
        <v>1018</v>
      </c>
      <c r="B338" s="839" t="s">
        <v>1019</v>
      </c>
      <c r="C338" s="1063">
        <v>0.15</v>
      </c>
      <c r="D338" s="1063">
        <v>0.15</v>
      </c>
      <c r="E338" s="1063">
        <v>0.15</v>
      </c>
      <c r="F338" s="1080"/>
    </row>
    <row r="339" spans="1:6" ht="14.25" thickBot="1">
      <c r="A339" s="838" t="s">
        <v>1018</v>
      </c>
      <c r="B339" s="832" t="s">
        <v>1020</v>
      </c>
      <c r="C339" s="1065">
        <v>0.15</v>
      </c>
      <c r="D339" s="1065">
        <v>0.15</v>
      </c>
      <c r="E339" s="1065">
        <v>0.15</v>
      </c>
      <c r="F339" s="1077"/>
    </row>
    <row r="340" spans="1:6" ht="14.25" thickBot="1">
      <c r="A340" s="838" t="s">
        <v>1018</v>
      </c>
      <c r="B340" s="832" t="s">
        <v>1021</v>
      </c>
      <c r="C340" s="1065">
        <v>0.15</v>
      </c>
      <c r="D340" s="1065">
        <v>0.15</v>
      </c>
      <c r="E340" s="1065">
        <v>0.15</v>
      </c>
      <c r="F340" s="1077"/>
    </row>
    <row r="341" spans="1:6" ht="14.25" thickBot="1">
      <c r="A341" s="838" t="s">
        <v>1018</v>
      </c>
      <c r="B341" s="832" t="s">
        <v>1022</v>
      </c>
      <c r="C341" s="1065">
        <v>0.15</v>
      </c>
      <c r="D341" s="1065">
        <v>0.15</v>
      </c>
      <c r="E341" s="1065">
        <v>0.15</v>
      </c>
      <c r="F341" s="1066">
        <v>0.15</v>
      </c>
    </row>
    <row r="342" spans="1:6" ht="14.25" thickBot="1">
      <c r="A342" s="838" t="s">
        <v>1018</v>
      </c>
      <c r="B342" s="832" t="s">
        <v>1023</v>
      </c>
      <c r="C342" s="1065">
        <v>0.15</v>
      </c>
      <c r="D342" s="1065">
        <v>0.15</v>
      </c>
      <c r="E342" s="1065">
        <v>0.15</v>
      </c>
      <c r="F342" s="1066">
        <v>0.15</v>
      </c>
    </row>
    <row r="343" spans="1:6" ht="14.25" thickBot="1">
      <c r="A343" s="838" t="s">
        <v>1018</v>
      </c>
      <c r="B343" s="832" t="s">
        <v>1024</v>
      </c>
      <c r="C343" s="1065">
        <v>0.15</v>
      </c>
      <c r="D343" s="1065">
        <v>0.15</v>
      </c>
      <c r="E343" s="1065">
        <v>0.15</v>
      </c>
      <c r="F343" s="1066">
        <v>0.15</v>
      </c>
    </row>
    <row r="344" spans="1:6" ht="14.25" thickBot="1">
      <c r="A344" s="848" t="s">
        <v>1018</v>
      </c>
      <c r="B344" s="844" t="s">
        <v>1025</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1296</v>
      </c>
      <c r="C1" s="1695">
        <f>项目基本情况!D3</f>
        <v>43570</v>
      </c>
      <c r="D1" s="1701" t="s">
        <v>1297</v>
      </c>
      <c r="E1" s="1696">
        <f>'数据-取费表'!B22</f>
        <v>2</v>
      </c>
      <c r="F1" s="1701" t="s">
        <v>1298</v>
      </c>
      <c r="G1" s="1697">
        <f ca="1">INDIRECT("d"&amp;$K$1)/100</f>
        <v>4.7500000000000001E-2</v>
      </c>
      <c r="H1" s="1701" t="s">
        <v>1328</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1299</v>
      </c>
      <c r="E2" s="1637"/>
      <c r="F2" s="1637" t="s">
        <v>1300</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1301</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1302</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1303</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1304</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1305</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1306</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1307</v>
      </c>
      <c r="C10" s="1665"/>
      <c r="D10" s="1665"/>
      <c r="E10" s="1665"/>
      <c r="F10" s="1665"/>
      <c r="G10" s="1665"/>
      <c r="H10" s="1665"/>
      <c r="I10" s="1639"/>
      <c r="J10" s="1639"/>
      <c r="K10" s="1665"/>
      <c r="L10" s="1666" t="s">
        <v>1308</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1309</v>
      </c>
      <c r="C11" s="1670" t="s">
        <v>1310</v>
      </c>
      <c r="D11" s="1671" t="s">
        <v>1311</v>
      </c>
      <c r="E11" s="1672"/>
      <c r="F11" s="1671" t="s">
        <v>1312</v>
      </c>
      <c r="G11" s="1673"/>
      <c r="H11" s="1672"/>
      <c r="I11" s="1671" t="s">
        <v>1313</v>
      </c>
      <c r="J11" s="1672"/>
      <c r="K11" s="1668"/>
      <c r="L11" s="1669" t="s">
        <v>1309</v>
      </c>
      <c r="M11" s="1670" t="s">
        <v>1310</v>
      </c>
      <c r="N11" s="1669" t="s">
        <v>1314</v>
      </c>
      <c r="O11" s="1671" t="s">
        <v>1315</v>
      </c>
      <c r="P11" s="1673"/>
      <c r="Q11" s="1673"/>
      <c r="R11" s="1673"/>
      <c r="S11" s="1673"/>
      <c r="T11" s="1672"/>
      <c r="U11" s="1671" t="s">
        <v>1316</v>
      </c>
      <c r="V11" s="1673"/>
      <c r="W11" s="1672"/>
      <c r="X11" s="1669" t="s">
        <v>1317</v>
      </c>
      <c r="Y11" s="1669" t="s">
        <v>1318</v>
      </c>
      <c r="Z11" s="1669" t="s">
        <v>1319</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1320</v>
      </c>
      <c r="E12" s="1678" t="s">
        <v>1321</v>
      </c>
      <c r="F12" s="1678" t="s">
        <v>1322</v>
      </c>
      <c r="G12" s="1678" t="s">
        <v>1323</v>
      </c>
      <c r="H12" s="1678" t="s">
        <v>1305</v>
      </c>
      <c r="I12" s="1679" t="s">
        <v>1324</v>
      </c>
      <c r="J12" s="1679" t="s">
        <v>1324</v>
      </c>
      <c r="K12" s="1675"/>
      <c r="L12" s="1676"/>
      <c r="M12" s="1677"/>
      <c r="N12" s="1676"/>
      <c r="O12" s="1679" t="s">
        <v>1325</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1326</v>
      </c>
      <c r="C13" s="1683">
        <v>42301</v>
      </c>
      <c r="D13" s="1684">
        <v>4.3499999999999996</v>
      </c>
      <c r="E13" s="1684">
        <v>4.3499999999999996</v>
      </c>
      <c r="F13" s="1684">
        <v>4.75</v>
      </c>
      <c r="G13" s="1684">
        <v>4.75</v>
      </c>
      <c r="H13" s="1684">
        <v>4.9000000000000004</v>
      </c>
      <c r="I13" s="1684">
        <v>2.75</v>
      </c>
      <c r="J13" s="1684">
        <v>3.25</v>
      </c>
      <c r="K13" s="1681"/>
      <c r="L13" s="1682" t="s">
        <v>1326</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1327</v>
      </c>
      <c r="Y42" s="1688" t="s">
        <v>1327</v>
      </c>
      <c r="Z42" s="1688" t="s">
        <v>1327</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1327</v>
      </c>
      <c r="Y43" s="1688" t="s">
        <v>1327</v>
      </c>
      <c r="Z43" s="1688" t="s">
        <v>1327</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1327</v>
      </c>
      <c r="Y44" s="1688" t="s">
        <v>1327</v>
      </c>
      <c r="Z44" s="1688" t="s">
        <v>1327</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1327</v>
      </c>
      <c r="Y45" s="1688" t="s">
        <v>1327</v>
      </c>
      <c r="Z45" s="1688" t="s">
        <v>1327</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1327</v>
      </c>
      <c r="Y46" s="1688" t="s">
        <v>1327</v>
      </c>
      <c r="Z46" s="1688" t="s">
        <v>1327</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1327</v>
      </c>
      <c r="Y47" s="1688" t="s">
        <v>1327</v>
      </c>
      <c r="Z47" s="1688" t="s">
        <v>1327</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1327</v>
      </c>
      <c r="Y48" s="1688" t="s">
        <v>1327</v>
      </c>
      <c r="Z48" s="1688" t="s">
        <v>1327</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1327</v>
      </c>
      <c r="Y49" s="1688" t="s">
        <v>1327</v>
      </c>
      <c r="Z49" s="1688" t="s">
        <v>1327</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1327</v>
      </c>
      <c r="Y50" s="1688" t="s">
        <v>1327</v>
      </c>
      <c r="Z50" s="1688" t="s">
        <v>1327</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1327</v>
      </c>
      <c r="V51" s="1688" t="s">
        <v>1327</v>
      </c>
      <c r="W51" s="1688" t="s">
        <v>1327</v>
      </c>
      <c r="X51" s="1688" t="s">
        <v>1327</v>
      </c>
      <c r="Y51" s="1688" t="s">
        <v>1327</v>
      </c>
      <c r="Z51" s="1688" t="s">
        <v>1327</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1327</v>
      </c>
      <c r="J55" s="1688" t="s">
        <v>1327</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70" zoomScaleNormal="70" workbookViewId="0">
      <selection activeCell="J7" sqref="J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2529</v>
      </c>
      <c r="B1" s="2670" t="s">
        <v>2687</v>
      </c>
      <c r="C1" s="1621" t="s">
        <v>2531</v>
      </c>
      <c r="D1" s="1622" t="s">
        <v>3307</v>
      </c>
      <c r="E1" s="1631"/>
      <c r="F1" s="2585" t="s">
        <v>3098</v>
      </c>
      <c r="G1" s="1632" t="s">
        <v>2533</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1390</v>
      </c>
      <c r="B2" s="1419">
        <f>IF(C2="——",ROUND(C50*D3/10000,0),ROUND(C50*D3/10000,0)-D2)</f>
        <v>39960</v>
      </c>
      <c r="C2" s="2587" t="s">
        <v>70</v>
      </c>
      <c r="D2" s="1366" t="e">
        <f ca="1">SUMIF(INDIRECT("'"&amp;F2&amp;"'"&amp;"!A:A"),"承租人权益价值",INDIRECT("'"&amp;F2&amp;"'"&amp;"!c:c"))</f>
        <v>#REF!</v>
      </c>
      <c r="E2" s="2588" t="s">
        <v>2329</v>
      </c>
      <c r="F2" s="2589"/>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1391</v>
      </c>
      <c r="B3" s="609">
        <f>IF(C2="——",C50,ROUND(B2*10000/D3,0))</f>
        <v>24657</v>
      </c>
      <c r="C3" s="400" t="s">
        <v>2535</v>
      </c>
      <c r="D3" s="399">
        <f>IF(D1="",'数据-汇总表'!E3,SUMIF('数据-汇总表'!$C19:$C33,D1,'数据-汇总表'!$E19:$E33))</f>
        <v>16206.23</v>
      </c>
      <c r="E3" s="2664"/>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1" t="s">
        <v>2536</v>
      </c>
      <c r="B4" s="402"/>
      <c r="C4" s="3244" t="s">
        <v>2537</v>
      </c>
      <c r="D4" s="3245"/>
      <c r="E4" s="3246" t="s">
        <v>2538</v>
      </c>
      <c r="F4" s="3247"/>
      <c r="G4" s="3244" t="s">
        <v>2539</v>
      </c>
      <c r="H4" s="3245"/>
      <c r="I4" s="3244" t="s">
        <v>2540</v>
      </c>
      <c r="J4" s="3245"/>
      <c r="K4" s="610" t="s">
        <v>2541</v>
      </c>
      <c r="L4" s="1131"/>
      <c r="M4" s="1132"/>
      <c r="N4" s="1132"/>
      <c r="O4" s="1132"/>
      <c r="P4" s="3308" t="s">
        <v>2542</v>
      </c>
      <c r="Q4" s="3309"/>
      <c r="R4" s="3303" t="s">
        <v>2538</v>
      </c>
      <c r="S4" s="3304"/>
      <c r="T4" s="3303" t="s">
        <v>2539</v>
      </c>
      <c r="U4" s="3304"/>
      <c r="V4" s="3312" t="s">
        <v>2540</v>
      </c>
      <c r="W4" s="3312"/>
      <c r="X4" s="3031"/>
      <c r="Y4" s="3303" t="s">
        <v>2542</v>
      </c>
      <c r="Z4" s="3304"/>
      <c r="AA4" s="3302" t="s">
        <v>2538</v>
      </c>
      <c r="AB4" s="3302" t="s">
        <v>2539</v>
      </c>
      <c r="AC4" s="3305" t="s">
        <v>2540</v>
      </c>
    </row>
    <row r="5" spans="1:29" ht="15">
      <c r="A5" s="404"/>
      <c r="B5" s="405"/>
      <c r="C5" s="3237" t="s">
        <v>2543</v>
      </c>
      <c r="D5" s="3238"/>
      <c r="E5" s="3235" t="str">
        <f>Sheet3!A26</f>
        <v>高教综合大楼</v>
      </c>
      <c r="F5" s="3236"/>
      <c r="G5" s="3237" t="str">
        <f>Sheet3!A27</f>
        <v>青年创业大厦</v>
      </c>
      <c r="H5" s="3238"/>
      <c r="I5" s="3237" t="str">
        <f>Sheet3!A28</f>
        <v>珠江摩派</v>
      </c>
      <c r="J5" s="3238"/>
      <c r="K5" s="610"/>
      <c r="L5" s="1131"/>
      <c r="M5" s="1132"/>
      <c r="N5" s="1132"/>
      <c r="O5" s="1132"/>
      <c r="P5" s="3310"/>
      <c r="Q5" s="3251"/>
      <c r="R5" s="3233"/>
      <c r="S5" s="3234"/>
      <c r="T5" s="3233"/>
      <c r="U5" s="3234"/>
      <c r="V5" s="3228"/>
      <c r="W5" s="3228"/>
      <c r="X5" s="3026"/>
      <c r="Y5" s="3233"/>
      <c r="Z5" s="3234"/>
      <c r="AA5" s="3226"/>
      <c r="AB5" s="3226"/>
      <c r="AC5" s="3306"/>
    </row>
    <row r="6" spans="1:29" ht="15.75" thickBot="1">
      <c r="A6" s="406"/>
      <c r="B6" s="407"/>
      <c r="C6" s="3239" t="s">
        <v>2547</v>
      </c>
      <c r="D6" s="3240"/>
      <c r="E6" s="3241" t="s">
        <v>2547</v>
      </c>
      <c r="F6" s="3242"/>
      <c r="G6" s="3239" t="s">
        <v>2547</v>
      </c>
      <c r="H6" s="3240"/>
      <c r="I6" s="3239" t="s">
        <v>2547</v>
      </c>
      <c r="J6" s="3240"/>
      <c r="K6" s="610" t="s">
        <v>2548</v>
      </c>
      <c r="L6" s="1131"/>
      <c r="M6" s="1132"/>
      <c r="N6" s="1132"/>
      <c r="O6" s="1132"/>
      <c r="P6" s="3311"/>
      <c r="Q6" s="3253"/>
      <c r="R6" s="3233"/>
      <c r="S6" s="3234"/>
      <c r="T6" s="3254"/>
      <c r="U6" s="3255"/>
      <c r="V6" s="3228"/>
      <c r="W6" s="3228"/>
      <c r="X6" s="3026"/>
      <c r="Y6" s="3254"/>
      <c r="Z6" s="3255"/>
      <c r="AA6" s="3227"/>
      <c r="AB6" s="3227"/>
      <c r="AC6" s="3307"/>
    </row>
    <row r="7" spans="1:29" s="117" customFormat="1" ht="15.75" thickBot="1">
      <c r="A7" s="408" t="s">
        <v>2549</v>
      </c>
      <c r="B7" s="409"/>
      <c r="C7" s="410">
        <f>'数据-取费表'!B2</f>
        <v>43570</v>
      </c>
      <c r="D7" s="411">
        <v>100</v>
      </c>
      <c r="E7" s="412">
        <v>43556</v>
      </c>
      <c r="F7" s="413">
        <f>SUMIF(59:59,YEAR(E7)&amp;"-"&amp;MONTH(E7),60:60)</f>
        <v>100</v>
      </c>
      <c r="G7" s="412">
        <v>43556</v>
      </c>
      <c r="H7" s="411">
        <f>SUMIF(59:59,YEAR(G7)&amp;"-"&amp;MONTH(G7),60:60)</f>
        <v>100</v>
      </c>
      <c r="I7" s="412">
        <v>43556</v>
      </c>
      <c r="J7" s="411">
        <f>SUMIF(59:59,YEAR(I7)&amp;"-"&amp;MONTH(I7),60:60)</f>
        <v>100</v>
      </c>
      <c r="K7" s="611"/>
      <c r="L7" s="1133"/>
      <c r="M7" s="1134"/>
      <c r="N7" s="1134"/>
      <c r="O7" s="1134"/>
      <c r="P7" s="3313" t="s">
        <v>2550</v>
      </c>
      <c r="Q7" s="3256"/>
      <c r="R7" s="768" t="s">
        <v>17</v>
      </c>
      <c r="S7" s="769">
        <f t="shared" ref="S7:S15" si="0">F7</f>
        <v>100</v>
      </c>
      <c r="T7" s="768" t="s">
        <v>17</v>
      </c>
      <c r="U7" s="769">
        <f t="shared" ref="U7:U15" si="1">H7</f>
        <v>100</v>
      </c>
      <c r="V7" s="768" t="s">
        <v>17</v>
      </c>
      <c r="W7" s="769">
        <f t="shared" ref="W7:W15" si="2">J7</f>
        <v>100</v>
      </c>
      <c r="X7" s="770"/>
      <c r="Y7" s="3229" t="s">
        <v>2550</v>
      </c>
      <c r="Z7" s="3230"/>
      <c r="AA7" s="771">
        <f>D7/F7</f>
        <v>1</v>
      </c>
      <c r="AB7" s="771">
        <f>D7/H7</f>
        <v>1</v>
      </c>
      <c r="AC7" s="2672">
        <f>D7/J7</f>
        <v>1</v>
      </c>
    </row>
    <row r="8" spans="1:29" s="117" customFormat="1" ht="15.75" thickBot="1">
      <c r="A8" s="408" t="s">
        <v>2551</v>
      </c>
      <c r="B8" s="409"/>
      <c r="C8" s="414" t="s">
        <v>2588</v>
      </c>
      <c r="D8" s="411">
        <v>100</v>
      </c>
      <c r="E8" s="2970" t="s">
        <v>3100</v>
      </c>
      <c r="F8" s="413">
        <f>SUMIF(62:62,E8,63:63)-SUMIF(62:62,C8,63:63)+100</f>
        <v>100</v>
      </c>
      <c r="G8" s="2970" t="s">
        <v>3100</v>
      </c>
      <c r="H8" s="411">
        <f>SUMIF(62:62,G8,63:63)-SUMIF(62:62,C8,63:63)+100</f>
        <v>100</v>
      </c>
      <c r="I8" s="2970" t="s">
        <v>3100</v>
      </c>
      <c r="J8" s="411">
        <f>SUMIF(62:62,I8,63:63)-SUMIF(62:62,C8,63:63)+100</f>
        <v>100</v>
      </c>
      <c r="K8" s="611"/>
      <c r="L8" s="1133"/>
      <c r="M8" s="1134"/>
      <c r="N8" s="1134"/>
      <c r="O8" s="1134"/>
      <c r="P8" s="3313" t="s">
        <v>2553</v>
      </c>
      <c r="Q8" s="3230"/>
      <c r="R8" s="768" t="s">
        <v>17</v>
      </c>
      <c r="S8" s="769">
        <f t="shared" si="0"/>
        <v>100</v>
      </c>
      <c r="T8" s="768" t="s">
        <v>17</v>
      </c>
      <c r="U8" s="769">
        <f t="shared" si="1"/>
        <v>100</v>
      </c>
      <c r="V8" s="768" t="s">
        <v>17</v>
      </c>
      <c r="W8" s="769">
        <f t="shared" si="2"/>
        <v>100</v>
      </c>
      <c r="X8" s="770"/>
      <c r="Y8" s="3229" t="s">
        <v>2553</v>
      </c>
      <c r="Z8" s="3230"/>
      <c r="AA8" s="771">
        <f t="shared" ref="AA8:AA47" si="3">D8/F8</f>
        <v>1</v>
      </c>
      <c r="AB8" s="771">
        <f t="shared" ref="AB8:AB47" si="4">D8/H8</f>
        <v>1</v>
      </c>
      <c r="AC8" s="2672">
        <f t="shared" ref="AC8:AC47" si="5">D8/J8</f>
        <v>1</v>
      </c>
    </row>
    <row r="9" spans="1:29" s="117" customFormat="1">
      <c r="A9" s="415" t="s">
        <v>2554</v>
      </c>
      <c r="B9" s="71" t="s">
        <v>2555</v>
      </c>
      <c r="C9" s="2971" t="s">
        <v>3318</v>
      </c>
      <c r="D9" s="135">
        <v>100</v>
      </c>
      <c r="E9" s="2972" t="s">
        <v>3101</v>
      </c>
      <c r="F9" s="135">
        <f>SUMIF(64:64,E9,65:65)-SUMIF(64:64,C9,65:65)+100</f>
        <v>105</v>
      </c>
      <c r="G9" s="2973" t="s">
        <v>3101</v>
      </c>
      <c r="H9" s="135">
        <f>SUMIF(64:64,G9,65:65)-SUMIF(64:64,C9,65:65)+100</f>
        <v>105</v>
      </c>
      <c r="I9" s="2973" t="s">
        <v>3101</v>
      </c>
      <c r="J9" s="135">
        <f>SUMIF(64:64,I9,65:65)-SUMIF(64:64,C9,65:65)+100</f>
        <v>105</v>
      </c>
      <c r="K9" s="611"/>
      <c r="L9" s="1133"/>
      <c r="M9" s="1134"/>
      <c r="N9" s="1134"/>
      <c r="O9" s="1134"/>
      <c r="P9" s="3243" t="s">
        <v>2556</v>
      </c>
      <c r="Q9" s="3005" t="str">
        <f t="shared" ref="Q9:Q15" si="6">B9</f>
        <v>用途</v>
      </c>
      <c r="R9" s="768" t="s">
        <v>17</v>
      </c>
      <c r="S9" s="769">
        <f t="shared" si="0"/>
        <v>105</v>
      </c>
      <c r="T9" s="768" t="s">
        <v>17</v>
      </c>
      <c r="U9" s="769">
        <f t="shared" si="1"/>
        <v>105</v>
      </c>
      <c r="V9" s="768" t="s">
        <v>17</v>
      </c>
      <c r="W9" s="769">
        <f t="shared" si="2"/>
        <v>105</v>
      </c>
      <c r="X9" s="770"/>
      <c r="Y9" s="3102" t="s">
        <v>2557</v>
      </c>
      <c r="Z9" s="3006" t="str">
        <f t="shared" ref="Z9:Z15" si="7">Q9</f>
        <v>用途</v>
      </c>
      <c r="AA9" s="771">
        <f t="shared" si="3"/>
        <v>0.95238095238095233</v>
      </c>
      <c r="AB9" s="771">
        <f t="shared" si="4"/>
        <v>0.95238095238095233</v>
      </c>
      <c r="AC9" s="2672">
        <f t="shared" si="5"/>
        <v>0.95238095238095233</v>
      </c>
    </row>
    <row r="10" spans="1:29" s="427" customFormat="1" ht="27">
      <c r="A10" s="421"/>
      <c r="B10" s="3023" t="s">
        <v>2558</v>
      </c>
      <c r="C10" s="423" t="s">
        <v>3102</v>
      </c>
      <c r="D10" s="136">
        <v>100</v>
      </c>
      <c r="E10" s="423" t="s">
        <v>3102</v>
      </c>
      <c r="F10" s="136">
        <f>SUMIF(66:66,E10,67:67)-SUMIF(66:66,C10,67:67)+100</f>
        <v>100</v>
      </c>
      <c r="G10" s="424" t="s">
        <v>3102</v>
      </c>
      <c r="H10" s="136">
        <f>SUMIF(66:66,G10,67:67)-SUMIF(66:66,C10,67:67)+100</f>
        <v>100</v>
      </c>
      <c r="I10" s="423" t="s">
        <v>3102</v>
      </c>
      <c r="J10" s="136">
        <f>SUMIF(66:66,I10,67:67)-SUMIF(66:66,C10,67:67)+100</f>
        <v>100</v>
      </c>
      <c r="K10" s="612">
        <v>2</v>
      </c>
      <c r="L10" s="1136"/>
      <c r="M10" s="1137"/>
      <c r="N10" s="1137"/>
      <c r="O10" s="1137"/>
      <c r="P10" s="3243"/>
      <c r="Q10" s="3005" t="str">
        <f t="shared" si="6"/>
        <v>土地使用年限（年）</v>
      </c>
      <c r="R10" s="768" t="s">
        <v>17</v>
      </c>
      <c r="S10" s="769">
        <f t="shared" si="0"/>
        <v>100</v>
      </c>
      <c r="T10" s="768" t="s">
        <v>17</v>
      </c>
      <c r="U10" s="769">
        <f t="shared" si="1"/>
        <v>100</v>
      </c>
      <c r="V10" s="768" t="s">
        <v>17</v>
      </c>
      <c r="W10" s="769">
        <f t="shared" si="2"/>
        <v>100</v>
      </c>
      <c r="X10" s="770"/>
      <c r="Y10" s="3102"/>
      <c r="Z10" s="3006" t="str">
        <f t="shared" si="7"/>
        <v>土地使用年限（年）</v>
      </c>
      <c r="AA10" s="771">
        <f t="shared" si="3"/>
        <v>1</v>
      </c>
      <c r="AB10" s="771">
        <f t="shared" si="4"/>
        <v>1</v>
      </c>
      <c r="AC10" s="2672">
        <f t="shared" si="5"/>
        <v>1</v>
      </c>
    </row>
    <row r="11" spans="1:29" ht="15">
      <c r="A11" s="428"/>
      <c r="B11" s="3023" t="s">
        <v>2559</v>
      </c>
      <c r="C11" s="429"/>
      <c r="D11" s="136">
        <v>100</v>
      </c>
      <c r="E11" s="429"/>
      <c r="F11" s="136">
        <f>LOOKUP(E11,69:69,70:70)-LOOKUP(C11,69:69,70:70)+100</f>
        <v>100</v>
      </c>
      <c r="G11" s="430"/>
      <c r="H11" s="136">
        <f>LOOKUP(G11,69:69,70:70)-LOOKUP(C11,69:69,70:70)+100</f>
        <v>100</v>
      </c>
      <c r="I11" s="429"/>
      <c r="J11" s="136">
        <f>LOOKUP(I11,69:69,70:70)-LOOKUP(C11,69:69,70:70)+100</f>
        <v>100</v>
      </c>
      <c r="K11" s="612">
        <v>2</v>
      </c>
      <c r="L11" s="1139"/>
      <c r="M11" s="1132"/>
      <c r="N11" s="1132"/>
      <c r="O11" s="1132"/>
      <c r="P11" s="3243"/>
      <c r="Q11" s="3005" t="str">
        <f t="shared" si="6"/>
        <v>容积率</v>
      </c>
      <c r="R11" s="768" t="s">
        <v>17</v>
      </c>
      <c r="S11" s="769">
        <f t="shared" si="0"/>
        <v>100</v>
      </c>
      <c r="T11" s="768" t="s">
        <v>17</v>
      </c>
      <c r="U11" s="769">
        <f t="shared" si="1"/>
        <v>100</v>
      </c>
      <c r="V11" s="768" t="s">
        <v>17</v>
      </c>
      <c r="W11" s="769">
        <f t="shared" si="2"/>
        <v>100</v>
      </c>
      <c r="X11" s="770"/>
      <c r="Y11" s="3102"/>
      <c r="Z11" s="3006" t="str">
        <f t="shared" si="7"/>
        <v>容积率</v>
      </c>
      <c r="AA11" s="771">
        <f t="shared" si="3"/>
        <v>1</v>
      </c>
      <c r="AB11" s="771">
        <f t="shared" si="4"/>
        <v>1</v>
      </c>
      <c r="AC11" s="2672">
        <f t="shared" si="5"/>
        <v>1</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3"/>
      <c r="M12" s="1134"/>
      <c r="N12" s="1134"/>
      <c r="O12" s="1134"/>
      <c r="P12" s="3243"/>
      <c r="Q12" s="3005">
        <f t="shared" si="6"/>
        <v>111</v>
      </c>
      <c r="R12" s="768" t="s">
        <v>17</v>
      </c>
      <c r="S12" s="769">
        <f t="shared" si="0"/>
        <v>100</v>
      </c>
      <c r="T12" s="768" t="s">
        <v>17</v>
      </c>
      <c r="U12" s="769">
        <f t="shared" si="1"/>
        <v>100</v>
      </c>
      <c r="V12" s="768" t="s">
        <v>17</v>
      </c>
      <c r="W12" s="769">
        <f t="shared" si="2"/>
        <v>100</v>
      </c>
      <c r="X12" s="770"/>
      <c r="Y12" s="3102"/>
      <c r="Z12" s="3006">
        <f t="shared" si="7"/>
        <v>111</v>
      </c>
      <c r="AA12" s="771">
        <f>D12/F12</f>
        <v>1</v>
      </c>
      <c r="AB12" s="771">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1"/>
      <c r="M13" s="1132"/>
      <c r="N13" s="1132"/>
      <c r="O13" s="1132"/>
      <c r="P13" s="3243"/>
      <c r="Q13" s="3005">
        <f t="shared" si="6"/>
        <v>111</v>
      </c>
      <c r="R13" s="768" t="s">
        <v>17</v>
      </c>
      <c r="S13" s="769">
        <f t="shared" si="0"/>
        <v>100</v>
      </c>
      <c r="T13" s="768" t="s">
        <v>17</v>
      </c>
      <c r="U13" s="769">
        <f t="shared" si="1"/>
        <v>100</v>
      </c>
      <c r="V13" s="768" t="s">
        <v>17</v>
      </c>
      <c r="W13" s="769">
        <f t="shared" si="2"/>
        <v>100</v>
      </c>
      <c r="X13" s="770"/>
      <c r="Y13" s="3102"/>
      <c r="Z13" s="3006">
        <f t="shared" si="7"/>
        <v>111</v>
      </c>
      <c r="AA13" s="771">
        <f t="shared" si="3"/>
        <v>1</v>
      </c>
      <c r="AB13" s="771">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1"/>
      <c r="M14" s="1132"/>
      <c r="N14" s="1132"/>
      <c r="O14" s="1132"/>
      <c r="P14" s="3243"/>
      <c r="Q14" s="3005">
        <f t="shared" si="6"/>
        <v>111</v>
      </c>
      <c r="R14" s="768" t="s">
        <v>17</v>
      </c>
      <c r="S14" s="769">
        <f t="shared" si="0"/>
        <v>100</v>
      </c>
      <c r="T14" s="768" t="s">
        <v>17</v>
      </c>
      <c r="U14" s="769">
        <f t="shared" si="1"/>
        <v>100</v>
      </c>
      <c r="V14" s="768" t="s">
        <v>17</v>
      </c>
      <c r="W14" s="769">
        <f t="shared" si="2"/>
        <v>100</v>
      </c>
      <c r="X14" s="770"/>
      <c r="Y14" s="3102"/>
      <c r="Z14" s="3006">
        <f t="shared" si="7"/>
        <v>111</v>
      </c>
      <c r="AA14" s="771">
        <f t="shared" si="3"/>
        <v>1</v>
      </c>
      <c r="AB14" s="771">
        <f t="shared" si="4"/>
        <v>1</v>
      </c>
      <c r="AC14" s="2672">
        <f t="shared" si="5"/>
        <v>1</v>
      </c>
    </row>
    <row r="15" spans="1:29" ht="71.25">
      <c r="A15" s="440" t="s">
        <v>2560</v>
      </c>
      <c r="B15" s="629" t="s">
        <v>2688</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102</v>
      </c>
      <c r="K15" s="614">
        <v>2</v>
      </c>
      <c r="L15" s="1141"/>
      <c r="M15" s="1132"/>
      <c r="N15" s="1132"/>
      <c r="O15" s="1132"/>
      <c r="P15" s="3257" t="s">
        <v>2561</v>
      </c>
      <c r="Q15" s="3028" t="str">
        <f t="shared" si="6"/>
        <v>办公集聚程度</v>
      </c>
      <c r="R15" s="772" t="s">
        <v>17</v>
      </c>
      <c r="S15" s="773">
        <f t="shared" si="0"/>
        <v>100</v>
      </c>
      <c r="T15" s="772" t="s">
        <v>17</v>
      </c>
      <c r="U15" s="773">
        <f t="shared" si="1"/>
        <v>100</v>
      </c>
      <c r="V15" s="772" t="s">
        <v>17</v>
      </c>
      <c r="W15" s="773">
        <f t="shared" si="2"/>
        <v>102</v>
      </c>
      <c r="X15" s="3026"/>
      <c r="Y15" s="3259" t="s">
        <v>2561</v>
      </c>
      <c r="Z15" s="3027" t="str">
        <f t="shared" si="7"/>
        <v>办公集聚程度</v>
      </c>
      <c r="AA15" s="3029">
        <f t="shared" si="3"/>
        <v>1</v>
      </c>
      <c r="AB15" s="3029">
        <f t="shared" si="4"/>
        <v>1</v>
      </c>
      <c r="AC15" s="2675">
        <f t="shared" si="5"/>
        <v>0.98039215686274506</v>
      </c>
    </row>
    <row r="16" spans="1:29" ht="15">
      <c r="A16" s="428"/>
      <c r="B16" s="630"/>
      <c r="C16" s="2612" t="s">
        <v>3103</v>
      </c>
      <c r="D16" s="448"/>
      <c r="E16" s="447" t="s">
        <v>3103</v>
      </c>
      <c r="F16" s="448"/>
      <c r="G16" s="2612" t="s">
        <v>3103</v>
      </c>
      <c r="H16" s="450"/>
      <c r="I16" s="447" t="s">
        <v>3093</v>
      </c>
      <c r="J16" s="448"/>
      <c r="K16" s="615"/>
      <c r="L16" s="1141"/>
      <c r="M16" s="1132"/>
      <c r="N16" s="1132"/>
      <c r="O16" s="1132"/>
      <c r="P16" s="3258"/>
      <c r="Q16" s="3028"/>
      <c r="R16" s="772"/>
      <c r="S16" s="773"/>
      <c r="T16" s="772"/>
      <c r="U16" s="773"/>
      <c r="V16" s="772"/>
      <c r="W16" s="773"/>
      <c r="X16" s="3026"/>
      <c r="Y16" s="3260"/>
      <c r="Z16" s="3027"/>
      <c r="AA16" s="3029">
        <v>1</v>
      </c>
      <c r="AB16" s="3029">
        <v>1</v>
      </c>
      <c r="AC16" s="2675">
        <v>1</v>
      </c>
    </row>
    <row r="17" spans="1:29" ht="71.25">
      <c r="A17" s="428"/>
      <c r="B17" s="631" t="s">
        <v>2097</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1"/>
      <c r="M17" s="1132"/>
      <c r="N17" s="1132"/>
      <c r="O17" s="1132"/>
      <c r="P17" s="3258"/>
      <c r="Q17" s="3028" t="str">
        <f>B17</f>
        <v>交通便捷度</v>
      </c>
      <c r="R17" s="772" t="s">
        <v>17</v>
      </c>
      <c r="S17" s="773">
        <f>F17</f>
        <v>100</v>
      </c>
      <c r="T17" s="772" t="s">
        <v>17</v>
      </c>
      <c r="U17" s="773">
        <f>H17</f>
        <v>100</v>
      </c>
      <c r="V17" s="772" t="s">
        <v>17</v>
      </c>
      <c r="W17" s="773">
        <f>J17</f>
        <v>100</v>
      </c>
      <c r="X17" s="3026"/>
      <c r="Y17" s="3260"/>
      <c r="Z17" s="3027" t="str">
        <f>Q17</f>
        <v>交通便捷度</v>
      </c>
      <c r="AA17" s="3029">
        <f t="shared" si="3"/>
        <v>1</v>
      </c>
      <c r="AB17" s="3029">
        <f t="shared" si="4"/>
        <v>1</v>
      </c>
      <c r="AC17" s="2675">
        <f t="shared" si="5"/>
        <v>1</v>
      </c>
    </row>
    <row r="18" spans="1:29" ht="15">
      <c r="A18" s="428"/>
      <c r="B18" s="632"/>
      <c r="C18" s="2974" t="s">
        <v>3107</v>
      </c>
      <c r="D18" s="450"/>
      <c r="E18" s="2975" t="s">
        <v>3107</v>
      </c>
      <c r="F18" s="450"/>
      <c r="G18" s="2976" t="s">
        <v>3107</v>
      </c>
      <c r="H18" s="448"/>
      <c r="I18" s="2976" t="s">
        <v>3107</v>
      </c>
      <c r="J18" s="448"/>
      <c r="K18" s="615"/>
      <c r="L18" s="1141"/>
      <c r="M18" s="1132"/>
      <c r="N18" s="1132"/>
      <c r="O18" s="1132"/>
      <c r="P18" s="3258"/>
      <c r="Q18" s="3028"/>
      <c r="R18" s="772"/>
      <c r="S18" s="773"/>
      <c r="T18" s="772"/>
      <c r="U18" s="773"/>
      <c r="V18" s="772"/>
      <c r="W18" s="773"/>
      <c r="X18" s="3026"/>
      <c r="Y18" s="3260"/>
      <c r="Z18" s="3027"/>
      <c r="AA18" s="3029">
        <v>1</v>
      </c>
      <c r="AB18" s="3029">
        <v>1</v>
      </c>
      <c r="AC18" s="2675">
        <v>1</v>
      </c>
    </row>
    <row r="19" spans="1:29" ht="42.75">
      <c r="A19" s="428"/>
      <c r="B19" s="631" t="s">
        <v>2689</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1"/>
      <c r="M19" s="1132"/>
      <c r="N19" s="1132"/>
      <c r="O19" s="1132"/>
      <c r="P19" s="3258"/>
      <c r="Q19" s="3028" t="str">
        <f>B19</f>
        <v>公共配套设施</v>
      </c>
      <c r="R19" s="772" t="s">
        <v>17</v>
      </c>
      <c r="S19" s="773">
        <f>F19</f>
        <v>100</v>
      </c>
      <c r="T19" s="772" t="s">
        <v>17</v>
      </c>
      <c r="U19" s="773">
        <f>H19</f>
        <v>100</v>
      </c>
      <c r="V19" s="772" t="s">
        <v>17</v>
      </c>
      <c r="W19" s="773">
        <f>J19</f>
        <v>100</v>
      </c>
      <c r="X19" s="3026"/>
      <c r="Y19" s="3260"/>
      <c r="Z19" s="3027" t="str">
        <f>Q19</f>
        <v>公共配套设施</v>
      </c>
      <c r="AA19" s="3029">
        <f t="shared" si="3"/>
        <v>1</v>
      </c>
      <c r="AB19" s="3029">
        <f t="shared" si="4"/>
        <v>1</v>
      </c>
      <c r="AC19" s="2675">
        <f t="shared" si="5"/>
        <v>1</v>
      </c>
    </row>
    <row r="20" spans="1:29" ht="15">
      <c r="A20" s="428"/>
      <c r="B20" s="632"/>
      <c r="C20" s="2977" t="s">
        <v>3107</v>
      </c>
      <c r="D20" s="448"/>
      <c r="E20" s="2978" t="s">
        <v>3107</v>
      </c>
      <c r="F20" s="448"/>
      <c r="G20" s="2979" t="s">
        <v>3107</v>
      </c>
      <c r="H20" s="448"/>
      <c r="I20" s="2979" t="s">
        <v>3107</v>
      </c>
      <c r="J20" s="448"/>
      <c r="K20" s="615"/>
      <c r="L20" s="1141"/>
      <c r="M20" s="1132"/>
      <c r="N20" s="1132"/>
      <c r="O20" s="1132"/>
      <c r="P20" s="3258"/>
      <c r="Q20" s="3028"/>
      <c r="R20" s="772"/>
      <c r="S20" s="773"/>
      <c r="T20" s="772"/>
      <c r="U20" s="773"/>
      <c r="V20" s="772"/>
      <c r="W20" s="773"/>
      <c r="X20" s="3026"/>
      <c r="Y20" s="3260"/>
      <c r="Z20" s="3027"/>
      <c r="AA20" s="3029">
        <v>1</v>
      </c>
      <c r="AB20" s="3029">
        <v>1</v>
      </c>
      <c r="AC20" s="2675">
        <v>1</v>
      </c>
    </row>
    <row r="21" spans="1:29" ht="28.5">
      <c r="A21" s="428"/>
      <c r="B21" s="633" t="s">
        <v>2690</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1"/>
      <c r="M21" s="1132"/>
      <c r="N21" s="1132"/>
      <c r="O21" s="1132"/>
      <c r="P21" s="3258"/>
      <c r="Q21" s="3028" t="str">
        <f>B21</f>
        <v>基础设施水平</v>
      </c>
      <c r="R21" s="772" t="s">
        <v>17</v>
      </c>
      <c r="S21" s="773">
        <f>F21</f>
        <v>100</v>
      </c>
      <c r="T21" s="772" t="s">
        <v>17</v>
      </c>
      <c r="U21" s="773">
        <f>H21</f>
        <v>100</v>
      </c>
      <c r="V21" s="772" t="s">
        <v>17</v>
      </c>
      <c r="W21" s="773">
        <f>J21</f>
        <v>100</v>
      </c>
      <c r="X21" s="3026"/>
      <c r="Y21" s="3260"/>
      <c r="Z21" s="3027" t="str">
        <f>Q21</f>
        <v>基础设施水平</v>
      </c>
      <c r="AA21" s="3029">
        <f t="shared" ref="AA21" si="8">D21/F21</f>
        <v>1</v>
      </c>
      <c r="AB21" s="3029">
        <f t="shared" ref="AB21" si="9">D21/H21</f>
        <v>1</v>
      </c>
      <c r="AC21" s="2675">
        <f t="shared" ref="AC21" si="10">D21/J21</f>
        <v>1</v>
      </c>
    </row>
    <row r="22" spans="1:29" ht="15">
      <c r="A22" s="428"/>
      <c r="B22" s="633"/>
      <c r="C22" s="2974" t="s">
        <v>3108</v>
      </c>
      <c r="D22" s="448"/>
      <c r="E22" s="2980" t="s">
        <v>3108</v>
      </c>
      <c r="F22" s="448"/>
      <c r="G22" s="2977" t="s">
        <v>3108</v>
      </c>
      <c r="H22" s="448"/>
      <c r="I22" s="2977" t="s">
        <v>3108</v>
      </c>
      <c r="J22" s="448"/>
      <c r="K22" s="1384"/>
      <c r="L22" s="1141"/>
      <c r="M22" s="1132"/>
      <c r="N22" s="1132"/>
      <c r="O22" s="1132"/>
      <c r="P22" s="3258"/>
      <c r="Q22" s="3028"/>
      <c r="R22" s="772"/>
      <c r="S22" s="773"/>
      <c r="T22" s="772"/>
      <c r="U22" s="773"/>
      <c r="V22" s="772"/>
      <c r="W22" s="773"/>
      <c r="X22" s="3026"/>
      <c r="Y22" s="3260"/>
      <c r="Z22" s="3027"/>
      <c r="AA22" s="3029">
        <v>1</v>
      </c>
      <c r="AB22" s="3029">
        <v>1</v>
      </c>
      <c r="AC22" s="2675">
        <v>1</v>
      </c>
    </row>
    <row r="23" spans="1:29" ht="42.75">
      <c r="A23" s="428"/>
      <c r="B23" s="631" t="s">
        <v>2691</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1"/>
      <c r="M23" s="1132"/>
      <c r="N23" s="1132"/>
      <c r="O23" s="1132"/>
      <c r="P23" s="3258"/>
      <c r="Q23" s="3028" t="str">
        <f>B23</f>
        <v>环境质量</v>
      </c>
      <c r="R23" s="772" t="s">
        <v>17</v>
      </c>
      <c r="S23" s="773">
        <f>F23</f>
        <v>100</v>
      </c>
      <c r="T23" s="772" t="s">
        <v>17</v>
      </c>
      <c r="U23" s="773">
        <f>H23</f>
        <v>100</v>
      </c>
      <c r="V23" s="772" t="s">
        <v>17</v>
      </c>
      <c r="W23" s="773">
        <f>J23</f>
        <v>100</v>
      </c>
      <c r="X23" s="3026"/>
      <c r="Y23" s="3260"/>
      <c r="Z23" s="3027" t="str">
        <f>Q23</f>
        <v>环境质量</v>
      </c>
      <c r="AA23" s="3029">
        <f t="shared" si="3"/>
        <v>1</v>
      </c>
      <c r="AB23" s="3029">
        <f t="shared" si="4"/>
        <v>1</v>
      </c>
      <c r="AC23" s="2675">
        <f t="shared" si="5"/>
        <v>1</v>
      </c>
    </row>
    <row r="24" spans="1:29" ht="15">
      <c r="A24" s="428"/>
      <c r="B24" s="633"/>
      <c r="C24" s="2977" t="s">
        <v>3107</v>
      </c>
      <c r="D24" s="448"/>
      <c r="E24" s="2978" t="s">
        <v>3107</v>
      </c>
      <c r="F24" s="448"/>
      <c r="G24" s="2979" t="s">
        <v>3107</v>
      </c>
      <c r="H24" s="448"/>
      <c r="I24" s="2979" t="s">
        <v>3107</v>
      </c>
      <c r="J24" s="448"/>
      <c r="K24" s="615"/>
      <c r="L24" s="1141"/>
      <c r="M24" s="1132"/>
      <c r="N24" s="1132"/>
      <c r="O24" s="1132"/>
      <c r="P24" s="3258"/>
      <c r="Q24" s="3028"/>
      <c r="R24" s="772"/>
      <c r="S24" s="773"/>
      <c r="T24" s="772"/>
      <c r="U24" s="773"/>
      <c r="V24" s="772"/>
      <c r="W24" s="773"/>
      <c r="X24" s="3026"/>
      <c r="Y24" s="3260"/>
      <c r="Z24" s="3027"/>
      <c r="AA24" s="3029">
        <v>1</v>
      </c>
      <c r="AB24" s="3029">
        <v>1</v>
      </c>
      <c r="AC24" s="2675">
        <v>1</v>
      </c>
    </row>
    <row r="25" spans="1:29" ht="27">
      <c r="A25" s="404"/>
      <c r="B25" s="631" t="s">
        <v>2692</v>
      </c>
      <c r="C25" s="2616"/>
      <c r="D25" s="435">
        <v>100</v>
      </c>
      <c r="E25" s="434"/>
      <c r="F25" s="435">
        <f>SUMIF(87:87,E26,88:88)-SUMIF(87:87,C26,88:88)+100</f>
        <v>94</v>
      </c>
      <c r="G25" s="2616"/>
      <c r="H25" s="435">
        <f>SUMIF(87:87,G26,88:88)-SUMIF(87:87,C26,88:88)+100</f>
        <v>94</v>
      </c>
      <c r="I25" s="434"/>
      <c r="J25" s="435">
        <f>SUMIF(87:87,I26,88:88)-SUMIF(87:87,C26,88:88)+100</f>
        <v>100</v>
      </c>
      <c r="K25" s="614">
        <v>2</v>
      </c>
      <c r="L25" s="1141"/>
      <c r="M25" s="1132"/>
      <c r="N25" s="1132"/>
      <c r="O25" s="1132"/>
      <c r="P25" s="3258"/>
      <c r="Q25" s="3028" t="str">
        <f>B25</f>
        <v>毗邻道路的类型与等级</v>
      </c>
      <c r="R25" s="772" t="s">
        <v>17</v>
      </c>
      <c r="S25" s="773">
        <f>F25</f>
        <v>94</v>
      </c>
      <c r="T25" s="772" t="s">
        <v>17</v>
      </c>
      <c r="U25" s="773">
        <f>H25</f>
        <v>94</v>
      </c>
      <c r="V25" s="772" t="s">
        <v>17</v>
      </c>
      <c r="W25" s="773">
        <f>J25</f>
        <v>100</v>
      </c>
      <c r="X25" s="3026"/>
      <c r="Y25" s="3260"/>
      <c r="Z25" s="3027" t="str">
        <f>Q25</f>
        <v>毗邻道路的类型与等级</v>
      </c>
      <c r="AA25" s="3029">
        <f t="shared" si="3"/>
        <v>1.0638297872340425</v>
      </c>
      <c r="AB25" s="3029">
        <f t="shared" si="4"/>
        <v>1.0638297872340425</v>
      </c>
      <c r="AC25" s="2675">
        <f t="shared" si="5"/>
        <v>1</v>
      </c>
    </row>
    <row r="26" spans="1:29" ht="15">
      <c r="A26" s="404"/>
      <c r="B26" s="632"/>
      <c r="C26" s="2981" t="s">
        <v>3172</v>
      </c>
      <c r="D26" s="435"/>
      <c r="E26" s="2982" t="s">
        <v>3112</v>
      </c>
      <c r="F26" s="435"/>
      <c r="G26" s="2981" t="s">
        <v>3112</v>
      </c>
      <c r="H26" s="435"/>
      <c r="I26" s="2982" t="s">
        <v>3172</v>
      </c>
      <c r="J26" s="435"/>
      <c r="K26" s="615"/>
      <c r="L26" s="1141"/>
      <c r="M26" s="1132"/>
      <c r="N26" s="1132"/>
      <c r="O26" s="1132"/>
      <c r="P26" s="3258"/>
      <c r="Q26" s="3028"/>
      <c r="R26" s="772"/>
      <c r="S26" s="773"/>
      <c r="T26" s="772"/>
      <c r="U26" s="773"/>
      <c r="V26" s="772"/>
      <c r="W26" s="773"/>
      <c r="X26" s="3026"/>
      <c r="Y26" s="3260"/>
      <c r="Z26" s="3027"/>
      <c r="AA26" s="3029">
        <v>1</v>
      </c>
      <c r="AB26" s="3029">
        <v>1</v>
      </c>
      <c r="AC26" s="2675">
        <v>1</v>
      </c>
    </row>
    <row r="27" spans="1:29" ht="15">
      <c r="A27" s="428"/>
      <c r="B27" s="632" t="s">
        <v>2660</v>
      </c>
      <c r="C27" s="2981" t="s">
        <v>3109</v>
      </c>
      <c r="D27" s="435">
        <v>100</v>
      </c>
      <c r="E27" s="2982" t="s">
        <v>3121</v>
      </c>
      <c r="F27" s="435">
        <f>SUMIF(89:89,E27,90:90)-SUMIF(89:89,C27,90:90)+100</f>
        <v>105</v>
      </c>
      <c r="G27" s="2981" t="s">
        <v>3109</v>
      </c>
      <c r="H27" s="435">
        <f>SUMIF(89:89,G27,90:90)-SUMIF(89:89,C27,90:90)+100</f>
        <v>100</v>
      </c>
      <c r="I27" s="2982" t="s">
        <v>3121</v>
      </c>
      <c r="J27" s="435">
        <f>SUMIF(89:89,I27,90:90)-SUMIF(89:89,C27,90:90)+100</f>
        <v>105</v>
      </c>
      <c r="K27" s="612">
        <v>5</v>
      </c>
      <c r="L27" s="1141"/>
      <c r="M27" s="1132"/>
      <c r="N27" s="1132"/>
      <c r="O27" s="1132"/>
      <c r="P27" s="3258"/>
      <c r="Q27" s="3028" t="str">
        <f t="shared" ref="Q27:Q47" si="11">B27</f>
        <v>楼层</v>
      </c>
      <c r="R27" s="772" t="s">
        <v>17</v>
      </c>
      <c r="S27" s="773">
        <f>F27</f>
        <v>105</v>
      </c>
      <c r="T27" s="772" t="s">
        <v>17</v>
      </c>
      <c r="U27" s="773">
        <f>H27</f>
        <v>100</v>
      </c>
      <c r="V27" s="772" t="s">
        <v>17</v>
      </c>
      <c r="W27" s="773">
        <f>J27</f>
        <v>105</v>
      </c>
      <c r="X27" s="3026"/>
      <c r="Y27" s="3260"/>
      <c r="Z27" s="3027" t="str">
        <f>Q27</f>
        <v>楼层</v>
      </c>
      <c r="AA27" s="3029">
        <f t="shared" si="3"/>
        <v>0.95238095238095233</v>
      </c>
      <c r="AB27" s="3029">
        <f t="shared" si="4"/>
        <v>1</v>
      </c>
      <c r="AC27" s="2675">
        <f t="shared" si="5"/>
        <v>0.95238095238095233</v>
      </c>
    </row>
    <row r="28" spans="1:29" s="117" customFormat="1" ht="15">
      <c r="A28" s="431"/>
      <c r="B28" s="631" t="s">
        <v>2693</v>
      </c>
      <c r="C28" s="2677"/>
      <c r="D28" s="462">
        <v>100</v>
      </c>
      <c r="E28" s="2666"/>
      <c r="F28" s="462">
        <f>SUMIF(91:91,E28,92:92)-SUMIF(91:91,C28,92:92)+100</f>
        <v>100</v>
      </c>
      <c r="G28" s="2677"/>
      <c r="H28" s="462">
        <f>SUMIF(91:91,G28,92:92)-SUMIF(91:91,C28,92:92)+100</f>
        <v>100</v>
      </c>
      <c r="I28" s="2666"/>
      <c r="J28" s="462">
        <f>SUMIF(91:91,I28,92:92)-SUMIF(91:91,C28,92:92)+100</f>
        <v>100</v>
      </c>
      <c r="K28" s="612">
        <v>2</v>
      </c>
      <c r="L28" s="1133"/>
      <c r="M28" s="1134"/>
      <c r="N28" s="1134"/>
      <c r="O28" s="1134"/>
      <c r="P28" s="3258"/>
      <c r="Q28" s="3005" t="str">
        <f t="shared" si="11"/>
        <v>朝向</v>
      </c>
      <c r="R28" s="768" t="s">
        <v>17</v>
      </c>
      <c r="S28" s="769">
        <f>F28</f>
        <v>100</v>
      </c>
      <c r="T28" s="768" t="s">
        <v>17</v>
      </c>
      <c r="U28" s="769">
        <f>H28</f>
        <v>100</v>
      </c>
      <c r="V28" s="768" t="s">
        <v>17</v>
      </c>
      <c r="W28" s="769">
        <f>J28</f>
        <v>100</v>
      </c>
      <c r="X28" s="770"/>
      <c r="Y28" s="3260"/>
      <c r="Z28" s="3006" t="str">
        <f>Q28</f>
        <v>朝向</v>
      </c>
      <c r="AA28" s="3029">
        <f>D28/F28</f>
        <v>1</v>
      </c>
      <c r="AB28" s="3029">
        <f>D28/H28</f>
        <v>1</v>
      </c>
      <c r="AC28" s="2675">
        <f>D28/J28</f>
        <v>1</v>
      </c>
    </row>
    <row r="29" spans="1:29" ht="15">
      <c r="A29" s="428"/>
      <c r="B29" s="2678">
        <v>111</v>
      </c>
      <c r="C29" s="2616"/>
      <c r="D29" s="435">
        <v>100</v>
      </c>
      <c r="E29" s="432"/>
      <c r="F29" s="435">
        <f>SUMIF(93:93,E29,94:94)-SUMIF(93:93,C29,94:94)+100</f>
        <v>100</v>
      </c>
      <c r="G29" s="2673"/>
      <c r="H29" s="435">
        <f>SUMIF(93:93,G29,94:94)-SUMIF(93:93,C29,94:94)+100</f>
        <v>100</v>
      </c>
      <c r="I29" s="432"/>
      <c r="J29" s="435">
        <f>SUMIF(93:93,I29,94:94)-SUMIF(93:93,C29,94:94)+100</f>
        <v>100</v>
      </c>
      <c r="K29" s="613"/>
      <c r="L29" s="1141"/>
      <c r="M29" s="1132"/>
      <c r="N29" s="1132"/>
      <c r="O29" s="1132"/>
      <c r="P29" s="3258"/>
      <c r="Q29" s="3028">
        <f t="shared" si="11"/>
        <v>111</v>
      </c>
      <c r="R29" s="772" t="s">
        <v>17</v>
      </c>
      <c r="S29" s="773">
        <f t="shared" ref="S29:S47" si="12">F29</f>
        <v>100</v>
      </c>
      <c r="T29" s="772" t="s">
        <v>17</v>
      </c>
      <c r="U29" s="773">
        <f t="shared" ref="U29:U47" si="13">H29</f>
        <v>100</v>
      </c>
      <c r="V29" s="772" t="s">
        <v>17</v>
      </c>
      <c r="W29" s="773">
        <f t="shared" ref="W29:W47" si="14">J29</f>
        <v>100</v>
      </c>
      <c r="X29" s="3026"/>
      <c r="Y29" s="3260"/>
      <c r="Z29" s="3027">
        <f t="shared" ref="Z29:Z47" si="15">Q29</f>
        <v>111</v>
      </c>
      <c r="AA29" s="3029">
        <f t="shared" si="3"/>
        <v>1</v>
      </c>
      <c r="AB29" s="3029">
        <f t="shared" si="4"/>
        <v>1</v>
      </c>
      <c r="AC29" s="2675">
        <f t="shared" si="5"/>
        <v>1</v>
      </c>
    </row>
    <row r="30" spans="1:29" ht="15">
      <c r="A30" s="428"/>
      <c r="B30" s="2678">
        <v>111</v>
      </c>
      <c r="C30" s="2616"/>
      <c r="D30" s="435">
        <v>100</v>
      </c>
      <c r="E30" s="432"/>
      <c r="F30" s="435">
        <f>SUMIF(95:95,E30,96:96)-SUMIF(95:95,C30,96:96)+100</f>
        <v>100</v>
      </c>
      <c r="G30" s="2673"/>
      <c r="H30" s="435">
        <f>SUMIF(95:95,G30,96:96)-SUMIF(95:95,C30,96:96)+100</f>
        <v>100</v>
      </c>
      <c r="I30" s="432"/>
      <c r="J30" s="435">
        <f>SUMIF(95:95,I30,96:96)-SUMIF(95:95,C30,96:96)+100</f>
        <v>100</v>
      </c>
      <c r="K30" s="613"/>
      <c r="L30" s="1141"/>
      <c r="M30" s="1132"/>
      <c r="N30" s="1132"/>
      <c r="O30" s="1132"/>
      <c r="P30" s="3258"/>
      <c r="Q30" s="3028">
        <f t="shared" si="11"/>
        <v>111</v>
      </c>
      <c r="R30" s="772" t="s">
        <v>17</v>
      </c>
      <c r="S30" s="773">
        <f t="shared" si="12"/>
        <v>100</v>
      </c>
      <c r="T30" s="772" t="s">
        <v>17</v>
      </c>
      <c r="U30" s="773">
        <f t="shared" si="13"/>
        <v>100</v>
      </c>
      <c r="V30" s="772" t="s">
        <v>17</v>
      </c>
      <c r="W30" s="773">
        <f t="shared" si="14"/>
        <v>100</v>
      </c>
      <c r="X30" s="3026"/>
      <c r="Y30" s="3260"/>
      <c r="Z30" s="3027">
        <f t="shared" si="15"/>
        <v>111</v>
      </c>
      <c r="AA30" s="3029">
        <f t="shared" si="3"/>
        <v>1</v>
      </c>
      <c r="AB30" s="3029">
        <f t="shared" si="4"/>
        <v>1</v>
      </c>
      <c r="AC30" s="2675">
        <f t="shared" si="5"/>
        <v>1</v>
      </c>
    </row>
    <row r="31" spans="1:29" ht="15">
      <c r="A31" s="428"/>
      <c r="B31" s="2678">
        <v>111</v>
      </c>
      <c r="C31" s="2616"/>
      <c r="D31" s="435">
        <v>100</v>
      </c>
      <c r="E31" s="432"/>
      <c r="F31" s="435">
        <f>SUMIF(97:97,E31,98:98)-SUMIF(97:97,C31,98:98)+100</f>
        <v>100</v>
      </c>
      <c r="G31" s="2673"/>
      <c r="H31" s="435">
        <f>SUMIF(97:97,G31,98:98)-SUMIF(97:97,C31,98:98)+100</f>
        <v>100</v>
      </c>
      <c r="I31" s="432"/>
      <c r="J31" s="435">
        <f>SUMIF(97:97,I31,98:98)-SUMIF(97:97,C31,98:98)+100</f>
        <v>100</v>
      </c>
      <c r="K31" s="613"/>
      <c r="L31" s="1141"/>
      <c r="M31" s="1132"/>
      <c r="N31" s="1132"/>
      <c r="O31" s="1132"/>
      <c r="P31" s="3258"/>
      <c r="Q31" s="3028">
        <f t="shared" si="11"/>
        <v>111</v>
      </c>
      <c r="R31" s="772" t="s">
        <v>17</v>
      </c>
      <c r="S31" s="773">
        <f t="shared" si="12"/>
        <v>100</v>
      </c>
      <c r="T31" s="772" t="s">
        <v>17</v>
      </c>
      <c r="U31" s="773">
        <f t="shared" si="13"/>
        <v>100</v>
      </c>
      <c r="V31" s="772" t="s">
        <v>17</v>
      </c>
      <c r="W31" s="773">
        <f t="shared" si="14"/>
        <v>100</v>
      </c>
      <c r="X31" s="3026"/>
      <c r="Y31" s="3260"/>
      <c r="Z31" s="3027">
        <f t="shared" si="15"/>
        <v>111</v>
      </c>
      <c r="AA31" s="3029">
        <f t="shared" si="3"/>
        <v>1</v>
      </c>
      <c r="AB31" s="3029">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1"/>
      <c r="M32" s="1132"/>
      <c r="N32" s="1132"/>
      <c r="O32" s="1132"/>
      <c r="P32" s="3258"/>
      <c r="Q32" s="3028">
        <f t="shared" si="11"/>
        <v>111</v>
      </c>
      <c r="R32" s="772" t="s">
        <v>17</v>
      </c>
      <c r="S32" s="773">
        <f t="shared" si="12"/>
        <v>100</v>
      </c>
      <c r="T32" s="772" t="s">
        <v>17</v>
      </c>
      <c r="U32" s="773">
        <f t="shared" si="13"/>
        <v>100</v>
      </c>
      <c r="V32" s="772" t="s">
        <v>17</v>
      </c>
      <c r="W32" s="773">
        <f t="shared" si="14"/>
        <v>100</v>
      </c>
      <c r="X32" s="3026"/>
      <c r="Y32" s="3260"/>
      <c r="Z32" s="3027">
        <f t="shared" si="15"/>
        <v>111</v>
      </c>
      <c r="AA32" s="3029">
        <f t="shared" si="3"/>
        <v>1</v>
      </c>
      <c r="AB32" s="3029">
        <f t="shared" si="4"/>
        <v>1</v>
      </c>
      <c r="AC32" s="2675">
        <f t="shared" si="5"/>
        <v>1</v>
      </c>
    </row>
    <row r="33" spans="1:29" ht="15">
      <c r="A33" s="440" t="s">
        <v>2564</v>
      </c>
      <c r="B33" s="71" t="s">
        <v>2694</v>
      </c>
      <c r="C33" s="2984" t="s">
        <v>3113</v>
      </c>
      <c r="D33" s="467">
        <v>100</v>
      </c>
      <c r="E33" s="2984" t="s">
        <v>3113</v>
      </c>
      <c r="F33" s="461">
        <f>SUMIF(101:101,E33,102:102)-SUMIF(101:101,C33,102:102)+100</f>
        <v>100</v>
      </c>
      <c r="G33" s="2984" t="s">
        <v>3113</v>
      </c>
      <c r="H33" s="435">
        <f>SUMIF(101:101,G33,102:102)-SUMIF(101:101,C33,102:102)+100</f>
        <v>100</v>
      </c>
      <c r="I33" s="2984" t="s">
        <v>3113</v>
      </c>
      <c r="J33" s="467">
        <f>SUMIF(101:101,I33,102:102)-SUMIF(101:101,C33,102:102)+100</f>
        <v>100</v>
      </c>
      <c r="K33" s="612">
        <v>2</v>
      </c>
      <c r="L33" s="1141"/>
      <c r="M33" s="1132"/>
      <c r="N33" s="1132"/>
      <c r="O33" s="1132"/>
      <c r="P33" s="3261" t="s">
        <v>2566</v>
      </c>
      <c r="Q33" s="3028" t="str">
        <f t="shared" si="11"/>
        <v>建筑类型</v>
      </c>
      <c r="R33" s="772" t="s">
        <v>17</v>
      </c>
      <c r="S33" s="773">
        <f t="shared" si="12"/>
        <v>100</v>
      </c>
      <c r="T33" s="772" t="s">
        <v>17</v>
      </c>
      <c r="U33" s="773">
        <f t="shared" si="13"/>
        <v>100</v>
      </c>
      <c r="V33" s="772" t="s">
        <v>17</v>
      </c>
      <c r="W33" s="773">
        <f t="shared" si="14"/>
        <v>100</v>
      </c>
      <c r="X33" s="3026"/>
      <c r="Y33" s="3264" t="s">
        <v>2566</v>
      </c>
      <c r="Z33" s="3027" t="str">
        <f t="shared" si="15"/>
        <v>建筑类型</v>
      </c>
      <c r="AA33" s="3029">
        <f t="shared" si="3"/>
        <v>1</v>
      </c>
      <c r="AB33" s="3029">
        <f t="shared" si="4"/>
        <v>1</v>
      </c>
      <c r="AC33" s="2675">
        <f t="shared" si="5"/>
        <v>1</v>
      </c>
    </row>
    <row r="34" spans="1:29" s="471" customFormat="1" ht="15">
      <c r="A34" s="468"/>
      <c r="B34" s="3023" t="s">
        <v>2567</v>
      </c>
      <c r="C34" s="2997">
        <v>110</v>
      </c>
      <c r="D34" s="136">
        <v>100</v>
      </c>
      <c r="E34" s="430">
        <f>Sheet3!B26</f>
        <v>200</v>
      </c>
      <c r="F34" s="425">
        <f>LOOKUP(E34,104:104,105:105)-LOOKUP(C34,104:104,105:105)+100</f>
        <v>102</v>
      </c>
      <c r="G34" s="429">
        <f>Sheet3!B27</f>
        <v>75</v>
      </c>
      <c r="H34" s="136">
        <f>LOOKUP(G34,104:104,105:105)-LOOKUP(C34,104:104,105:105)+100</f>
        <v>98</v>
      </c>
      <c r="I34" s="429">
        <f>Sheet3!B28</f>
        <v>65</v>
      </c>
      <c r="J34" s="136">
        <f>LOOKUP(I34,104:104,105:105)-LOOKUP(C34,104:104,105:105)+100</f>
        <v>98</v>
      </c>
      <c r="K34" s="613"/>
      <c r="L34" s="1139"/>
      <c r="M34" s="1142"/>
      <c r="N34" s="1142"/>
      <c r="O34" s="1142"/>
      <c r="P34" s="3262"/>
      <c r="Q34" s="774" t="str">
        <f t="shared" si="11"/>
        <v>项目建筑规模</v>
      </c>
      <c r="R34" s="775" t="s">
        <v>17</v>
      </c>
      <c r="S34" s="776">
        <f t="shared" si="12"/>
        <v>102</v>
      </c>
      <c r="T34" s="775" t="s">
        <v>17</v>
      </c>
      <c r="U34" s="776">
        <f t="shared" si="13"/>
        <v>98</v>
      </c>
      <c r="V34" s="775" t="s">
        <v>17</v>
      </c>
      <c r="W34" s="776">
        <f t="shared" si="14"/>
        <v>98</v>
      </c>
      <c r="X34" s="777"/>
      <c r="Y34" s="3264"/>
      <c r="Z34" s="778" t="str">
        <f t="shared" si="15"/>
        <v>项目建筑规模</v>
      </c>
      <c r="AA34" s="3029">
        <f t="shared" si="3"/>
        <v>0.98039215686274506</v>
      </c>
      <c r="AB34" s="3029">
        <f t="shared" si="4"/>
        <v>1.0204081632653061</v>
      </c>
      <c r="AC34" s="2675">
        <f t="shared" si="5"/>
        <v>1.0204081632653061</v>
      </c>
    </row>
    <row r="35" spans="1:29" ht="15">
      <c r="A35" s="472"/>
      <c r="B35" s="3023" t="s">
        <v>2568</v>
      </c>
      <c r="C35" s="2985" t="s">
        <v>3114</v>
      </c>
      <c r="D35" s="435">
        <v>100</v>
      </c>
      <c r="E35" s="2985" t="s">
        <v>3114</v>
      </c>
      <c r="F35" s="461">
        <f>SUMIF(106:106,E35,107:107)-SUMIF(106:106,C35,107:107)+100</f>
        <v>100</v>
      </c>
      <c r="G35" s="2985" t="s">
        <v>3114</v>
      </c>
      <c r="H35" s="435">
        <f>SUMIF(106:106,G35,107:107)-SUMIF(106:106,C35,107:107)+100</f>
        <v>100</v>
      </c>
      <c r="I35" s="2985" t="s">
        <v>3114</v>
      </c>
      <c r="J35" s="435">
        <f>SUMIF(106:106,I35,107:107)-SUMIF(106:106,C35,107:107)+100</f>
        <v>100</v>
      </c>
      <c r="K35" s="612">
        <v>2</v>
      </c>
      <c r="L35" s="1141"/>
      <c r="M35" s="1132"/>
      <c r="N35" s="1132"/>
      <c r="O35" s="1132"/>
      <c r="P35" s="3262"/>
      <c r="Q35" s="3028" t="str">
        <f t="shared" si="11"/>
        <v>建筑结构</v>
      </c>
      <c r="R35" s="772" t="s">
        <v>17</v>
      </c>
      <c r="S35" s="773">
        <f t="shared" si="12"/>
        <v>100</v>
      </c>
      <c r="T35" s="772" t="s">
        <v>17</v>
      </c>
      <c r="U35" s="773">
        <f t="shared" si="13"/>
        <v>100</v>
      </c>
      <c r="V35" s="772" t="s">
        <v>17</v>
      </c>
      <c r="W35" s="773">
        <f t="shared" si="14"/>
        <v>100</v>
      </c>
      <c r="X35" s="3026"/>
      <c r="Y35" s="3264"/>
      <c r="Z35" s="3027" t="str">
        <f t="shared" si="15"/>
        <v>建筑结构</v>
      </c>
      <c r="AA35" s="3029">
        <f t="shared" si="3"/>
        <v>1</v>
      </c>
      <c r="AB35" s="3029">
        <f t="shared" si="4"/>
        <v>1</v>
      </c>
      <c r="AC35" s="2675">
        <f t="shared" si="5"/>
        <v>1</v>
      </c>
    </row>
    <row r="36" spans="1:29" ht="15">
      <c r="A36" s="472"/>
      <c r="B36" s="3023" t="s">
        <v>2662</v>
      </c>
      <c r="C36" s="2985" t="s">
        <v>3115</v>
      </c>
      <c r="D36" s="435">
        <v>100</v>
      </c>
      <c r="E36" s="2985" t="s">
        <v>3115</v>
      </c>
      <c r="F36" s="461">
        <f>SUMIF(108:108,E36,109:109)-SUMIF(108:108,C36,109:109)+100</f>
        <v>100</v>
      </c>
      <c r="G36" s="2985" t="s">
        <v>3115</v>
      </c>
      <c r="H36" s="435">
        <f>SUMIF(108:108,G36,109:109)-SUMIF(108:108,C36,109:109)+100</f>
        <v>100</v>
      </c>
      <c r="I36" s="2985" t="s">
        <v>3115</v>
      </c>
      <c r="J36" s="435">
        <f>SUMIF(108:108,I36,109:109)-SUMIF(108:108,C36,109:109)+100</f>
        <v>100</v>
      </c>
      <c r="K36" s="612">
        <v>2</v>
      </c>
      <c r="L36" s="1141"/>
      <c r="M36" s="1132"/>
      <c r="N36" s="1132"/>
      <c r="O36" s="1132"/>
      <c r="P36" s="3262"/>
      <c r="Q36" s="3028" t="str">
        <f t="shared" si="11"/>
        <v>公共部分装修</v>
      </c>
      <c r="R36" s="772" t="s">
        <v>17</v>
      </c>
      <c r="S36" s="773">
        <f t="shared" si="12"/>
        <v>100</v>
      </c>
      <c r="T36" s="772" t="s">
        <v>17</v>
      </c>
      <c r="U36" s="773">
        <f t="shared" si="13"/>
        <v>100</v>
      </c>
      <c r="V36" s="772" t="s">
        <v>17</v>
      </c>
      <c r="W36" s="773">
        <f t="shared" si="14"/>
        <v>100</v>
      </c>
      <c r="X36" s="3026"/>
      <c r="Y36" s="3264"/>
      <c r="Z36" s="3027" t="str">
        <f t="shared" si="15"/>
        <v>公共部分装修</v>
      </c>
      <c r="AA36" s="3029">
        <f t="shared" si="3"/>
        <v>1</v>
      </c>
      <c r="AB36" s="3029">
        <f t="shared" si="4"/>
        <v>1</v>
      </c>
      <c r="AC36" s="2675">
        <f t="shared" si="5"/>
        <v>1</v>
      </c>
    </row>
    <row r="37" spans="1:29" ht="15">
      <c r="A37" s="472"/>
      <c r="B37" s="3023" t="s">
        <v>2663</v>
      </c>
      <c r="C37" s="474">
        <v>1</v>
      </c>
      <c r="D37" s="435">
        <v>100</v>
      </c>
      <c r="E37" s="474">
        <v>0.9</v>
      </c>
      <c r="F37" s="461">
        <f>LOOKUP(E37,111:111,112:112)-LOOKUP(C37,111:111,112:112)+100</f>
        <v>100</v>
      </c>
      <c r="G37" s="474">
        <v>0.9</v>
      </c>
      <c r="H37" s="461">
        <f>LOOKUP(G37,111:111,112:112)-LOOKUP(C37,111:111,112:112)+100</f>
        <v>100</v>
      </c>
      <c r="I37" s="474">
        <v>0.9</v>
      </c>
      <c r="J37" s="435">
        <f>LOOKUP(I37,111:111,112:112)-LOOKUP(C37,111:111,112:112)+100</f>
        <v>100</v>
      </c>
      <c r="K37" s="612">
        <v>2</v>
      </c>
      <c r="L37" s="1141"/>
      <c r="M37" s="1132"/>
      <c r="N37" s="1132"/>
      <c r="O37" s="1132"/>
      <c r="P37" s="3262"/>
      <c r="Q37" s="3028" t="str">
        <f t="shared" si="11"/>
        <v>成新度</v>
      </c>
      <c r="R37" s="772" t="s">
        <v>17</v>
      </c>
      <c r="S37" s="773">
        <f t="shared" si="12"/>
        <v>100</v>
      </c>
      <c r="T37" s="772" t="s">
        <v>17</v>
      </c>
      <c r="U37" s="773">
        <f t="shared" si="13"/>
        <v>100</v>
      </c>
      <c r="V37" s="772" t="s">
        <v>17</v>
      </c>
      <c r="W37" s="773">
        <f t="shared" si="14"/>
        <v>100</v>
      </c>
      <c r="X37" s="3026"/>
      <c r="Y37" s="3264"/>
      <c r="Z37" s="3027" t="str">
        <f t="shared" si="15"/>
        <v>成新度</v>
      </c>
      <c r="AA37" s="3029">
        <f t="shared" si="3"/>
        <v>1</v>
      </c>
      <c r="AB37" s="3029">
        <f t="shared" si="4"/>
        <v>1</v>
      </c>
      <c r="AC37" s="2675">
        <f t="shared" si="5"/>
        <v>1</v>
      </c>
    </row>
    <row r="38" spans="1:29" s="117" customFormat="1" ht="15">
      <c r="A38" s="473"/>
      <c r="B38" s="3023" t="s">
        <v>2695</v>
      </c>
      <c r="C38" s="2985" t="s">
        <v>3116</v>
      </c>
      <c r="D38" s="136">
        <v>100</v>
      </c>
      <c r="E38" s="2985" t="s">
        <v>3116</v>
      </c>
      <c r="F38" s="461">
        <f>SUMIF(113:113,E38,114:114)-SUMIF(113:113,C38,114:114)+100</f>
        <v>100</v>
      </c>
      <c r="G38" s="2985" t="s">
        <v>3116</v>
      </c>
      <c r="H38" s="435">
        <f>SUMIF(113:113,G38,114:114)-SUMIF(113:113,C38,114:114)+100</f>
        <v>100</v>
      </c>
      <c r="I38" s="2985" t="s">
        <v>3116</v>
      </c>
      <c r="J38" s="435">
        <f>SUMIF(113:113,I38,114:114)-SUMIF(113:113,C38,114:114)+100</f>
        <v>100</v>
      </c>
      <c r="K38" s="612">
        <v>2</v>
      </c>
      <c r="L38" s="1133"/>
      <c r="M38" s="1134"/>
      <c r="N38" s="1134"/>
      <c r="O38" s="1134"/>
      <c r="P38" s="3262"/>
      <c r="Q38" s="3005" t="str">
        <f t="shared" si="11"/>
        <v>写字楼等级</v>
      </c>
      <c r="R38" s="768" t="s">
        <v>17</v>
      </c>
      <c r="S38" s="769">
        <f t="shared" si="12"/>
        <v>100</v>
      </c>
      <c r="T38" s="768" t="s">
        <v>17</v>
      </c>
      <c r="U38" s="769">
        <f t="shared" si="13"/>
        <v>100</v>
      </c>
      <c r="V38" s="768" t="s">
        <v>17</v>
      </c>
      <c r="W38" s="769">
        <f t="shared" si="14"/>
        <v>100</v>
      </c>
      <c r="X38" s="770"/>
      <c r="Y38" s="3264"/>
      <c r="Z38" s="3006" t="str">
        <f t="shared" si="15"/>
        <v>写字楼等级</v>
      </c>
      <c r="AA38" s="771">
        <f t="shared" si="3"/>
        <v>1</v>
      </c>
      <c r="AB38" s="771">
        <f t="shared" si="4"/>
        <v>1</v>
      </c>
      <c r="AC38" s="2672">
        <f t="shared" si="5"/>
        <v>1</v>
      </c>
    </row>
    <row r="39" spans="1:29" ht="15">
      <c r="A39" s="472"/>
      <c r="B39" s="3023" t="s">
        <v>2696</v>
      </c>
      <c r="C39" s="2985" t="s">
        <v>3117</v>
      </c>
      <c r="D39" s="435">
        <v>100</v>
      </c>
      <c r="E39" s="2985" t="s">
        <v>3117</v>
      </c>
      <c r="F39" s="461">
        <f>SUMIF(115:115,E39,116:116)-SUMIF(115:115,C39,116:116)+100</f>
        <v>100</v>
      </c>
      <c r="G39" s="2985" t="s">
        <v>3117</v>
      </c>
      <c r="H39" s="435">
        <f>SUMIF(115:115,G39,116:116)-SUMIF(115:115,C39,116:116)+100</f>
        <v>100</v>
      </c>
      <c r="I39" s="2985" t="s">
        <v>3117</v>
      </c>
      <c r="J39" s="435">
        <f>SUMIF(115:115,I39,116:116)-SUMIF(115:115,C39,116:116)+100</f>
        <v>100</v>
      </c>
      <c r="K39" s="612">
        <v>2</v>
      </c>
      <c r="L39" s="1141"/>
      <c r="M39" s="1132"/>
      <c r="N39" s="1132"/>
      <c r="O39" s="1132"/>
      <c r="P39" s="3262" t="s">
        <v>2566</v>
      </c>
      <c r="Q39" s="3028" t="str">
        <f t="shared" si="11"/>
        <v>物业管理</v>
      </c>
      <c r="R39" s="772" t="s">
        <v>17</v>
      </c>
      <c r="S39" s="773">
        <f t="shared" si="12"/>
        <v>100</v>
      </c>
      <c r="T39" s="772" t="s">
        <v>17</v>
      </c>
      <c r="U39" s="773">
        <f t="shared" si="13"/>
        <v>100</v>
      </c>
      <c r="V39" s="772" t="s">
        <v>17</v>
      </c>
      <c r="W39" s="773">
        <f t="shared" si="14"/>
        <v>100</v>
      </c>
      <c r="X39" s="3026"/>
      <c r="Y39" s="3264" t="s">
        <v>2566</v>
      </c>
      <c r="Z39" s="3027" t="str">
        <f t="shared" si="15"/>
        <v>物业管理</v>
      </c>
      <c r="AA39" s="3029">
        <f t="shared" si="3"/>
        <v>1</v>
      </c>
      <c r="AB39" s="3029">
        <f t="shared" si="4"/>
        <v>1</v>
      </c>
      <c r="AC39" s="2675">
        <f t="shared" si="5"/>
        <v>1</v>
      </c>
    </row>
    <row r="40" spans="1:29" ht="15">
      <c r="A40" s="472"/>
      <c r="B40" s="3023" t="s">
        <v>2664</v>
      </c>
      <c r="C40" s="2995" t="s">
        <v>3108</v>
      </c>
      <c r="D40" s="435">
        <v>100</v>
      </c>
      <c r="E40" s="2985" t="s">
        <v>3119</v>
      </c>
      <c r="F40" s="461">
        <f>SUMIF(117:117,E40,118:118)-SUMIF(117:117,C40,118:118)+100</f>
        <v>96</v>
      </c>
      <c r="G40" s="2985" t="s">
        <v>3119</v>
      </c>
      <c r="H40" s="435">
        <f>SUMIF(117:117,G40,118:118)-SUMIF(117:117,C40,118:118)+100</f>
        <v>96</v>
      </c>
      <c r="I40" s="2985" t="s">
        <v>3119</v>
      </c>
      <c r="J40" s="435">
        <f>SUMIF(117:117,I40,118:118)-SUMIF(117:117,C40,118:118)+100</f>
        <v>96</v>
      </c>
      <c r="K40" s="612">
        <v>2</v>
      </c>
      <c r="L40" s="1141"/>
      <c r="M40" s="1132"/>
      <c r="N40" s="1132"/>
      <c r="O40" s="1132"/>
      <c r="P40" s="3262"/>
      <c r="Q40" s="3028" t="str">
        <f t="shared" si="11"/>
        <v>市政基础设施</v>
      </c>
      <c r="R40" s="772" t="s">
        <v>17</v>
      </c>
      <c r="S40" s="773">
        <f t="shared" si="12"/>
        <v>96</v>
      </c>
      <c r="T40" s="772" t="s">
        <v>17</v>
      </c>
      <c r="U40" s="773">
        <f t="shared" si="13"/>
        <v>96</v>
      </c>
      <c r="V40" s="772" t="s">
        <v>17</v>
      </c>
      <c r="W40" s="773">
        <f t="shared" si="14"/>
        <v>96</v>
      </c>
      <c r="X40" s="3026"/>
      <c r="Y40" s="3264"/>
      <c r="Z40" s="3027" t="str">
        <f t="shared" si="15"/>
        <v>市政基础设施</v>
      </c>
      <c r="AA40" s="3029">
        <f t="shared" si="3"/>
        <v>1.0416666666666667</v>
      </c>
      <c r="AB40" s="3029">
        <f t="shared" si="4"/>
        <v>1.0416666666666667</v>
      </c>
      <c r="AC40" s="2675">
        <f t="shared" si="5"/>
        <v>1.0416666666666667</v>
      </c>
    </row>
    <row r="41" spans="1:29" ht="15">
      <c r="A41" s="472"/>
      <c r="B41" s="3023" t="s">
        <v>2666</v>
      </c>
      <c r="C41" s="2982" t="s">
        <v>3120</v>
      </c>
      <c r="D41" s="435">
        <v>100</v>
      </c>
      <c r="E41" s="2982" t="s">
        <v>3120</v>
      </c>
      <c r="F41" s="461">
        <f>SUMIF(119:119,E41,120:120)-SUMIF(119:119,C41,120:120)+100</f>
        <v>100</v>
      </c>
      <c r="G41" s="2982" t="s">
        <v>3120</v>
      </c>
      <c r="H41" s="435">
        <f>SUMIF(119:119,G41,120:120)-SUMIF(119:119,C41,120:120)+100</f>
        <v>100</v>
      </c>
      <c r="I41" s="2982" t="s">
        <v>3120</v>
      </c>
      <c r="J41" s="435">
        <f>SUMIF(119:119,I41,120:120)-SUMIF(119:119,C41,120:120)+100</f>
        <v>100</v>
      </c>
      <c r="K41" s="612">
        <v>2</v>
      </c>
      <c r="L41" s="1141"/>
      <c r="M41" s="1132"/>
      <c r="N41" s="1132"/>
      <c r="O41" s="1132"/>
      <c r="P41" s="3262"/>
      <c r="Q41" s="3028" t="str">
        <f t="shared" si="11"/>
        <v>层高</v>
      </c>
      <c r="R41" s="772" t="s">
        <v>17</v>
      </c>
      <c r="S41" s="773">
        <f t="shared" si="12"/>
        <v>100</v>
      </c>
      <c r="T41" s="772" t="s">
        <v>17</v>
      </c>
      <c r="U41" s="773">
        <f t="shared" si="13"/>
        <v>100</v>
      </c>
      <c r="V41" s="772" t="s">
        <v>17</v>
      </c>
      <c r="W41" s="773">
        <f t="shared" si="14"/>
        <v>100</v>
      </c>
      <c r="X41" s="3026"/>
      <c r="Y41" s="3264"/>
      <c r="Z41" s="3027" t="str">
        <f t="shared" si="15"/>
        <v>层高</v>
      </c>
      <c r="AA41" s="3029">
        <f t="shared" si="3"/>
        <v>1</v>
      </c>
      <c r="AB41" s="3029">
        <f t="shared" si="4"/>
        <v>1</v>
      </c>
      <c r="AC41" s="2675">
        <f t="shared" si="5"/>
        <v>1</v>
      </c>
    </row>
    <row r="42" spans="1:29" s="471" customFormat="1" ht="15">
      <c r="A42" s="468"/>
      <c r="B42" s="3030"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262"/>
      <c r="Q42" s="774" t="str">
        <f t="shared" si="11"/>
        <v>单套建筑面积</v>
      </c>
      <c r="R42" s="775" t="s">
        <v>17</v>
      </c>
      <c r="S42" s="776">
        <f t="shared" si="12"/>
        <v>100</v>
      </c>
      <c r="T42" s="775" t="s">
        <v>17</v>
      </c>
      <c r="U42" s="776">
        <f t="shared" si="13"/>
        <v>100</v>
      </c>
      <c r="V42" s="775" t="s">
        <v>17</v>
      </c>
      <c r="W42" s="776">
        <f t="shared" si="14"/>
        <v>100</v>
      </c>
      <c r="X42" s="777"/>
      <c r="Y42" s="3264"/>
      <c r="Z42" s="778" t="str">
        <f t="shared" si="15"/>
        <v>单套建筑面积</v>
      </c>
      <c r="AA42" s="3029">
        <f t="shared" si="3"/>
        <v>1</v>
      </c>
      <c r="AB42" s="3029">
        <f t="shared" si="4"/>
        <v>1</v>
      </c>
      <c r="AC42" s="2675">
        <f t="shared" si="5"/>
        <v>1</v>
      </c>
    </row>
    <row r="43" spans="1:29" ht="15">
      <c r="A43" s="472"/>
      <c r="B43" s="3023" t="s">
        <v>2669</v>
      </c>
      <c r="C43" s="2985" t="s">
        <v>3320</v>
      </c>
      <c r="D43" s="435">
        <v>100</v>
      </c>
      <c r="E43" s="2985" t="s">
        <v>3166</v>
      </c>
      <c r="F43" s="461">
        <f>SUMIF(123:123,E43,124:124)-SUMIF(123:123,C43,124:124)+100</f>
        <v>104</v>
      </c>
      <c r="G43" s="2985" t="s">
        <v>3166</v>
      </c>
      <c r="H43" s="435">
        <f>SUMIF(123:123,G43,124:124)-SUMIF(123:123,C43,124:124)+100</f>
        <v>104</v>
      </c>
      <c r="I43" s="2985" t="s">
        <v>3166</v>
      </c>
      <c r="J43" s="435">
        <f>SUMIF(123:123,I43,124:124)-SUMIF(123:123,C43,124:124)+100</f>
        <v>104</v>
      </c>
      <c r="K43" s="612">
        <v>2</v>
      </c>
      <c r="L43" s="1141"/>
      <c r="M43" s="1132"/>
      <c r="N43" s="1132"/>
      <c r="O43" s="1132"/>
      <c r="P43" s="3262"/>
      <c r="Q43" s="3028" t="str">
        <f t="shared" si="11"/>
        <v>内部装修</v>
      </c>
      <c r="R43" s="772" t="s">
        <v>17</v>
      </c>
      <c r="S43" s="773">
        <f t="shared" si="12"/>
        <v>104</v>
      </c>
      <c r="T43" s="772" t="s">
        <v>17</v>
      </c>
      <c r="U43" s="773">
        <f t="shared" si="13"/>
        <v>104</v>
      </c>
      <c r="V43" s="772" t="s">
        <v>17</v>
      </c>
      <c r="W43" s="773">
        <f t="shared" si="14"/>
        <v>104</v>
      </c>
      <c r="X43" s="3026"/>
      <c r="Y43" s="3264"/>
      <c r="Z43" s="3027" t="str">
        <f t="shared" si="15"/>
        <v>内部装修</v>
      </c>
      <c r="AA43" s="3029">
        <f t="shared" si="3"/>
        <v>0.96153846153846156</v>
      </c>
      <c r="AB43" s="3029">
        <f t="shared" si="4"/>
        <v>0.96153846153846156</v>
      </c>
      <c r="AC43" s="2675">
        <f t="shared" si="5"/>
        <v>0.96153846153846156</v>
      </c>
    </row>
    <row r="44" spans="1:29" ht="15">
      <c r="A44" s="472"/>
      <c r="B44" s="3023" t="s">
        <v>2577</v>
      </c>
      <c r="C44" s="2985" t="s">
        <v>3107</v>
      </c>
      <c r="D44" s="435">
        <v>100</v>
      </c>
      <c r="E44" s="2986" t="s">
        <v>3107</v>
      </c>
      <c r="F44" s="461">
        <f>SUMIF(125:125,E44,126:126)-SUMIF(125:125,C44,126:126)+100</f>
        <v>100</v>
      </c>
      <c r="G44" s="2986" t="s">
        <v>3107</v>
      </c>
      <c r="H44" s="435">
        <f>SUMIF(125:125,G44,126:126)-SUMIF(125:125,C44,126:126)+100</f>
        <v>100</v>
      </c>
      <c r="I44" s="2986" t="s">
        <v>3107</v>
      </c>
      <c r="J44" s="435">
        <f>SUMIF(125:125,I44,126:126)-SUMIF(125:125,C44,126:126)+100</f>
        <v>100</v>
      </c>
      <c r="K44" s="612">
        <v>2</v>
      </c>
      <c r="L44" s="1141"/>
      <c r="M44" s="1132"/>
      <c r="N44" s="1132"/>
      <c r="O44" s="1132"/>
      <c r="P44" s="3262"/>
      <c r="Q44" s="3028" t="str">
        <f t="shared" si="11"/>
        <v>内部装修维护情况</v>
      </c>
      <c r="R44" s="772" t="s">
        <v>17</v>
      </c>
      <c r="S44" s="773">
        <f t="shared" si="12"/>
        <v>100</v>
      </c>
      <c r="T44" s="772" t="s">
        <v>17</v>
      </c>
      <c r="U44" s="773">
        <f t="shared" si="13"/>
        <v>100</v>
      </c>
      <c r="V44" s="772" t="s">
        <v>17</v>
      </c>
      <c r="W44" s="773">
        <f t="shared" si="14"/>
        <v>100</v>
      </c>
      <c r="X44" s="3026"/>
      <c r="Y44" s="3264"/>
      <c r="Z44" s="3027" t="str">
        <f t="shared" si="15"/>
        <v>内部装修维护情况</v>
      </c>
      <c r="AA44" s="3029">
        <f t="shared" si="3"/>
        <v>1</v>
      </c>
      <c r="AB44" s="3029">
        <f t="shared" si="4"/>
        <v>1</v>
      </c>
      <c r="AC44" s="2675">
        <f t="shared" si="5"/>
        <v>1</v>
      </c>
    </row>
    <row r="45" spans="1:29" s="117" customFormat="1" ht="15">
      <c r="A45" s="473"/>
      <c r="B45" s="3032" t="s">
        <v>3313</v>
      </c>
      <c r="C45" s="3033"/>
      <c r="D45" s="136">
        <v>100</v>
      </c>
      <c r="E45" s="3034"/>
      <c r="F45" s="425">
        <f>SUMIF(127:127,E45,128:128)-SUMIF(127:127,C45,128:128)+100</f>
        <v>100</v>
      </c>
      <c r="G45" s="3034"/>
      <c r="H45" s="136">
        <f>SUMIF(127:127,G45,128:128)-SUMIF(127:127,C45,128:128)+100</f>
        <v>100</v>
      </c>
      <c r="I45" s="3034"/>
      <c r="J45" s="136">
        <f>SUMIF(127:127,I45,128:128)-SUMIF(127:127,C45,128:128)+100</f>
        <v>100</v>
      </c>
      <c r="K45" s="613"/>
      <c r="L45" s="1133"/>
      <c r="M45" s="1134"/>
      <c r="N45" s="1134"/>
      <c r="O45" s="1134"/>
      <c r="P45" s="3262"/>
      <c r="Q45" s="3005" t="str">
        <f t="shared" si="11"/>
        <v>现状用途</v>
      </c>
      <c r="R45" s="768" t="s">
        <v>17</v>
      </c>
      <c r="S45" s="769">
        <f t="shared" si="12"/>
        <v>100</v>
      </c>
      <c r="T45" s="768" t="s">
        <v>17</v>
      </c>
      <c r="U45" s="769">
        <f t="shared" si="13"/>
        <v>100</v>
      </c>
      <c r="V45" s="768" t="s">
        <v>17</v>
      </c>
      <c r="W45" s="769">
        <f t="shared" si="14"/>
        <v>100</v>
      </c>
      <c r="X45" s="770"/>
      <c r="Y45" s="3264"/>
      <c r="Z45" s="3006" t="str">
        <f t="shared" si="15"/>
        <v>现状用途</v>
      </c>
      <c r="AA45" s="771">
        <f t="shared" si="3"/>
        <v>1</v>
      </c>
      <c r="AB45" s="771">
        <f t="shared" si="4"/>
        <v>1</v>
      </c>
      <c r="AC45" s="2672">
        <f t="shared" si="5"/>
        <v>1</v>
      </c>
    </row>
    <row r="46" spans="1:29" ht="15">
      <c r="A46" s="472"/>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262"/>
      <c r="Q46" s="3028">
        <f t="shared" si="11"/>
        <v>111</v>
      </c>
      <c r="R46" s="772" t="s">
        <v>17</v>
      </c>
      <c r="S46" s="773">
        <f t="shared" si="12"/>
        <v>100</v>
      </c>
      <c r="T46" s="772" t="s">
        <v>17</v>
      </c>
      <c r="U46" s="773">
        <f t="shared" si="13"/>
        <v>100</v>
      </c>
      <c r="V46" s="772" t="s">
        <v>17</v>
      </c>
      <c r="W46" s="773">
        <f t="shared" si="14"/>
        <v>100</v>
      </c>
      <c r="X46" s="3026"/>
      <c r="Y46" s="3264"/>
      <c r="Z46" s="3027">
        <f t="shared" si="15"/>
        <v>111</v>
      </c>
      <c r="AA46" s="3029">
        <f t="shared" si="3"/>
        <v>1</v>
      </c>
      <c r="AB46" s="3029">
        <f t="shared" si="4"/>
        <v>1</v>
      </c>
      <c r="AC46" s="2675">
        <f t="shared" si="5"/>
        <v>1</v>
      </c>
    </row>
    <row r="47" spans="1:29" ht="15.75" thickBot="1">
      <c r="A47" s="478"/>
      <c r="B47" s="2603">
        <v>0.95</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263"/>
      <c r="Q47" s="3028">
        <f t="shared" si="11"/>
        <v>0.95</v>
      </c>
      <c r="R47" s="772" t="s">
        <v>17</v>
      </c>
      <c r="S47" s="773">
        <f t="shared" si="12"/>
        <v>100</v>
      </c>
      <c r="T47" s="772" t="s">
        <v>17</v>
      </c>
      <c r="U47" s="773">
        <f t="shared" si="13"/>
        <v>100</v>
      </c>
      <c r="V47" s="772" t="s">
        <v>17</v>
      </c>
      <c r="W47" s="773">
        <f t="shared" si="14"/>
        <v>100</v>
      </c>
      <c r="X47" s="3026"/>
      <c r="Y47" s="3265"/>
      <c r="Z47" s="3027">
        <f t="shared" si="15"/>
        <v>0.95</v>
      </c>
      <c r="AA47" s="3029">
        <f t="shared" si="3"/>
        <v>1</v>
      </c>
      <c r="AB47" s="3029">
        <f t="shared" si="4"/>
        <v>1</v>
      </c>
      <c r="AC47" s="2675">
        <f t="shared" si="5"/>
        <v>1</v>
      </c>
    </row>
    <row r="48" spans="1:29" ht="15">
      <c r="A48" s="479" t="s">
        <v>2578</v>
      </c>
      <c r="B48" s="480"/>
      <c r="C48" s="1408" t="s">
        <v>1</v>
      </c>
      <c r="D48" s="1409"/>
      <c r="E48" s="1410">
        <f>'比较法-办公'!E48</f>
        <v>26600</v>
      </c>
      <c r="F48" s="1411"/>
      <c r="G48" s="1412">
        <f>'比较法-办公'!G48</f>
        <v>23750</v>
      </c>
      <c r="H48" s="1413"/>
      <c r="I48" s="1410">
        <f>'比较法-办公'!I48</f>
        <v>26600</v>
      </c>
      <c r="J48" s="485"/>
      <c r="K48" s="781"/>
      <c r="L48" s="1144"/>
      <c r="M48" s="1132"/>
      <c r="N48" s="1132"/>
      <c r="O48" s="1132"/>
      <c r="P48" s="3243" t="str">
        <f>A48</f>
        <v>成交单价（元/平方米）</v>
      </c>
      <c r="Q48" s="3266"/>
      <c r="R48" s="3267">
        <f>E48</f>
        <v>26600</v>
      </c>
      <c r="S48" s="3267"/>
      <c r="T48" s="3267">
        <f>G48</f>
        <v>23750</v>
      </c>
      <c r="U48" s="3267"/>
      <c r="V48" s="3267">
        <f>I48</f>
        <v>26600</v>
      </c>
      <c r="W48" s="3267"/>
      <c r="X48" s="446"/>
      <c r="Y48" s="779"/>
      <c r="Z48" s="446"/>
      <c r="AA48" s="446"/>
      <c r="AB48" s="446"/>
      <c r="AC48" s="630"/>
    </row>
    <row r="49" spans="1:29" ht="15.75" thickBot="1">
      <c r="A49" s="486" t="s">
        <v>2579</v>
      </c>
      <c r="B49" s="487"/>
      <c r="C49" s="1414">
        <f>R50</f>
        <v>24657</v>
      </c>
      <c r="D49" s="1415"/>
      <c r="E49" s="1416">
        <f>R49</f>
        <v>25204</v>
      </c>
      <c r="F49" s="1416"/>
      <c r="G49" s="1414">
        <f>T49</f>
        <v>24593</v>
      </c>
      <c r="H49" s="1415"/>
      <c r="I49" s="1416">
        <f>V49</f>
        <v>24175</v>
      </c>
      <c r="J49" s="489"/>
      <c r="K49" s="782"/>
      <c r="L49" s="1144"/>
      <c r="M49" s="1132"/>
      <c r="N49" s="1132"/>
      <c r="O49" s="1132"/>
      <c r="P49" s="3243" t="str">
        <f>A49</f>
        <v>比较价值（元/平方米）</v>
      </c>
      <c r="Q49" s="3266"/>
      <c r="R49" s="3267">
        <f>IF(F1="售价",ROUND(PRODUCT(R48,AA7:AA47),0),ROUND(PRODUCT(R48,AA7:AA47),1))</f>
        <v>25204</v>
      </c>
      <c r="S49" s="3267"/>
      <c r="T49" s="3267">
        <f>IF(F1="售价",ROUND(PRODUCT(T48,AB7:AB47),0),ROUND(PRODUCT(T48,AB7:AB47),1))</f>
        <v>24593</v>
      </c>
      <c r="U49" s="3267"/>
      <c r="V49" s="3267">
        <f>IF(F1="售价",ROUND(PRODUCT(V48,AC7:AC47),0),ROUND(PRODUCT(V48,AC7:AC47),1))</f>
        <v>24175</v>
      </c>
      <c r="W49" s="3267"/>
      <c r="X49" s="446"/>
      <c r="Y49" s="446"/>
      <c r="Z49" s="446"/>
      <c r="AA49" s="446"/>
      <c r="AB49" s="446"/>
      <c r="AC49" s="630"/>
    </row>
    <row r="50" spans="1:29" ht="15.75" thickBot="1">
      <c r="A50" s="492" t="s">
        <v>2580</v>
      </c>
      <c r="B50" s="493"/>
      <c r="C50" s="1418">
        <f>R50</f>
        <v>24657</v>
      </c>
      <c r="D50" s="1418"/>
      <c r="E50" s="1418"/>
      <c r="F50" s="1418"/>
      <c r="G50" s="1418"/>
      <c r="H50" s="1418"/>
      <c r="I50" s="1418"/>
      <c r="J50" s="494"/>
      <c r="K50" s="783"/>
      <c r="L50" s="1144"/>
      <c r="M50" s="1132"/>
      <c r="N50" s="1132"/>
      <c r="O50" s="1132"/>
      <c r="P50" s="3314" t="str">
        <f>A50</f>
        <v>估价对象XX用房的比较价值（楼面单价，元/平方米）</v>
      </c>
      <c r="Q50" s="3315"/>
      <c r="R50" s="3316">
        <f>IF(F1="售价",ROUND(AVERAGE(R49:V49),0),ROUND(AVERAGE(R49:V49),1))</f>
        <v>24657</v>
      </c>
      <c r="S50" s="3316"/>
      <c r="T50" s="3316"/>
      <c r="U50" s="3316"/>
      <c r="V50" s="3316"/>
      <c r="W50" s="3316"/>
      <c r="X50" s="2655"/>
      <c r="Y50" s="2655"/>
      <c r="Z50" s="2655"/>
      <c r="AA50" s="2655"/>
      <c r="AB50" s="2655"/>
      <c r="AC50" s="2656"/>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2581</v>
      </c>
      <c r="D53" s="498"/>
      <c r="E53" s="499">
        <f>IF(E48&lt;E49,E49/E48-1,E48/E49-1)</f>
        <v>5.5388033645453083E-2</v>
      </c>
      <c r="F53" s="500" t="str">
        <f>IF(OR(E53&gt;=0.3,E53&lt;=-0.3),"超过30%","")</f>
        <v/>
      </c>
      <c r="G53" s="499">
        <f>IF(G48&lt;G49,G49/G48-1,G48/G49-1)</f>
        <v>3.5494736842105246E-2</v>
      </c>
      <c r="H53" s="500" t="str">
        <f>IF(OR(G53&gt;=0.3,G53&lt;=-0.3),"超过30%","")</f>
        <v/>
      </c>
      <c r="I53" s="499">
        <f>IF(I48&lt;I49,I49/I48-1,I48/I49-1)</f>
        <v>0.10031023784901749</v>
      </c>
      <c r="J53" s="500" t="str">
        <f>IF(OR(I53&gt;=0.3,I53&lt;=-0.3),"超过30%","")</f>
        <v/>
      </c>
      <c r="K53" s="1106"/>
      <c r="L53" s="1107"/>
      <c r="M53" s="1145"/>
      <c r="N53" s="1145"/>
      <c r="O53" s="1145"/>
    </row>
    <row r="54" spans="1:29" ht="13.5" customHeight="1">
      <c r="A54" s="1145"/>
      <c r="B54" s="1145"/>
      <c r="C54" s="497" t="s">
        <v>2582</v>
      </c>
      <c r="D54" s="501"/>
      <c r="E54" s="499">
        <f>IF(E49&lt;G49,G49/E49-1,E49/G49-1)</f>
        <v>2.4844467938031078E-2</v>
      </c>
      <c r="F54" s="500" t="str">
        <f>IF(OR(E54&gt;=0.2,E54&lt;=-0.2),"超过20%","")</f>
        <v/>
      </c>
      <c r="G54" s="499">
        <f>IF(G49&lt;I49,I49/G49-1,G49/I49-1)</f>
        <v>1.7290589451913085E-2</v>
      </c>
      <c r="H54" s="500" t="str">
        <f>IF(OR(G54&gt;=0.2,G54&lt;=-0.2),"超过20%","")</f>
        <v/>
      </c>
      <c r="I54" s="499">
        <f>IF(I49&lt;E49,E49/I49-1,I49/E49-1)</f>
        <v>4.2564632885212061E-2</v>
      </c>
      <c r="J54" s="500" t="str">
        <f>IF(OR(I54&gt;=0.2,I54&lt;=-0.2),"超过20%","")</f>
        <v/>
      </c>
      <c r="K54" s="1106"/>
      <c r="L54" s="1107"/>
      <c r="M54" s="1145"/>
      <c r="N54" s="1145"/>
      <c r="O54" s="1145"/>
    </row>
    <row r="55" spans="1:29" s="502" customFormat="1" ht="13.5" customHeight="1">
      <c r="A55" s="1146"/>
      <c r="B55" s="1146"/>
      <c r="C55" s="497" t="s">
        <v>2583</v>
      </c>
      <c r="D55" s="501"/>
      <c r="E55" s="499">
        <f>IF(E48&lt;G48,G48/E48-1,E48/G48-1)</f>
        <v>0.12000000000000011</v>
      </c>
      <c r="F55" s="500" t="str">
        <f>IF(OR(E55&gt;=0.3,E55&lt;=-0.3),"超过30%","")</f>
        <v/>
      </c>
      <c r="G55" s="499">
        <f>IF(G48&lt;I48,I48/G48-1,G48/I48-1)</f>
        <v>0.12000000000000011</v>
      </c>
      <c r="H55" s="500" t="str">
        <f>IF(OR(G55&gt;=0.3,G55&lt;=-0.3),"超过30%","")</f>
        <v/>
      </c>
      <c r="I55" s="499">
        <f>IF(I48&lt;E48,E48/I48-1,I48/E48-1)</f>
        <v>0</v>
      </c>
      <c r="J55" s="500" t="str">
        <f>IF(OR(I55&gt;=0.3,I55&lt;=-0.3),"超过30%","")</f>
        <v/>
      </c>
      <c r="K55" s="1149"/>
      <c r="L55" s="1150"/>
      <c r="M55" s="1146"/>
      <c r="N55" s="1146"/>
      <c r="O55" s="1146"/>
      <c r="P55" s="2680"/>
    </row>
    <row r="56" spans="1:29" s="502" customFormat="1">
      <c r="A56" s="1146"/>
      <c r="B56" s="1147"/>
      <c r="C56" s="1151"/>
      <c r="D56" s="1146"/>
      <c r="E56" s="1146"/>
      <c r="F56" s="1146"/>
      <c r="G56" s="1146"/>
      <c r="H56" s="1146"/>
      <c r="I56" s="1146"/>
      <c r="J56" s="1146"/>
      <c r="K56" s="1149"/>
      <c r="L56" s="1150"/>
      <c r="M56" s="1146"/>
      <c r="N56" s="1146"/>
      <c r="O56" s="1146"/>
      <c r="P56" s="2680"/>
    </row>
    <row r="57" spans="1:29">
      <c r="A57" s="1145"/>
      <c r="B57" s="1147"/>
      <c r="C57" s="1151"/>
      <c r="D57" s="1145"/>
      <c r="E57" s="1145"/>
      <c r="F57" s="1145"/>
      <c r="G57" s="1145"/>
      <c r="H57" s="1145"/>
      <c r="I57" s="1145"/>
      <c r="J57" s="1145"/>
      <c r="K57" s="1106"/>
      <c r="L57" s="1107"/>
      <c r="M57" s="1145"/>
      <c r="N57" s="1145"/>
      <c r="O57" s="1145"/>
    </row>
    <row r="58" spans="1:29" ht="21.75" thickBot="1">
      <c r="A58" s="761" t="s">
        <v>2584</v>
      </c>
      <c r="B58" s="757"/>
      <c r="C58" s="762"/>
      <c r="D58" s="762"/>
      <c r="E58" s="762"/>
      <c r="F58" s="763"/>
      <c r="G58" s="763"/>
      <c r="H58" s="762"/>
      <c r="I58" s="762"/>
      <c r="J58" s="762"/>
      <c r="K58" s="764"/>
      <c r="L58" s="1162"/>
      <c r="M58" s="1160"/>
      <c r="N58" s="1160"/>
      <c r="O58" s="1160"/>
      <c r="P58" s="2681"/>
      <c r="Q58" s="504"/>
    </row>
    <row r="59" spans="1:29" s="508" customFormat="1" ht="15">
      <c r="A59" s="505" t="s">
        <v>2549</v>
      </c>
      <c r="B59" s="506"/>
      <c r="C59" s="1575" t="str">
        <f>YEAR(C7)&amp;"-"&amp;MONTH(C7)</f>
        <v>2019-4</v>
      </c>
      <c r="D59" s="1576">
        <f>EDATE(C59,-1)</f>
        <v>43525</v>
      </c>
      <c r="E59" s="1576">
        <f>EDATE(D59,-1)</f>
        <v>43497</v>
      </c>
      <c r="F59" s="1576">
        <f t="shared" ref="F59:O59" si="16">EDATE(E59,-1)</f>
        <v>43466</v>
      </c>
      <c r="G59" s="1576">
        <f t="shared" si="16"/>
        <v>43435</v>
      </c>
      <c r="H59" s="1576">
        <f t="shared" si="16"/>
        <v>43405</v>
      </c>
      <c r="I59" s="1576">
        <f t="shared" si="16"/>
        <v>43374</v>
      </c>
      <c r="J59" s="1576">
        <f t="shared" si="16"/>
        <v>43344</v>
      </c>
      <c r="K59" s="1576">
        <f t="shared" si="16"/>
        <v>43313</v>
      </c>
      <c r="L59" s="1576">
        <f t="shared" si="16"/>
        <v>43282</v>
      </c>
      <c r="M59" s="1576">
        <f t="shared" si="16"/>
        <v>43252</v>
      </c>
      <c r="N59" s="1576">
        <f t="shared" si="16"/>
        <v>43221</v>
      </c>
      <c r="O59" s="1576">
        <f t="shared" si="16"/>
        <v>43191</v>
      </c>
      <c r="P59" s="1572"/>
    </row>
    <row r="60" spans="1:29" s="117" customFormat="1" ht="15">
      <c r="A60" s="509"/>
      <c r="B60" s="510"/>
      <c r="C60" s="1574">
        <v>100</v>
      </c>
      <c r="D60" s="512"/>
      <c r="E60" s="512"/>
      <c r="F60" s="512"/>
      <c r="G60" s="512"/>
      <c r="H60" s="512"/>
      <c r="I60" s="512"/>
      <c r="J60" s="512"/>
      <c r="K60" s="512"/>
      <c r="L60" s="512"/>
      <c r="M60" s="513"/>
      <c r="N60" s="512"/>
      <c r="O60" s="513"/>
      <c r="P60" s="2682"/>
    </row>
    <row r="61" spans="1:29" s="117" customFormat="1" ht="15.75" thickBot="1">
      <c r="A61" s="515" t="s">
        <v>2586</v>
      </c>
      <c r="B61" s="516"/>
      <c r="C61" s="517"/>
      <c r="D61" s="518"/>
      <c r="E61" s="518"/>
      <c r="F61" s="518"/>
      <c r="G61" s="518"/>
      <c r="H61" s="518"/>
      <c r="I61" s="518"/>
      <c r="J61" s="518"/>
      <c r="K61" s="518"/>
      <c r="L61" s="518"/>
      <c r="M61" s="519"/>
      <c r="N61" s="518"/>
      <c r="O61" s="519"/>
      <c r="P61" s="2682"/>
      <c r="Q61" s="504"/>
    </row>
    <row r="62" spans="1:29" s="117" customFormat="1" ht="15">
      <c r="A62" s="521" t="s">
        <v>2551</v>
      </c>
      <c r="B62" s="510"/>
      <c r="C62" s="522" t="s">
        <v>2588</v>
      </c>
      <c r="D62" s="523"/>
      <c r="E62" s="523"/>
      <c r="F62" s="523"/>
      <c r="G62" s="523"/>
      <c r="H62" s="523"/>
      <c r="I62" s="523"/>
      <c r="J62" s="523"/>
      <c r="K62" s="523"/>
      <c r="L62" s="524"/>
      <c r="M62" s="525"/>
      <c r="N62" s="1152"/>
      <c r="O62" s="1152"/>
      <c r="P62" s="2683"/>
      <c r="Q62" s="504"/>
    </row>
    <row r="63" spans="1:29" s="117" customFormat="1" ht="15.75" thickBot="1">
      <c r="A63" s="521"/>
      <c r="B63" s="510"/>
      <c r="C63" s="511">
        <v>100</v>
      </c>
      <c r="D63" s="512"/>
      <c r="E63" s="512"/>
      <c r="F63" s="512"/>
      <c r="G63" s="512"/>
      <c r="H63" s="512"/>
      <c r="I63" s="512"/>
      <c r="J63" s="512"/>
      <c r="K63" s="512"/>
      <c r="L63" s="512"/>
      <c r="M63" s="514"/>
      <c r="N63" s="1152"/>
      <c r="O63" s="1152"/>
      <c r="P63" s="2682"/>
      <c r="Q63" s="504"/>
    </row>
    <row r="64" spans="1:29">
      <c r="A64" s="527" t="s">
        <v>2589</v>
      </c>
      <c r="B64" s="528" t="s">
        <v>2555</v>
      </c>
      <c r="C64" s="529" t="str">
        <f>C9</f>
        <v>公寓</v>
      </c>
      <c r="D64" s="2990" t="s">
        <v>3319</v>
      </c>
      <c r="E64" s="530"/>
      <c r="F64" s="530"/>
      <c r="G64" s="530"/>
      <c r="H64" s="530"/>
      <c r="I64" s="530"/>
      <c r="J64" s="530"/>
      <c r="K64" s="531"/>
      <c r="L64" s="532"/>
      <c r="M64" s="533"/>
      <c r="N64" s="1153"/>
      <c r="O64" s="1153"/>
      <c r="P64" s="2684"/>
      <c r="Q64" s="504"/>
    </row>
    <row r="65" spans="1:17" ht="15.75" thickBot="1">
      <c r="A65" s="534"/>
      <c r="B65" s="535"/>
      <c r="C65" s="536">
        <v>100</v>
      </c>
      <c r="D65" s="536">
        <v>105</v>
      </c>
      <c r="E65" s="536"/>
      <c r="F65" s="536"/>
      <c r="G65" s="536"/>
      <c r="H65" s="536"/>
      <c r="I65" s="536"/>
      <c r="J65" s="536"/>
      <c r="K65" s="536"/>
      <c r="L65" s="536"/>
      <c r="M65" s="537"/>
      <c r="N65" s="1154"/>
      <c r="O65" s="1154"/>
      <c r="P65" s="2684"/>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3"/>
      <c r="O66" s="1153"/>
      <c r="P66" s="2684"/>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4"/>
      <c r="O67" s="1154"/>
      <c r="P67" s="2684"/>
      <c r="Q67" s="504"/>
    </row>
    <row r="68" spans="1:17" ht="15.75" thickTop="1">
      <c r="A68" s="534"/>
      <c r="B68" s="546" t="s">
        <v>2559</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v>
      </c>
      <c r="J68" s="547" t="str">
        <f t="shared" si="17"/>
        <v>（含）-</v>
      </c>
      <c r="K68" s="547" t="str">
        <f t="shared" si="17"/>
        <v>（含）-</v>
      </c>
      <c r="L68" s="547" t="str">
        <f t="shared" si="17"/>
        <v>（含）-</v>
      </c>
      <c r="M68" s="448" t="str">
        <f>M69&amp;"（含）"&amp;"-"&amp;P69</f>
        <v>（含）-</v>
      </c>
      <c r="N68" s="1154"/>
      <c r="O68" s="1154"/>
      <c r="P68" s="2684"/>
      <c r="Q68" s="504"/>
    </row>
    <row r="69" spans="1:17" ht="15">
      <c r="A69" s="534"/>
      <c r="B69" s="548"/>
      <c r="C69" s="549">
        <v>0</v>
      </c>
      <c r="D69" s="549">
        <v>1</v>
      </c>
      <c r="E69" s="549">
        <v>2</v>
      </c>
      <c r="F69" s="549">
        <v>3</v>
      </c>
      <c r="G69" s="549">
        <v>4</v>
      </c>
      <c r="H69" s="549">
        <v>5</v>
      </c>
      <c r="I69" s="549">
        <v>6</v>
      </c>
      <c r="J69" s="549"/>
      <c r="K69" s="550"/>
      <c r="L69" s="551"/>
      <c r="M69" s="552"/>
      <c r="N69" s="1153"/>
      <c r="O69" s="1153"/>
      <c r="P69" s="2684"/>
      <c r="Q69" s="504"/>
    </row>
    <row r="70" spans="1:17" ht="15.75" thickBot="1">
      <c r="A70" s="534"/>
      <c r="B70" s="535"/>
      <c r="C70" s="544">
        <v>100</v>
      </c>
      <c r="D70" s="544">
        <f t="shared" ref="D70:M70" si="18">C70-$K11</f>
        <v>98</v>
      </c>
      <c r="E70" s="544">
        <f t="shared" si="18"/>
        <v>96</v>
      </c>
      <c r="F70" s="544">
        <f t="shared" si="18"/>
        <v>94</v>
      </c>
      <c r="G70" s="544">
        <f t="shared" si="18"/>
        <v>92</v>
      </c>
      <c r="H70" s="544">
        <f t="shared" si="18"/>
        <v>90</v>
      </c>
      <c r="I70" s="544">
        <f t="shared" si="18"/>
        <v>88</v>
      </c>
      <c r="J70" s="544">
        <f t="shared" si="18"/>
        <v>86</v>
      </c>
      <c r="K70" s="544">
        <f t="shared" si="18"/>
        <v>84</v>
      </c>
      <c r="L70" s="544">
        <f t="shared" si="18"/>
        <v>82</v>
      </c>
      <c r="M70" s="545">
        <f t="shared" si="18"/>
        <v>80</v>
      </c>
      <c r="N70" s="1154"/>
      <c r="O70" s="1154"/>
      <c r="P70" s="2684"/>
      <c r="Q70" s="504"/>
    </row>
    <row r="71" spans="1:17" s="471" customFormat="1" ht="15.75" thickTop="1">
      <c r="A71" s="553"/>
      <c r="B71" s="538">
        <f>B12</f>
        <v>111</v>
      </c>
      <c r="C71" s="554"/>
      <c r="D71" s="554"/>
      <c r="E71" s="554"/>
      <c r="F71" s="554"/>
      <c r="G71" s="554"/>
      <c r="H71" s="555"/>
      <c r="I71" s="555"/>
      <c r="J71" s="555"/>
      <c r="K71" s="555"/>
      <c r="L71" s="556"/>
      <c r="M71" s="557"/>
      <c r="N71" s="1155"/>
      <c r="O71" s="1155"/>
      <c r="P71" s="2685"/>
      <c r="Q71" s="559"/>
    </row>
    <row r="72" spans="1:17" s="471" customFormat="1" ht="15.75" thickBot="1">
      <c r="A72" s="553"/>
      <c r="B72" s="543"/>
      <c r="C72" s="560"/>
      <c r="D72" s="536"/>
      <c r="E72" s="536"/>
      <c r="F72" s="536"/>
      <c r="G72" s="536"/>
      <c r="H72" s="536"/>
      <c r="I72" s="536"/>
      <c r="J72" s="536"/>
      <c r="K72" s="536"/>
      <c r="L72" s="536"/>
      <c r="M72" s="537"/>
      <c r="N72" s="1154"/>
      <c r="O72" s="1154"/>
      <c r="P72" s="2685"/>
      <c r="Q72" s="559"/>
    </row>
    <row r="73" spans="1:17" s="471" customFormat="1" ht="15.75" thickTop="1">
      <c r="A73" s="553"/>
      <c r="B73" s="538">
        <f>B13</f>
        <v>111</v>
      </c>
      <c r="C73" s="554"/>
      <c r="D73" s="554"/>
      <c r="E73" s="554"/>
      <c r="F73" s="554"/>
      <c r="G73" s="554"/>
      <c r="H73" s="555"/>
      <c r="I73" s="555"/>
      <c r="J73" s="555"/>
      <c r="K73" s="555"/>
      <c r="L73" s="556"/>
      <c r="M73" s="557"/>
      <c r="N73" s="1155"/>
      <c r="O73" s="1155"/>
      <c r="P73" s="2686"/>
      <c r="Q73" s="561"/>
    </row>
    <row r="74" spans="1:17" s="471" customFormat="1" ht="15.75" thickBot="1">
      <c r="A74" s="553"/>
      <c r="B74" s="543"/>
      <c r="C74" s="560"/>
      <c r="D74" s="560"/>
      <c r="E74" s="560"/>
      <c r="F74" s="560"/>
      <c r="G74" s="560"/>
      <c r="H74" s="562"/>
      <c r="I74" s="562"/>
      <c r="J74" s="562"/>
      <c r="K74" s="562"/>
      <c r="L74" s="562"/>
      <c r="M74" s="563"/>
      <c r="N74" s="1155"/>
      <c r="O74" s="1155"/>
      <c r="P74" s="2685"/>
      <c r="Q74" s="559"/>
    </row>
    <row r="75" spans="1:17" s="471" customFormat="1" ht="15.75" thickTop="1">
      <c r="A75" s="553"/>
      <c r="B75" s="546">
        <f>B14</f>
        <v>111</v>
      </c>
      <c r="C75" s="523"/>
      <c r="D75" s="523"/>
      <c r="E75" s="523"/>
      <c r="F75" s="523"/>
      <c r="G75" s="523"/>
      <c r="H75" s="564"/>
      <c r="I75" s="564"/>
      <c r="J75" s="564"/>
      <c r="K75" s="564"/>
      <c r="L75" s="565"/>
      <c r="M75" s="566"/>
      <c r="N75" s="1155"/>
      <c r="O75" s="1155"/>
      <c r="P75" s="2687"/>
      <c r="Q75" s="559"/>
    </row>
    <row r="76" spans="1:17" s="471" customFormat="1" ht="15.75" thickBot="1">
      <c r="A76" s="568"/>
      <c r="B76" s="569"/>
      <c r="C76" s="570"/>
      <c r="D76" s="570"/>
      <c r="E76" s="570"/>
      <c r="F76" s="570"/>
      <c r="G76" s="570"/>
      <c r="H76" s="571"/>
      <c r="I76" s="571"/>
      <c r="J76" s="571"/>
      <c r="K76" s="571"/>
      <c r="L76" s="571"/>
      <c r="M76" s="572"/>
      <c r="N76" s="1155"/>
      <c r="O76" s="1155"/>
      <c r="P76" s="2685"/>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3"/>
      <c r="O77" s="1153"/>
      <c r="P77" s="2688"/>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4"/>
      <c r="O78" s="1154"/>
      <c r="P78" s="2684"/>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3"/>
      <c r="O79" s="1153"/>
      <c r="P79" s="2684"/>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4"/>
      <c r="O80" s="1154"/>
      <c r="P80" s="2684"/>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3"/>
      <c r="O81" s="1153"/>
      <c r="P81" s="2684"/>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4"/>
      <c r="O82" s="1154"/>
      <c r="P82" s="2684"/>
      <c r="Q82" s="504"/>
    </row>
    <row r="83" spans="1:17" ht="15.75" thickTop="1">
      <c r="A83" s="534"/>
      <c r="B83" s="546" t="s">
        <v>2690</v>
      </c>
      <c r="C83" s="660" t="s">
        <v>2676</v>
      </c>
      <c r="D83" s="660" t="s">
        <v>2677</v>
      </c>
      <c r="E83" s="660" t="s">
        <v>2678</v>
      </c>
      <c r="F83" s="660" t="s">
        <v>2679</v>
      </c>
      <c r="G83" s="660" t="s">
        <v>2680</v>
      </c>
      <c r="H83" s="539"/>
      <c r="I83" s="539"/>
      <c r="J83" s="539"/>
      <c r="K83" s="539"/>
      <c r="L83" s="539"/>
      <c r="M83" s="1383"/>
      <c r="N83" s="1154"/>
      <c r="O83" s="1154"/>
      <c r="P83" s="2684"/>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4"/>
      <c r="O84" s="1154"/>
      <c r="P84" s="2684"/>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3"/>
      <c r="O85" s="1153"/>
      <c r="P85" s="2684"/>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4"/>
      <c r="O86" s="1154"/>
      <c r="P86" s="2684"/>
      <c r="Q86" s="504"/>
    </row>
    <row r="87" spans="1:17" s="117" customFormat="1" ht="27.75" thickTop="1">
      <c r="A87" s="579"/>
      <c r="B87" s="538" t="s">
        <v>2700</v>
      </c>
      <c r="C87" s="2983" t="s">
        <v>3173</v>
      </c>
      <c r="D87" s="2983" t="s">
        <v>3111</v>
      </c>
      <c r="E87" s="2983" t="s">
        <v>3174</v>
      </c>
      <c r="F87" s="2983" t="s">
        <v>3112</v>
      </c>
      <c r="G87" s="2983" t="s">
        <v>3176</v>
      </c>
      <c r="H87" s="554"/>
      <c r="I87" s="554"/>
      <c r="J87" s="554"/>
      <c r="K87" s="554"/>
      <c r="L87" s="580"/>
      <c r="M87" s="581"/>
      <c r="N87" s="1152"/>
      <c r="O87" s="1152"/>
      <c r="P87" s="2684"/>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4"/>
      <c r="O88" s="1154"/>
      <c r="P88" s="2684"/>
      <c r="Q88" s="504"/>
    </row>
    <row r="89" spans="1:17" s="117" customFormat="1" ht="15.75" thickTop="1">
      <c r="A89" s="579"/>
      <c r="B89" s="538" t="str">
        <f>B27</f>
        <v>楼层</v>
      </c>
      <c r="C89" s="2983" t="s">
        <v>3121</v>
      </c>
      <c r="D89" s="2983" t="s">
        <v>3109</v>
      </c>
      <c r="E89" s="2983" t="s">
        <v>3123</v>
      </c>
      <c r="F89" s="2636"/>
      <c r="G89" s="554"/>
      <c r="H89" s="554"/>
      <c r="I89" s="554"/>
      <c r="J89" s="554"/>
      <c r="K89" s="554"/>
      <c r="L89" s="554"/>
      <c r="M89" s="581"/>
      <c r="N89" s="1152"/>
      <c r="O89" s="1152"/>
      <c r="P89" s="2684"/>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4"/>
      <c r="O90" s="1154"/>
      <c r="P90" s="2684"/>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5"/>
      <c r="Q91" s="559"/>
    </row>
    <row r="92" spans="1:17" s="471" customFormat="1" ht="15.75" thickBot="1">
      <c r="A92" s="553"/>
      <c r="B92" s="543"/>
      <c r="C92" s="582">
        <v>100</v>
      </c>
      <c r="D92" s="544">
        <f t="shared" ref="D92:M92" si="21">C92-$K28</f>
        <v>98</v>
      </c>
      <c r="E92" s="544">
        <f t="shared" si="21"/>
        <v>96</v>
      </c>
      <c r="F92" s="544">
        <f t="shared" si="21"/>
        <v>94</v>
      </c>
      <c r="G92" s="544">
        <f t="shared" si="21"/>
        <v>92</v>
      </c>
      <c r="H92" s="544">
        <f t="shared" si="21"/>
        <v>90</v>
      </c>
      <c r="I92" s="544">
        <f t="shared" si="21"/>
        <v>88</v>
      </c>
      <c r="J92" s="544">
        <f t="shared" si="21"/>
        <v>86</v>
      </c>
      <c r="K92" s="544">
        <f t="shared" si="21"/>
        <v>84</v>
      </c>
      <c r="L92" s="544">
        <f t="shared" si="21"/>
        <v>82</v>
      </c>
      <c r="M92" s="544">
        <f t="shared" si="21"/>
        <v>80</v>
      </c>
      <c r="N92" s="1155"/>
      <c r="O92" s="1155"/>
      <c r="P92" s="2685"/>
      <c r="Q92" s="559"/>
    </row>
    <row r="93" spans="1:17" ht="15.75" thickTop="1">
      <c r="A93" s="534"/>
      <c r="B93" s="538">
        <f>B29</f>
        <v>111</v>
      </c>
      <c r="C93" s="554"/>
      <c r="D93" s="554"/>
      <c r="E93" s="554"/>
      <c r="F93" s="554"/>
      <c r="G93" s="554"/>
      <c r="H93" s="554"/>
      <c r="I93" s="554"/>
      <c r="J93" s="554"/>
      <c r="K93" s="554"/>
      <c r="L93" s="580"/>
      <c r="M93" s="581"/>
      <c r="N93" s="1153"/>
      <c r="O93" s="1153"/>
      <c r="P93" s="2684"/>
      <c r="Q93" s="504"/>
    </row>
    <row r="94" spans="1:17" ht="15.75" thickBot="1">
      <c r="A94" s="534"/>
      <c r="B94" s="543"/>
      <c r="C94" s="560"/>
      <c r="D94" s="536"/>
      <c r="E94" s="536"/>
      <c r="F94" s="536"/>
      <c r="G94" s="536"/>
      <c r="H94" s="536"/>
      <c r="I94" s="536"/>
      <c r="J94" s="536"/>
      <c r="K94" s="536"/>
      <c r="L94" s="536"/>
      <c r="M94" s="537"/>
      <c r="N94" s="1154"/>
      <c r="O94" s="1154"/>
      <c r="P94" s="2684"/>
      <c r="Q94" s="504"/>
    </row>
    <row r="95" spans="1:17" ht="15.75" thickTop="1">
      <c r="A95" s="534"/>
      <c r="B95" s="538">
        <f>B30</f>
        <v>111</v>
      </c>
      <c r="C95" s="554"/>
      <c r="D95" s="554"/>
      <c r="E95" s="554"/>
      <c r="F95" s="554"/>
      <c r="G95" s="583"/>
      <c r="H95" s="583"/>
      <c r="I95" s="583"/>
      <c r="J95" s="583"/>
      <c r="K95" s="584"/>
      <c r="L95" s="585"/>
      <c r="M95" s="586"/>
      <c r="N95" s="1153"/>
      <c r="O95" s="1153"/>
      <c r="P95" s="2684"/>
      <c r="Q95" s="504"/>
    </row>
    <row r="96" spans="1:17" ht="15.75" thickBot="1">
      <c r="A96" s="534"/>
      <c r="B96" s="543"/>
      <c r="C96" s="560"/>
      <c r="D96" s="560"/>
      <c r="E96" s="560"/>
      <c r="F96" s="560"/>
      <c r="G96" s="536"/>
      <c r="H96" s="536"/>
      <c r="I96" s="536"/>
      <c r="J96" s="536"/>
      <c r="K96" s="536"/>
      <c r="L96" s="536"/>
      <c r="M96" s="537"/>
      <c r="N96" s="1154"/>
      <c r="O96" s="1154"/>
      <c r="P96" s="2684"/>
      <c r="Q96" s="504"/>
    </row>
    <row r="97" spans="1:17" ht="15.75" thickTop="1">
      <c r="A97" s="534"/>
      <c r="B97" s="538">
        <f>B31</f>
        <v>111</v>
      </c>
      <c r="C97" s="554"/>
      <c r="D97" s="554"/>
      <c r="E97" s="554"/>
      <c r="F97" s="554"/>
      <c r="G97" s="583"/>
      <c r="H97" s="583"/>
      <c r="I97" s="583"/>
      <c r="J97" s="583"/>
      <c r="K97" s="584"/>
      <c r="L97" s="585"/>
      <c r="M97" s="586"/>
      <c r="N97" s="1153"/>
      <c r="O97" s="1153"/>
      <c r="P97" s="2684"/>
      <c r="Q97" s="504"/>
    </row>
    <row r="98" spans="1:17" ht="15.75" thickBot="1">
      <c r="A98" s="534"/>
      <c r="B98" s="543"/>
      <c r="C98" s="560"/>
      <c r="D98" s="536"/>
      <c r="E98" s="536"/>
      <c r="F98" s="536"/>
      <c r="G98" s="536"/>
      <c r="H98" s="536"/>
      <c r="I98" s="536"/>
      <c r="J98" s="536"/>
      <c r="K98" s="536"/>
      <c r="L98" s="536"/>
      <c r="M98" s="537"/>
      <c r="N98" s="1154"/>
      <c r="O98" s="1154"/>
      <c r="P98" s="2684"/>
      <c r="Q98" s="504"/>
    </row>
    <row r="99" spans="1:17" ht="15.75" thickTop="1">
      <c r="A99" s="534"/>
      <c r="B99" s="546">
        <f>B32</f>
        <v>111</v>
      </c>
      <c r="C99" s="523"/>
      <c r="D99" s="523"/>
      <c r="E99" s="523"/>
      <c r="F99" s="523"/>
      <c r="G99" s="587"/>
      <c r="H99" s="587"/>
      <c r="I99" s="587"/>
      <c r="J99" s="587"/>
      <c r="K99" s="588"/>
      <c r="L99" s="589"/>
      <c r="M99" s="590"/>
      <c r="N99" s="1153"/>
      <c r="O99" s="1153"/>
      <c r="P99" s="2684"/>
      <c r="Q99" s="504"/>
    </row>
    <row r="100" spans="1:17" ht="15.75" thickBot="1">
      <c r="A100" s="2637"/>
      <c r="B100" s="569"/>
      <c r="C100" s="570"/>
      <c r="D100" s="570"/>
      <c r="E100" s="570"/>
      <c r="F100" s="570"/>
      <c r="G100" s="591"/>
      <c r="H100" s="591"/>
      <c r="I100" s="591"/>
      <c r="J100" s="591"/>
      <c r="K100" s="591"/>
      <c r="L100" s="591"/>
      <c r="M100" s="592"/>
      <c r="N100" s="1154"/>
      <c r="O100" s="1154"/>
      <c r="P100" s="2684"/>
      <c r="Q100" s="504"/>
    </row>
    <row r="101" spans="1:17">
      <c r="A101" s="527" t="s">
        <v>2564</v>
      </c>
      <c r="B101" s="528" t="s">
        <v>2613</v>
      </c>
      <c r="C101" s="530"/>
      <c r="D101" s="530"/>
      <c r="E101" s="530"/>
      <c r="F101" s="530"/>
      <c r="G101" s="530"/>
      <c r="H101" s="530"/>
      <c r="I101" s="530"/>
      <c r="J101" s="530"/>
      <c r="K101" s="531"/>
      <c r="L101" s="532"/>
      <c r="M101" s="533"/>
      <c r="N101" s="1153"/>
      <c r="O101" s="1153"/>
      <c r="P101" s="2684"/>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4"/>
      <c r="O102" s="1154"/>
      <c r="P102" s="2684"/>
      <c r="Q102" s="504"/>
    </row>
    <row r="103" spans="1:17" ht="15.75" thickTop="1">
      <c r="A103" s="534"/>
      <c r="B103" s="538" t="s">
        <v>2614</v>
      </c>
      <c r="C103" s="578" t="str">
        <f>C104&amp;"(含)"&amp;"-"&amp;D104</f>
        <v>0(含)-100</v>
      </c>
      <c r="D103" s="578" t="str">
        <f t="shared" ref="D103:L103" si="23">D104&amp;"(含)"&amp;"-"&amp;E104</f>
        <v>100(含)-200</v>
      </c>
      <c r="E103" s="578" t="str">
        <f t="shared" si="23"/>
        <v>200(含)-300</v>
      </c>
      <c r="F103" s="578" t="str">
        <f t="shared" si="23"/>
        <v>300(含)-400</v>
      </c>
      <c r="G103" s="578" t="str">
        <f t="shared" si="23"/>
        <v>400(含)-500</v>
      </c>
      <c r="H103" s="578" t="str">
        <f t="shared" si="23"/>
        <v>500(含)-</v>
      </c>
      <c r="I103" s="578" t="str">
        <f t="shared" si="23"/>
        <v>(含)-</v>
      </c>
      <c r="J103" s="578" t="str">
        <f t="shared" si="23"/>
        <v>(含)-</v>
      </c>
      <c r="K103" s="578" t="str">
        <f t="shared" si="23"/>
        <v>(含)-</v>
      </c>
      <c r="L103" s="578" t="str">
        <f t="shared" si="23"/>
        <v>(含)-</v>
      </c>
      <c r="M103" s="622" t="str">
        <f>M104&amp;"(含)"&amp;"-"&amp;P104</f>
        <v>(含)-</v>
      </c>
      <c r="N103" s="1152"/>
      <c r="O103" s="1152"/>
      <c r="P103" s="2684"/>
      <c r="Q103" s="504"/>
    </row>
    <row r="104" spans="1:17" s="471" customFormat="1">
      <c r="A104" s="593"/>
      <c r="B104" s="594"/>
      <c r="C104" s="595">
        <v>0</v>
      </c>
      <c r="D104" s="595">
        <v>100</v>
      </c>
      <c r="E104" s="595">
        <v>200</v>
      </c>
      <c r="F104" s="595">
        <v>300</v>
      </c>
      <c r="G104" s="595">
        <v>400</v>
      </c>
      <c r="H104" s="595">
        <v>500</v>
      </c>
      <c r="I104" s="595"/>
      <c r="J104" s="596"/>
      <c r="K104" s="596"/>
      <c r="L104" s="597"/>
      <c r="M104" s="598"/>
      <c r="N104" s="1155"/>
      <c r="O104" s="1155"/>
      <c r="P104" s="2685"/>
      <c r="Q104" s="559"/>
    </row>
    <row r="105" spans="1:17" s="471" customFormat="1" ht="15.75" thickBot="1">
      <c r="A105" s="553"/>
      <c r="B105" s="543"/>
      <c r="C105" s="560">
        <v>96</v>
      </c>
      <c r="D105" s="536">
        <v>98</v>
      </c>
      <c r="E105" s="536">
        <v>100</v>
      </c>
      <c r="F105" s="536">
        <v>98</v>
      </c>
      <c r="G105" s="536">
        <v>96</v>
      </c>
      <c r="H105" s="536"/>
      <c r="I105" s="536"/>
      <c r="J105" s="536"/>
      <c r="K105" s="536"/>
      <c r="L105" s="536"/>
      <c r="M105" s="537"/>
      <c r="N105" s="1154"/>
      <c r="O105" s="1154"/>
      <c r="P105" s="2685"/>
      <c r="Q105" s="559"/>
    </row>
    <row r="106" spans="1:17" ht="15" thickTop="1">
      <c r="A106" s="599"/>
      <c r="B106" s="538" t="s">
        <v>2615</v>
      </c>
      <c r="C106" s="554"/>
      <c r="D106" s="554"/>
      <c r="E106" s="583"/>
      <c r="F106" s="583"/>
      <c r="G106" s="583"/>
      <c r="H106" s="583"/>
      <c r="I106" s="583"/>
      <c r="J106" s="583"/>
      <c r="K106" s="584"/>
      <c r="L106" s="585"/>
      <c r="M106" s="586"/>
      <c r="N106" s="1153"/>
      <c r="O106" s="1153"/>
      <c r="P106" s="2684"/>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4"/>
      <c r="O107" s="1154"/>
      <c r="P107" s="2684"/>
      <c r="Q107" s="504"/>
    </row>
    <row r="108" spans="1:17" ht="15" thickTop="1">
      <c r="A108" s="599"/>
      <c r="B108" s="538" t="s">
        <v>2617</v>
      </c>
      <c r="C108" s="554"/>
      <c r="D108" s="554"/>
      <c r="E108" s="554"/>
      <c r="F108" s="583"/>
      <c r="G108" s="583"/>
      <c r="H108" s="583"/>
      <c r="I108" s="583"/>
      <c r="J108" s="583"/>
      <c r="K108" s="584"/>
      <c r="L108" s="585"/>
      <c r="M108" s="586"/>
      <c r="N108" s="1153"/>
      <c r="O108" s="1153"/>
      <c r="P108" s="2684"/>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4"/>
      <c r="O109" s="1154"/>
      <c r="P109" s="2684"/>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4"/>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4"/>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4"/>
      <c r="O112" s="1154"/>
      <c r="P112" s="2684"/>
      <c r="Q112" s="504"/>
    </row>
    <row r="113" spans="1:17" s="471" customFormat="1" ht="15" thickTop="1">
      <c r="A113" s="593"/>
      <c r="B113" s="538" t="s">
        <v>2701</v>
      </c>
      <c r="C113" s="554"/>
      <c r="D113" s="554"/>
      <c r="E113" s="554"/>
      <c r="F113" s="554"/>
      <c r="G113" s="554"/>
      <c r="H113" s="583"/>
      <c r="I113" s="583"/>
      <c r="J113" s="583"/>
      <c r="K113" s="584"/>
      <c r="L113" s="585"/>
      <c r="M113" s="586"/>
      <c r="N113" s="1155"/>
      <c r="O113" s="1155"/>
      <c r="P113" s="2685"/>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5"/>
      <c r="O114" s="1155"/>
      <c r="P114" s="2685"/>
      <c r="Q114" s="559"/>
    </row>
    <row r="115" spans="1:17" ht="15" thickTop="1">
      <c r="A115" s="599"/>
      <c r="B115" s="538" t="s">
        <v>2618</v>
      </c>
      <c r="C115" s="554"/>
      <c r="D115" s="554"/>
      <c r="E115" s="583"/>
      <c r="F115" s="583"/>
      <c r="G115" s="583"/>
      <c r="H115" s="583"/>
      <c r="I115" s="583"/>
      <c r="J115" s="583"/>
      <c r="K115" s="584"/>
      <c r="L115" s="585"/>
      <c r="M115" s="586"/>
      <c r="N115" s="1153"/>
      <c r="O115" s="1153"/>
      <c r="P115" s="2684"/>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4"/>
      <c r="O116" s="1154"/>
      <c r="P116" s="2684"/>
      <c r="Q116" s="504"/>
    </row>
    <row r="117" spans="1:17" ht="15" thickTop="1">
      <c r="A117" s="599"/>
      <c r="B117" s="538" t="s">
        <v>2619</v>
      </c>
      <c r="C117" s="2983" t="s">
        <v>3108</v>
      </c>
      <c r="D117" s="2983" t="s">
        <v>3178</v>
      </c>
      <c r="E117" s="2983" t="s">
        <v>3119</v>
      </c>
      <c r="F117" s="554"/>
      <c r="G117" s="554"/>
      <c r="H117" s="583"/>
      <c r="I117" s="583"/>
      <c r="J117" s="583"/>
      <c r="K117" s="584"/>
      <c r="L117" s="585"/>
      <c r="M117" s="586"/>
      <c r="N117" s="1153"/>
      <c r="O117" s="1153"/>
      <c r="P117" s="2684"/>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4"/>
      <c r="O118" s="1154"/>
      <c r="P118" s="2684"/>
      <c r="Q118" s="504"/>
    </row>
    <row r="119" spans="1:17" ht="15" thickTop="1">
      <c r="A119" s="599"/>
      <c r="B119" s="636" t="s">
        <v>2702</v>
      </c>
      <c r="C119" s="583"/>
      <c r="D119" s="583"/>
      <c r="E119" s="583"/>
      <c r="F119" s="583"/>
      <c r="G119" s="583"/>
      <c r="H119" s="583"/>
      <c r="I119" s="583"/>
      <c r="J119" s="583"/>
      <c r="K119" s="583"/>
      <c r="L119" s="2689"/>
      <c r="M119" s="2690"/>
      <c r="N119" s="1154"/>
      <c r="O119" s="1154"/>
      <c r="P119" s="2691"/>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4"/>
      <c r="O120" s="1154"/>
      <c r="P120" s="2684"/>
      <c r="Q120" s="504"/>
    </row>
    <row r="121" spans="1:17" s="471" customFormat="1" ht="15" thickTop="1">
      <c r="A121" s="593"/>
      <c r="B121" s="538" t="s">
        <v>2685</v>
      </c>
      <c r="C121" s="554"/>
      <c r="D121" s="554"/>
      <c r="E121" s="554"/>
      <c r="F121" s="583"/>
      <c r="G121" s="555"/>
      <c r="H121" s="555"/>
      <c r="I121" s="555"/>
      <c r="J121" s="555"/>
      <c r="K121" s="555"/>
      <c r="L121" s="556"/>
      <c r="M121" s="557"/>
      <c r="N121" s="1155"/>
      <c r="O121" s="1155"/>
      <c r="P121" s="2685"/>
      <c r="Q121" s="559"/>
    </row>
    <row r="122" spans="1:17" s="471" customFormat="1" ht="15.75" thickBot="1">
      <c r="A122" s="553"/>
      <c r="B122" s="535"/>
      <c r="C122" s="560"/>
      <c r="D122" s="560"/>
      <c r="E122" s="560"/>
      <c r="F122" s="560"/>
      <c r="G122" s="560"/>
      <c r="H122" s="560"/>
      <c r="I122" s="560"/>
      <c r="J122" s="560"/>
      <c r="K122" s="560"/>
      <c r="L122" s="560"/>
      <c r="M122" s="560"/>
      <c r="N122" s="1155"/>
      <c r="O122" s="1155"/>
      <c r="P122" s="2685"/>
      <c r="Q122" s="559"/>
    </row>
    <row r="123" spans="1:17" ht="15" thickTop="1">
      <c r="A123" s="599"/>
      <c r="B123" s="538" t="s">
        <v>2621</v>
      </c>
      <c r="C123" s="2983" t="s">
        <v>3115</v>
      </c>
      <c r="D123" s="2983" t="s">
        <v>3166</v>
      </c>
      <c r="E123" s="2983" t="s">
        <v>3170</v>
      </c>
      <c r="F123" s="2994" t="s">
        <v>3165</v>
      </c>
      <c r="G123" s="583"/>
      <c r="H123" s="583"/>
      <c r="I123" s="583"/>
      <c r="J123" s="583"/>
      <c r="K123" s="584"/>
      <c r="L123" s="585"/>
      <c r="M123" s="586"/>
      <c r="N123" s="1153"/>
      <c r="O123" s="1153"/>
      <c r="P123" s="2684"/>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4"/>
      <c r="O124" s="1154"/>
      <c r="P124" s="2684"/>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3"/>
      <c r="O125" s="1153"/>
      <c r="P125" s="2685"/>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4"/>
      <c r="O126" s="1154"/>
      <c r="P126" s="2684"/>
      <c r="Q126" s="504"/>
    </row>
    <row r="127" spans="1:17" s="471" customFormat="1" ht="15" thickTop="1">
      <c r="A127" s="593"/>
      <c r="B127" s="538" t="str">
        <f>B45</f>
        <v>现状用途</v>
      </c>
      <c r="C127" s="2983" t="s">
        <v>3315</v>
      </c>
      <c r="D127" s="2983" t="s">
        <v>3314</v>
      </c>
      <c r="E127" s="554"/>
      <c r="F127" s="554"/>
      <c r="G127" s="554"/>
      <c r="H127" s="555"/>
      <c r="I127" s="555"/>
      <c r="J127" s="555"/>
      <c r="K127" s="555"/>
      <c r="L127" s="556"/>
      <c r="M127" s="557"/>
      <c r="N127" s="1155"/>
      <c r="O127" s="1155"/>
      <c r="P127" s="2685"/>
      <c r="Q127" s="559"/>
    </row>
    <row r="128" spans="1:17" s="471" customFormat="1" ht="15.75" thickBot="1">
      <c r="A128" s="553"/>
      <c r="B128" s="543"/>
      <c r="C128" s="560">
        <v>105</v>
      </c>
      <c r="D128" s="536">
        <v>100</v>
      </c>
      <c r="E128" s="536"/>
      <c r="F128" s="536"/>
      <c r="G128" s="560"/>
      <c r="H128" s="562"/>
      <c r="I128" s="562"/>
      <c r="J128" s="562"/>
      <c r="K128" s="562"/>
      <c r="L128" s="562"/>
      <c r="M128" s="563"/>
      <c r="N128" s="1155"/>
      <c r="O128" s="1155"/>
      <c r="P128" s="2685"/>
      <c r="Q128" s="559"/>
    </row>
    <row r="129" spans="1:17" ht="15" thickTop="1">
      <c r="A129" s="599"/>
      <c r="B129" s="538">
        <f>B46</f>
        <v>111</v>
      </c>
      <c r="C129" s="554"/>
      <c r="D129" s="554"/>
      <c r="E129" s="554"/>
      <c r="F129" s="554"/>
      <c r="G129" s="583"/>
      <c r="H129" s="583"/>
      <c r="I129" s="583"/>
      <c r="J129" s="583"/>
      <c r="K129" s="584"/>
      <c r="L129" s="585"/>
      <c r="M129" s="586"/>
      <c r="N129" s="1153"/>
      <c r="O129" s="1153"/>
      <c r="P129" s="2684"/>
      <c r="Q129" s="504"/>
    </row>
    <row r="130" spans="1:17" ht="15.75" thickBot="1">
      <c r="A130" s="534"/>
      <c r="B130" s="543"/>
      <c r="C130" s="560"/>
      <c r="D130" s="560"/>
      <c r="E130" s="560"/>
      <c r="F130" s="560"/>
      <c r="G130" s="536"/>
      <c r="H130" s="536"/>
      <c r="I130" s="536"/>
      <c r="J130" s="536"/>
      <c r="K130" s="536"/>
      <c r="L130" s="536"/>
      <c r="M130" s="537"/>
      <c r="N130" s="1154"/>
      <c r="O130" s="1154"/>
      <c r="P130" s="2684"/>
      <c r="Q130" s="504"/>
    </row>
    <row r="131" spans="1:17" ht="15" thickTop="1">
      <c r="A131" s="599"/>
      <c r="B131" s="546">
        <f>B47</f>
        <v>0.95</v>
      </c>
      <c r="C131" s="523"/>
      <c r="D131" s="523"/>
      <c r="E131" s="523"/>
      <c r="F131" s="523"/>
      <c r="G131" s="587"/>
      <c r="H131" s="587"/>
      <c r="I131" s="587"/>
      <c r="J131" s="587"/>
      <c r="K131" s="523"/>
      <c r="L131" s="524"/>
      <c r="M131" s="590"/>
      <c r="N131" s="1153"/>
      <c r="O131" s="1153"/>
      <c r="P131" s="2684"/>
      <c r="Q131" s="504"/>
    </row>
    <row r="132" spans="1:17" ht="15.75" thickBot="1">
      <c r="A132" s="2637"/>
      <c r="B132" s="569"/>
      <c r="C132" s="570"/>
      <c r="D132" s="570"/>
      <c r="E132" s="570"/>
      <c r="F132" s="570"/>
      <c r="G132" s="591"/>
      <c r="H132" s="591"/>
      <c r="I132" s="591"/>
      <c r="J132" s="591"/>
      <c r="K132" s="591"/>
      <c r="L132" s="591"/>
      <c r="M132" s="592"/>
      <c r="N132" s="1154"/>
      <c r="O132" s="1154"/>
      <c r="P132" s="2684"/>
      <c r="Q132"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20" priority="16" stopIfTrue="1" operator="containsText" text="超过">
      <formula>NOT(ISERROR(SEARCH("超过",F53)))</formula>
    </cfRule>
  </conditionalFormatting>
  <conditionalFormatting sqref="H55">
    <cfRule type="containsText" dxfId="19" priority="15" stopIfTrue="1" operator="containsText" text="超过">
      <formula>NOT(ISERROR(SEARCH("超过",H55)))</formula>
    </cfRule>
  </conditionalFormatting>
  <conditionalFormatting sqref="F55">
    <cfRule type="containsText" dxfId="18" priority="14" stopIfTrue="1" operator="containsText" text="超过">
      <formula>NOT(ISERROR(SEARCH("超过",F55)))</formula>
    </cfRule>
  </conditionalFormatting>
  <conditionalFormatting sqref="F54 H54">
    <cfRule type="containsText" dxfId="17" priority="13" stopIfTrue="1" operator="containsText" text="超过">
      <formula>NOT(ISERROR(SEARCH("超过",F54)))</formula>
    </cfRule>
  </conditionalFormatting>
  <conditionalFormatting sqref="E53">
    <cfRule type="expression" dxfId="16" priority="12" stopIfTrue="1">
      <formula>$F$53="超过30%"</formula>
    </cfRule>
  </conditionalFormatting>
  <conditionalFormatting sqref="E54">
    <cfRule type="expression" dxfId="15" priority="11" stopIfTrue="1">
      <formula>$F$54="超过20%"</formula>
    </cfRule>
  </conditionalFormatting>
  <conditionalFormatting sqref="E55">
    <cfRule type="expression" dxfId="14" priority="10" stopIfTrue="1">
      <formula>$F$55="超过30%"</formula>
    </cfRule>
  </conditionalFormatting>
  <conditionalFormatting sqref="G55">
    <cfRule type="expression" dxfId="13" priority="9" stopIfTrue="1">
      <formula>$H$55="超过30%"</formula>
    </cfRule>
  </conditionalFormatting>
  <conditionalFormatting sqref="G53">
    <cfRule type="expression" dxfId="12" priority="8" stopIfTrue="1">
      <formula>$H$53="超过30%"</formula>
    </cfRule>
  </conditionalFormatting>
  <conditionalFormatting sqref="G54">
    <cfRule type="expression" dxfId="11" priority="7" stopIfTrue="1">
      <formula>$H$54="超过20%"</formula>
    </cfRule>
  </conditionalFormatting>
  <conditionalFormatting sqref="J53">
    <cfRule type="containsText" dxfId="10" priority="6" stopIfTrue="1" operator="containsText" text="超过">
      <formula>NOT(ISERROR(SEARCH("超过",J53)))</formula>
    </cfRule>
  </conditionalFormatting>
  <conditionalFormatting sqref="J55">
    <cfRule type="containsText" dxfId="9" priority="5" stopIfTrue="1" operator="containsText" text="超过">
      <formula>NOT(ISERROR(SEARCH("超过",J55)))</formula>
    </cfRule>
  </conditionalFormatting>
  <conditionalFormatting sqref="J54">
    <cfRule type="containsText" dxfId="8" priority="4" stopIfTrue="1" operator="containsText" text="超过">
      <formula>NOT(ISERROR(SEARCH("超过",J54)))</formula>
    </cfRule>
  </conditionalFormatting>
  <conditionalFormatting sqref="I53">
    <cfRule type="expression" dxfId="7" priority="3" stopIfTrue="1">
      <formula>$J$53="超过30%"</formula>
    </cfRule>
  </conditionalFormatting>
  <conditionalFormatting sqref="I54">
    <cfRule type="expression" dxfId="6" priority="2" stopIfTrue="1">
      <formula>$J$53+$J$54="超过20%"</formula>
    </cfRule>
  </conditionalFormatting>
  <conditionalFormatting sqref="I55">
    <cfRule type="expression" dxfId="5"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49" sqref="J4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0"/>
      <c r="C1" s="1835" t="s">
        <v>3307</v>
      </c>
      <c r="D1" s="1818" t="s">
        <v>70</v>
      </c>
      <c r="E1" s="1819" t="s">
        <v>1383</v>
      </c>
      <c r="F1" s="1284">
        <f ca="1">J53</f>
        <v>44.68</v>
      </c>
      <c r="G1" s="1834">
        <f>MATCH(C1,'数据-取费表'!A6:A16,0)+5</f>
        <v>8</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1511</v>
      </c>
      <c r="B2" s="1842">
        <f ca="1">C40+J29+L46</f>
        <v>34018</v>
      </c>
      <c r="C2" s="1843" t="s">
        <v>1512</v>
      </c>
      <c r="D2" s="1843"/>
      <c r="E2" s="1844"/>
      <c r="F2" s="1845"/>
      <c r="G2" s="1846"/>
      <c r="H2" s="1838"/>
      <c r="I2" s="1838"/>
      <c r="J2" s="1838"/>
      <c r="K2" s="1839"/>
      <c r="L2" s="1838"/>
      <c r="M2" s="1838"/>
    </row>
    <row r="3" spans="1:37" ht="18" customHeight="1" thickBot="1">
      <c r="A3" s="1847" t="s">
        <v>1513</v>
      </c>
      <c r="B3" s="1848">
        <f ca="1">IF(ISERROR(B2*10000/F43),0,ROUND(B2*10000/F43,0))</f>
        <v>20991</v>
      </c>
      <c r="C3" s="1843" t="s">
        <v>1514</v>
      </c>
      <c r="D3" s="1843"/>
      <c r="E3" s="1844"/>
      <c r="F3" s="1845"/>
      <c r="G3" s="1846"/>
      <c r="H3" s="742"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3">
        <f ca="1">C6+C10+C12</f>
        <v>1599</v>
      </c>
      <c r="D5" s="1820" t="s">
        <v>1398</v>
      </c>
      <c r="E5" s="1294"/>
      <c r="F5" s="1295"/>
      <c r="G5" s="1849"/>
      <c r="H5" s="344">
        <v>1</v>
      </c>
      <c r="I5" s="345" t="s">
        <v>1397</v>
      </c>
      <c r="J5" s="1293">
        <f ca="1">J6+J10+J12</f>
        <v>0</v>
      </c>
      <c r="K5" s="1820" t="s">
        <v>1398</v>
      </c>
      <c r="L5" s="1294"/>
      <c r="M5" s="1295"/>
    </row>
    <row r="6" spans="1:37" ht="18" customHeight="1">
      <c r="A6" s="1292" t="s">
        <v>1032</v>
      </c>
      <c r="B6" s="3275" t="s">
        <v>1399</v>
      </c>
      <c r="C6" s="1297">
        <f ca="1">ROUND(F6*F8*F7*(1-F9)/10000,0)</f>
        <v>1597</v>
      </c>
      <c r="D6" s="164" t="s">
        <v>3030</v>
      </c>
      <c r="E6" s="347" t="s">
        <v>1401</v>
      </c>
      <c r="F6" s="348">
        <f ca="1">INDIRECT("'数据-取费表'!u"&amp;$G$1)</f>
        <v>3</v>
      </c>
      <c r="G6" s="1849"/>
      <c r="H6" s="1292" t="s">
        <v>1032</v>
      </c>
      <c r="I6" s="3275" t="s">
        <v>1399</v>
      </c>
      <c r="J6" s="346">
        <f ca="1">ROUND(M6*M8*M7*(1-M9)/10000,0)</f>
        <v>0</v>
      </c>
      <c r="K6" s="164" t="s">
        <v>3029</v>
      </c>
      <c r="L6" s="347" t="s">
        <v>1401</v>
      </c>
      <c r="M6" s="348">
        <f ca="1">INDIRECT("'数据-取费表'!z"&amp;$G$1)</f>
        <v>0</v>
      </c>
    </row>
    <row r="7" spans="1:37" ht="18" customHeight="1">
      <c r="A7" s="1296"/>
      <c r="B7" s="3276"/>
      <c r="C7" s="1298"/>
      <c r="D7" s="352"/>
      <c r="E7" s="3012" t="s">
        <v>1402</v>
      </c>
      <c r="F7" s="348">
        <f ca="1">IF(INDIRECT("'数据-取费表'!ah"&amp;$G$1)="",INDIRECT("'数据-取费表'!k"&amp;$G$1),INDIRECT("'数据-取费表'!ah"&amp;$G$1))</f>
        <v>16206.23</v>
      </c>
      <c r="G7" s="1849"/>
      <c r="H7" s="349"/>
      <c r="I7" s="3276"/>
      <c r="J7" s="351"/>
      <c r="K7" s="352"/>
      <c r="L7" s="347" t="s">
        <v>1402</v>
      </c>
      <c r="M7" s="348">
        <f ca="1">F7</f>
        <v>16206.23</v>
      </c>
    </row>
    <row r="8" spans="1:37" ht="18" customHeight="1">
      <c r="A8" s="349"/>
      <c r="B8" s="3276"/>
      <c r="C8" s="351"/>
      <c r="D8" s="352"/>
      <c r="E8" s="347" t="s">
        <v>1403</v>
      </c>
      <c r="F8" s="348">
        <f ca="1">INDIRECT("'数据-取费表'!ai"&amp;$G$1)</f>
        <v>365</v>
      </c>
      <c r="G8" s="1849"/>
      <c r="H8" s="349"/>
      <c r="I8" s="3276"/>
      <c r="J8" s="351"/>
      <c r="K8" s="352"/>
      <c r="L8" s="347" t="s">
        <v>1403</v>
      </c>
      <c r="M8" s="348">
        <f ca="1">INDIRECT("'数据-取费表'!ai"&amp;$G$1)</f>
        <v>365</v>
      </c>
    </row>
    <row r="9" spans="1:37" ht="18" customHeight="1">
      <c r="A9" s="349"/>
      <c r="B9" s="3277"/>
      <c r="C9" s="351"/>
      <c r="D9" s="352"/>
      <c r="E9" s="347" t="s">
        <v>1404</v>
      </c>
      <c r="F9" s="357">
        <f ca="1">INDIRECT("'数据-取费表'!w"&amp;$G$1)</f>
        <v>0.1</v>
      </c>
      <c r="G9" s="1849"/>
      <c r="H9" s="349"/>
      <c r="I9" s="3277"/>
      <c r="J9" s="351"/>
      <c r="K9" s="352"/>
      <c r="L9" s="358" t="s">
        <v>1404</v>
      </c>
      <c r="M9" s="359">
        <f ca="1">INDIRECT("'数据-取费表'!ab"&amp;$G$1)</f>
        <v>0</v>
      </c>
    </row>
    <row r="10" spans="1:37" ht="18" customHeight="1">
      <c r="A10" s="1292" t="s">
        <v>1036</v>
      </c>
      <c r="B10" s="1821" t="s">
        <v>1405</v>
      </c>
      <c r="C10" s="361">
        <f ca="1">ROUND(IF(F10="押一",C6/12*F11,IF(F10="押二",C6/12*2*F11,IF(F10="押三",C6/12*3*F11,C11*F11))),0)</f>
        <v>2</v>
      </c>
      <c r="D10" s="1822" t="s">
        <v>3038</v>
      </c>
      <c r="E10" s="358" t="s">
        <v>1406</v>
      </c>
      <c r="F10" s="1367" t="s">
        <v>3073</v>
      </c>
      <c r="G10" s="1849"/>
      <c r="H10" s="1292" t="s">
        <v>1036</v>
      </c>
      <c r="I10" s="1821" t="s">
        <v>1405</v>
      </c>
      <c r="J10" s="346">
        <f ca="1">ROUND(IF(M10="押一",J6/12*M11,IF(M10="押二",J6/12*2*M11,IF(M10="押三",J6/12*3*M11,J11*M11))),0)</f>
        <v>0</v>
      </c>
      <c r="K10" s="1822" t="s">
        <v>3038</v>
      </c>
      <c r="L10" s="358" t="s">
        <v>1406</v>
      </c>
      <c r="M10" s="1367" t="s">
        <v>1407</v>
      </c>
    </row>
    <row r="11" spans="1:37" ht="18" customHeight="1">
      <c r="A11" s="353"/>
      <c r="B11" s="1823" t="s">
        <v>1384</v>
      </c>
      <c r="C11" s="1179"/>
      <c r="D11" s="1824"/>
      <c r="E11" s="358" t="s">
        <v>1408</v>
      </c>
      <c r="F11" s="359">
        <f ca="1">'数据-取费表'!B39</f>
        <v>1.4999999999999999E-2</v>
      </c>
      <c r="G11" s="1849"/>
      <c r="H11" s="1300"/>
      <c r="I11" s="1823" t="s">
        <v>1384</v>
      </c>
      <c r="J11" s="1179"/>
      <c r="K11" s="746"/>
      <c r="L11" s="358" t="s">
        <v>1408</v>
      </c>
      <c r="M11" s="1057">
        <f ca="1">'数据-取费表'!B39</f>
        <v>1.4999999999999999E-2</v>
      </c>
    </row>
    <row r="12" spans="1:37" ht="18" customHeight="1" thickBot="1">
      <c r="A12" s="1334" t="s">
        <v>1072</v>
      </c>
      <c r="B12" s="1825" t="s">
        <v>1409</v>
      </c>
      <c r="C12" s="1335"/>
      <c r="D12" s="1336"/>
      <c r="E12" s="1341"/>
      <c r="F12" s="1337"/>
      <c r="G12" s="1849"/>
      <c r="H12" s="1334" t="s">
        <v>1072</v>
      </c>
      <c r="I12" s="1825" t="s">
        <v>1409</v>
      </c>
      <c r="J12" s="1335"/>
      <c r="K12" s="1349"/>
      <c r="L12" s="1341"/>
      <c r="M12" s="1350"/>
    </row>
    <row r="13" spans="1:37" ht="18" customHeight="1" thickTop="1">
      <c r="A13" s="1330">
        <v>2</v>
      </c>
      <c r="B13" s="1331" t="s">
        <v>1410</v>
      </c>
      <c r="C13" s="355">
        <f ca="1">ROUND(C29*F13,0)</f>
        <v>6987</v>
      </c>
      <c r="D13" s="1332" t="s">
        <v>1411</v>
      </c>
      <c r="E13" s="1332" t="s">
        <v>1412</v>
      </c>
      <c r="F13" s="1333">
        <f ca="1">INDIRECT("'数据-取费表'!y"&amp;$G$1)</f>
        <v>1</v>
      </c>
      <c r="G13" s="1849"/>
      <c r="H13" s="1330">
        <v>2</v>
      </c>
      <c r="I13" s="1331" t="s">
        <v>1410</v>
      </c>
      <c r="J13" s="1291">
        <f ca="1">ROUND(J14*J15,0)</f>
        <v>0</v>
      </c>
      <c r="K13" s="1338" t="s">
        <v>1411</v>
      </c>
      <c r="L13" s="1850"/>
      <c r="M13" s="1851"/>
    </row>
    <row r="14" spans="1:37" ht="18" customHeight="1">
      <c r="A14" s="1202" t="s">
        <v>1031</v>
      </c>
      <c r="B14" s="347" t="s">
        <v>1413</v>
      </c>
      <c r="C14" s="363">
        <f ca="1">INDIRECT("'数据-取费表'!m"&amp;$G$1)+INDIRECT("'数据-取费表'!t"&amp;$G$1)</f>
        <v>4538</v>
      </c>
      <c r="D14" s="3021" t="s">
        <v>1414</v>
      </c>
      <c r="E14" s="3020"/>
      <c r="F14" s="364"/>
      <c r="G14" s="1849"/>
      <c r="H14" s="1202" t="s">
        <v>1032</v>
      </c>
      <c r="I14" s="347" t="s">
        <v>1415</v>
      </c>
      <c r="J14" s="24">
        <f ca="1">C29</f>
        <v>6987</v>
      </c>
      <c r="K14" s="3011"/>
      <c r="L14" s="980"/>
      <c r="M14" s="981"/>
    </row>
    <row r="15" spans="1:37" s="1856" customFormat="1" ht="18" customHeight="1" thickBot="1">
      <c r="A15" s="1202" t="s">
        <v>1033</v>
      </c>
      <c r="B15" s="347" t="s">
        <v>1416</v>
      </c>
      <c r="C15" s="24">
        <f ca="1">ROUND(C14*F15,0)</f>
        <v>136</v>
      </c>
      <c r="D15" s="365" t="s">
        <v>1417</v>
      </c>
      <c r="E15" s="365" t="s">
        <v>1418</v>
      </c>
      <c r="F15" s="366">
        <f>'数据-取费表'!B33</f>
        <v>0.03</v>
      </c>
      <c r="G15" s="1852"/>
      <c r="H15" s="1340" t="s">
        <v>1036</v>
      </c>
      <c r="I15" s="1341" t="s">
        <v>1412</v>
      </c>
      <c r="J15" s="1350">
        <f ca="1">INDIRECT("'数据-取费表'!ad"&amp;$G$1)</f>
        <v>0</v>
      </c>
      <c r="K15" s="1351"/>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1385</v>
      </c>
      <c r="B16" s="347" t="s">
        <v>1419</v>
      </c>
      <c r="C16" s="24">
        <f ca="1">ROUND(INDIRECT("'数据-取费表'!m"&amp;$G$1)*F16,0)</f>
        <v>0</v>
      </c>
      <c r="D16" s="347" t="s">
        <v>1417</v>
      </c>
      <c r="E16" s="347" t="s">
        <v>1418</v>
      </c>
      <c r="F16" s="367">
        <f ca="1">IF(INDIRECT("'数据-取费表'!c"&amp;$G$1)="住宅",'数据-取费表'!B34,0)</f>
        <v>0</v>
      </c>
      <c r="G16" s="1849"/>
      <c r="H16" s="1330" t="s">
        <v>1027</v>
      </c>
      <c r="I16" s="1331" t="s">
        <v>1420</v>
      </c>
      <c r="J16" s="355">
        <f ca="1">ROUND(J17+J22+J23+J24,0)</f>
        <v>165</v>
      </c>
      <c r="K16" s="1338" t="s">
        <v>1421</v>
      </c>
      <c r="L16" s="3025"/>
      <c r="M16" s="1295"/>
    </row>
    <row r="17" spans="1:37" s="1856" customFormat="1" ht="18" customHeight="1">
      <c r="A17" s="1202" t="s">
        <v>1386</v>
      </c>
      <c r="B17" s="347" t="s">
        <v>1422</v>
      </c>
      <c r="C17" s="24">
        <f ca="1">ROUND(F17*(F43+INDIRECT("'数据-取费表'!S"&amp;$G$1))/10000,0)</f>
        <v>324</v>
      </c>
      <c r="D17" s="347" t="s">
        <v>1423</v>
      </c>
      <c r="E17" s="347" t="s">
        <v>1424</v>
      </c>
      <c r="F17" s="26">
        <f>'数据-取费表'!B35</f>
        <v>200</v>
      </c>
      <c r="G17" s="1852"/>
      <c r="H17" s="1202" t="s">
        <v>1032</v>
      </c>
      <c r="I17" s="347" t="s">
        <v>1425</v>
      </c>
      <c r="J17" s="24">
        <f ca="1">ROUND(IF(项目基本情况!B11="自然人",J5*M17,J18+J19+J20),1)</f>
        <v>60.3</v>
      </c>
      <c r="K17" s="3021" t="s">
        <v>1426</v>
      </c>
      <c r="L17" s="3024"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1387</v>
      </c>
      <c r="B18" s="347" t="s">
        <v>1428</v>
      </c>
      <c r="C18" s="24">
        <f ca="1">ROUND(C14*F18,0)</f>
        <v>68</v>
      </c>
      <c r="D18" s="347" t="s">
        <v>1417</v>
      </c>
      <c r="E18" s="347" t="s">
        <v>1418</v>
      </c>
      <c r="F18" s="367">
        <f>'数据-取费表'!B36</f>
        <v>1.4999999999999999E-2</v>
      </c>
      <c r="G18" s="1852"/>
      <c r="H18" s="1202" t="s">
        <v>1031</v>
      </c>
      <c r="I18" s="347" t="s">
        <v>1429</v>
      </c>
      <c r="J18" s="24">
        <f ca="1">ROUND(J5*M18/(1+'数据-取费表'!C42),2)</f>
        <v>0</v>
      </c>
      <c r="K18" s="3024"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1032</v>
      </c>
      <c r="B19" s="347" t="s">
        <v>1431</v>
      </c>
      <c r="C19" s="24">
        <f ca="1">SUM(C14:C18)</f>
        <v>5066</v>
      </c>
      <c r="D19" s="140" t="s">
        <v>1432</v>
      </c>
      <c r="E19" s="3009"/>
      <c r="F19" s="26"/>
      <c r="G19" s="1849"/>
      <c r="H19" s="1202" t="s">
        <v>1033</v>
      </c>
      <c r="I19" s="347" t="s">
        <v>1433</v>
      </c>
      <c r="J19" s="24">
        <f ca="1">IF(K19="按租金收入计税",ROUND(J5*M19,2),ROUND(C29*M19*0.7,2))</f>
        <v>58.69</v>
      </c>
      <c r="K19" s="1826" t="s">
        <v>1434</v>
      </c>
      <c r="L19" s="347" t="s">
        <v>1418</v>
      </c>
      <c r="M19" s="367">
        <f>IF(K19="按租金收入计税",'数据-取费表'!B51,'数据-取费表'!B50)</f>
        <v>1.2E-2</v>
      </c>
    </row>
    <row r="20" spans="1:37" s="1856" customFormat="1" ht="18" customHeight="1">
      <c r="A20" s="1202" t="s">
        <v>1036</v>
      </c>
      <c r="B20" s="347" t="s">
        <v>1435</v>
      </c>
      <c r="C20" s="24">
        <f ca="1">ROUND(C19*F20,0)</f>
        <v>101</v>
      </c>
      <c r="D20" s="369" t="s">
        <v>1436</v>
      </c>
      <c r="E20" s="347" t="s">
        <v>1418</v>
      </c>
      <c r="F20" s="367">
        <f>'数据-取费表'!B37</f>
        <v>0.02</v>
      </c>
      <c r="G20" s="1852"/>
      <c r="H20" s="1202" t="s">
        <v>1385</v>
      </c>
      <c r="I20" s="164" t="s">
        <v>1437</v>
      </c>
      <c r="J20" s="25">
        <f ca="1">ROUND(M20*M21/10000,2)</f>
        <v>1.58</v>
      </c>
      <c r="K20" s="370" t="s">
        <v>1438</v>
      </c>
      <c r="L20" s="347" t="s">
        <v>1439</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1072</v>
      </c>
      <c r="B21" s="347" t="s">
        <v>1440</v>
      </c>
      <c r="C21" s="24" t="s">
        <v>18</v>
      </c>
      <c r="D21" s="369" t="s">
        <v>1441</v>
      </c>
      <c r="E21" s="347" t="s">
        <v>1442</v>
      </c>
      <c r="F21" s="367">
        <f>'数据-取费表'!B38</f>
        <v>0.02</v>
      </c>
      <c r="G21" s="1852"/>
      <c r="H21" s="372"/>
      <c r="I21" s="356"/>
      <c r="J21" s="29"/>
      <c r="K21" s="373"/>
      <c r="L21" s="347" t="s">
        <v>1443</v>
      </c>
      <c r="M21" s="348">
        <f ca="1">INDIRECT("'数据-取费表'!r"&amp;$G$1)</f>
        <v>5264.7</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1388</v>
      </c>
      <c r="B22" s="347" t="s">
        <v>1444</v>
      </c>
      <c r="C22" s="24"/>
      <c r="D22" s="140" t="str">
        <f>IF(F23&lt;=1,"单利计息。","复利计息。")&amp;"建造成本、管理费用、销售费用产生的利息。"</f>
        <v>复利计息。建造成本、管理费用、销售费用产生的利息。</v>
      </c>
      <c r="E22" s="3009"/>
      <c r="F22" s="26"/>
      <c r="G22" s="1849"/>
      <c r="H22" s="1202" t="s">
        <v>1036</v>
      </c>
      <c r="I22" s="347" t="s">
        <v>1445</v>
      </c>
      <c r="J22" s="24">
        <f ca="1">ROUND(J14*M22,1)</f>
        <v>104.8</v>
      </c>
      <c r="K22" s="3024" t="s">
        <v>1446</v>
      </c>
      <c r="L22" s="347" t="s">
        <v>1418</v>
      </c>
      <c r="M22" s="374">
        <f ca="1">INDIRECT("'数据-取费表'!Ak"&amp;$G$1)</f>
        <v>1.4999999999999999E-2</v>
      </c>
    </row>
    <row r="23" spans="1:37" s="1856" customFormat="1" ht="18" customHeight="1">
      <c r="A23" s="1202" t="s">
        <v>1031</v>
      </c>
      <c r="B23" s="347" t="s">
        <v>1447</v>
      </c>
      <c r="C23" s="24">
        <f ca="1">IF('数据-取费表'!B22&lt;=1,ROUND(C19*F24*F23/2,0)+ROUND(C20*F24*F23/2,0),ROUND(C19*(POWER((1+F24),F23/2)-1),0)+ROUND(C20*(POWER((1+F24),F23/2)-1),0))</f>
        <v>246</v>
      </c>
      <c r="D23" s="375" t="str">
        <f>IF(F23&lt;=1,"(建造成本+管理费用)×利率×(建设周期÷2)","(建造成本+管理费用)×((1+利率)^(建设周期÷2)-1)")</f>
        <v>(建造成本+管理费用)×((1+利率)^(建设周期÷2)-1)</v>
      </c>
      <c r="E23" s="347" t="s">
        <v>1448</v>
      </c>
      <c r="F23" s="371">
        <f>'数据-取费表'!B20</f>
        <v>2</v>
      </c>
      <c r="G23" s="1852"/>
      <c r="H23" s="1202" t="s">
        <v>1072</v>
      </c>
      <c r="I23" s="347" t="s">
        <v>1449</v>
      </c>
      <c r="J23" s="24">
        <f ca="1">ROUND(J13*M23,1)</f>
        <v>0</v>
      </c>
      <c r="K23" s="3024" t="s">
        <v>1450</v>
      </c>
      <c r="L23" s="347" t="s">
        <v>1418</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40" t="s">
        <v>1388</v>
      </c>
      <c r="I24" s="1341" t="s">
        <v>1435</v>
      </c>
      <c r="J24" s="1342">
        <f ca="1">ROUND(J5*M24,1)</f>
        <v>0</v>
      </c>
      <c r="K24" s="1343" t="s">
        <v>1455</v>
      </c>
      <c r="L24" s="1341" t="s">
        <v>1418</v>
      </c>
      <c r="M24" s="1337">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2" t="s">
        <v>1456</v>
      </c>
      <c r="B25" s="347" t="s">
        <v>1457</v>
      </c>
      <c r="C25" s="24"/>
      <c r="D25" s="140" t="s">
        <v>1458</v>
      </c>
      <c r="E25" s="3009"/>
      <c r="F25" s="26"/>
      <c r="G25" s="1849"/>
      <c r="H25" s="1330" t="s">
        <v>1028</v>
      </c>
      <c r="I25" s="1345" t="s">
        <v>1459</v>
      </c>
      <c r="J25" s="355">
        <f ca="1">J5-J16</f>
        <v>-165</v>
      </c>
      <c r="K25" s="1346" t="s">
        <v>1460</v>
      </c>
      <c r="L25" s="1347"/>
      <c r="M25" s="1348"/>
    </row>
    <row r="26" spans="1:37">
      <c r="A26" s="1202" t="s">
        <v>1031</v>
      </c>
      <c r="B26" s="347" t="s">
        <v>1461</v>
      </c>
      <c r="C26" s="24">
        <f ca="1">ROUND((C19+C20)*F26,0)</f>
        <v>1033</v>
      </c>
      <c r="D26" s="369" t="s">
        <v>1462</v>
      </c>
      <c r="E26" s="358" t="s">
        <v>1463</v>
      </c>
      <c r="F26" s="357">
        <f ca="1">INDIRECT("'数据-取费表'!q"&amp;$G$1)</f>
        <v>0.2</v>
      </c>
      <c r="G26" s="1849"/>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202" t="s">
        <v>1033</v>
      </c>
      <c r="B27" s="347" t="s">
        <v>1467</v>
      </c>
      <c r="C27" s="24">
        <f ca="1">ROUND(F21*F26,4)</f>
        <v>4.0000000000000001E-3</v>
      </c>
      <c r="D27" s="369" t="s">
        <v>1468</v>
      </c>
      <c r="E27" s="365"/>
      <c r="F27" s="366"/>
      <c r="G27" s="1849"/>
      <c r="H27" s="349"/>
      <c r="I27" s="350"/>
      <c r="J27" s="351"/>
      <c r="K27" s="378" t="s">
        <v>1469</v>
      </c>
      <c r="L27" s="347" t="s">
        <v>1470</v>
      </c>
      <c r="M27" s="379">
        <f ca="1">INDIRECT("'数据-取费表'!ag"&amp;$G$1)</f>
        <v>0</v>
      </c>
    </row>
    <row r="28" spans="1:37" s="1856" customFormat="1" ht="18" customHeight="1">
      <c r="A28" s="1202" t="s">
        <v>1034</v>
      </c>
      <c r="B28" s="347" t="s">
        <v>1471</v>
      </c>
      <c r="C28" s="24">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40" t="s">
        <v>1035</v>
      </c>
      <c r="B29" s="1341" t="s">
        <v>1474</v>
      </c>
      <c r="C29" s="1342">
        <f ca="1">ROUND((C19+C20+C23+C26)/(1-F21-C24-C27-C28),0)</f>
        <v>6987</v>
      </c>
      <c r="D29" s="1343"/>
      <c r="E29" s="1341"/>
      <c r="F29" s="1344"/>
      <c r="G29" s="1852"/>
      <c r="H29" s="380" t="s">
        <v>1030</v>
      </c>
      <c r="I29" s="381" t="s">
        <v>1475</v>
      </c>
      <c r="J29" s="382">
        <f ca="1">ROUND(J26/(1+F40)^F41,0)</f>
        <v>0</v>
      </c>
      <c r="K29" s="383" t="s">
        <v>1476</v>
      </c>
      <c r="L29" s="384"/>
      <c r="M29" s="385">
        <f ca="1">INDIRECT("'数据-取费表'!k"&amp;$G$1)</f>
        <v>16206.23</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30" t="s">
        <v>1027</v>
      </c>
      <c r="B30" s="1331" t="s">
        <v>1420</v>
      </c>
      <c r="C30" s="355">
        <f ca="1">ROUND(C31+C36+C37+C38,0)</f>
        <v>425</v>
      </c>
      <c r="D30" s="1338" t="s">
        <v>1421</v>
      </c>
      <c r="E30" s="3025"/>
      <c r="F30" s="1295"/>
      <c r="G30" s="1849"/>
      <c r="H30" s="743"/>
      <c r="I30" s="744"/>
      <c r="J30" s="745"/>
      <c r="K30" s="746"/>
      <c r="L30" s="747"/>
      <c r="M30" s="748"/>
    </row>
    <row r="31" spans="1:37" ht="18" customHeight="1">
      <c r="A31" s="1202" t="s">
        <v>1032</v>
      </c>
      <c r="B31" s="347" t="s">
        <v>1425</v>
      </c>
      <c r="C31" s="24">
        <f ca="1">ROUND(IF(项目基本情况!B11="自然人",C5*F31,C32+C33+C34),1)</f>
        <v>277.2</v>
      </c>
      <c r="D31" s="3021" t="s">
        <v>1426</v>
      </c>
      <c r="E31" s="3024" t="s">
        <v>1477</v>
      </c>
      <c r="F31" s="368" t="str">
        <f ca="1">IF(项目基本情况!B11="企业","",IF(INDIRECT("'数据-取费表'!c"&amp;$G$1)="住宅",5%,IF(F6*F7*F8/12/(1+'数据-取费表'!C42)&gt;20000,12%,7%)))</f>
        <v/>
      </c>
      <c r="G31" s="1849"/>
      <c r="H31" s="743"/>
      <c r="I31" s="744"/>
      <c r="J31" s="745"/>
      <c r="K31" s="746"/>
      <c r="L31" s="747"/>
      <c r="M31" s="748"/>
    </row>
    <row r="32" spans="1:37" ht="18" customHeight="1">
      <c r="A32" s="1202" t="s">
        <v>1031</v>
      </c>
      <c r="B32" s="347" t="s">
        <v>1429</v>
      </c>
      <c r="C32" s="24">
        <f ca="1">IF(项目基本情况!B11="自然人","——",ROUND(C5*F32/(1+'数据-取费表'!C42),2))</f>
        <v>83.76</v>
      </c>
      <c r="D32" s="3024" t="s">
        <v>1430</v>
      </c>
      <c r="E32" s="347" t="s">
        <v>1418</v>
      </c>
      <c r="F32" s="377">
        <f>'数据-取费表'!B41</f>
        <v>5.5000000000000007E-2</v>
      </c>
      <c r="G32" s="1849"/>
      <c r="H32" s="743"/>
      <c r="I32" s="744"/>
      <c r="J32" s="745"/>
      <c r="K32" s="746"/>
      <c r="L32" s="747"/>
      <c r="M32" s="748"/>
    </row>
    <row r="33" spans="1:18" ht="18" customHeight="1">
      <c r="A33" s="1202" t="s">
        <v>1033</v>
      </c>
      <c r="B33" s="347" t="s">
        <v>1433</v>
      </c>
      <c r="C33" s="24">
        <f ca="1">IF(项目基本情况!B11="自然人","——",IF(D33="按租金收入计税",ROUND(C5*F33,2),IF(D33="按房产原值计税",ROUND(C29*F33*0.7,2),INDIRECT("'数据-取费表'!Aj"&amp;$G$1))))</f>
        <v>191.88</v>
      </c>
      <c r="D33" s="1826" t="s">
        <v>3072</v>
      </c>
      <c r="E33" s="347" t="s">
        <v>1418</v>
      </c>
      <c r="F33" s="367">
        <f>IF(D33="按票据","——",IF(D33="按租金收入计税",'数据-取费表'!B51,'数据-取费表'!B50))</f>
        <v>0.12</v>
      </c>
      <c r="G33" s="1849"/>
      <c r="H33" s="1857"/>
      <c r="I33" s="1858"/>
      <c r="J33" s="1859"/>
      <c r="K33" s="1860"/>
      <c r="L33" s="1857"/>
      <c r="M33" s="1857"/>
    </row>
    <row r="34" spans="1:18" ht="18" customHeight="1">
      <c r="A34" s="1292" t="s">
        <v>1385</v>
      </c>
      <c r="B34" s="164" t="s">
        <v>1437</v>
      </c>
      <c r="C34" s="25">
        <f ca="1">IF(项目基本情况!B11="自然人","——",ROUND(F34*F35/10000,2))</f>
        <v>1.58</v>
      </c>
      <c r="D34" s="370" t="s">
        <v>1438</v>
      </c>
      <c r="E34" s="347" t="s">
        <v>1439</v>
      </c>
      <c r="F34" s="371">
        <f>'数据-取费表'!B52</f>
        <v>3</v>
      </c>
      <c r="G34" s="1849"/>
      <c r="H34" s="743"/>
      <c r="I34" s="1858"/>
      <c r="J34" s="1859"/>
      <c r="K34" s="1861"/>
      <c r="L34" s="1862"/>
      <c r="M34" s="1862"/>
    </row>
    <row r="35" spans="1:18" ht="18" customHeight="1">
      <c r="A35" s="1354"/>
      <c r="B35" s="1352"/>
      <c r="C35" s="29"/>
      <c r="D35" s="373"/>
      <c r="E35" s="347" t="s">
        <v>1443</v>
      </c>
      <c r="F35" s="348">
        <f ca="1">INDIRECT("'数据-取费表'!r"&amp;$G$1)</f>
        <v>5264.7</v>
      </c>
      <c r="G35" s="1849"/>
      <c r="H35" s="743"/>
      <c r="I35" s="1858"/>
      <c r="J35" s="1859"/>
      <c r="K35" s="1860"/>
      <c r="L35" s="1857"/>
      <c r="M35" s="1857"/>
    </row>
    <row r="36" spans="1:18" ht="18" customHeight="1">
      <c r="A36" s="1353" t="s">
        <v>1036</v>
      </c>
      <c r="B36" s="347" t="s">
        <v>1445</v>
      </c>
      <c r="C36" s="24">
        <f ca="1">ROUND(C29*F36,1)</f>
        <v>104.8</v>
      </c>
      <c r="D36" s="3024" t="s">
        <v>1478</v>
      </c>
      <c r="E36" s="347" t="s">
        <v>1418</v>
      </c>
      <c r="F36" s="374">
        <f ca="1">INDIRECT("'数据-取费表'!Ak"&amp;$G$1)</f>
        <v>1.4999999999999999E-2</v>
      </c>
      <c r="G36" s="1849"/>
      <c r="H36" s="1857"/>
      <c r="I36" s="1858"/>
      <c r="J36" s="1859"/>
      <c r="K36" s="749"/>
      <c r="L36" s="1857"/>
      <c r="M36" s="1857"/>
    </row>
    <row r="37" spans="1:18" ht="18" customHeight="1">
      <c r="A37" s="1202" t="s">
        <v>1072</v>
      </c>
      <c r="B37" s="347" t="s">
        <v>1449</v>
      </c>
      <c r="C37" s="24">
        <f ca="1">ROUND(C13*F37,1)</f>
        <v>10.5</v>
      </c>
      <c r="D37" s="3024" t="s">
        <v>1450</v>
      </c>
      <c r="E37" s="347" t="s">
        <v>1418</v>
      </c>
      <c r="F37" s="376">
        <f ca="1">INDIRECT("'数据-取费表'!Al"&amp;$G$1)</f>
        <v>1.5E-3</v>
      </c>
      <c r="G37" s="1849"/>
      <c r="H37" s="1857"/>
      <c r="I37" s="1858"/>
      <c r="J37" s="1859"/>
      <c r="K37" s="749"/>
      <c r="L37" s="1857"/>
      <c r="M37" s="1857"/>
    </row>
    <row r="38" spans="1:18" ht="18" customHeight="1" thickBot="1">
      <c r="A38" s="1340" t="s">
        <v>1388</v>
      </c>
      <c r="B38" s="1341" t="s">
        <v>1435</v>
      </c>
      <c r="C38" s="1342">
        <f ca="1">ROUND(C5*F38,1)</f>
        <v>32</v>
      </c>
      <c r="D38" s="1343" t="s">
        <v>1455</v>
      </c>
      <c r="E38" s="1341" t="s">
        <v>1418</v>
      </c>
      <c r="F38" s="1337">
        <f ca="1">INDIRECT("'数据-取费表'!Am"&amp;$G$1)</f>
        <v>0.02</v>
      </c>
      <c r="G38" s="1849"/>
      <c r="H38" s="1857"/>
      <c r="I38" s="1858"/>
      <c r="J38" s="1859"/>
      <c r="K38" s="1863"/>
      <c r="L38" s="1857"/>
      <c r="M38" s="1857"/>
    </row>
    <row r="39" spans="1:18" ht="24.6" customHeight="1" thickTop="1">
      <c r="A39" s="1330" t="s">
        <v>1028</v>
      </c>
      <c r="B39" s="1345" t="s">
        <v>1459</v>
      </c>
      <c r="C39" s="355">
        <f ca="1">C5-C30</f>
        <v>1174</v>
      </c>
      <c r="D39" s="1346" t="s">
        <v>1460</v>
      </c>
      <c r="E39" s="1347"/>
      <c r="F39" s="1348"/>
      <c r="G39" s="1849"/>
      <c r="H39" s="1857"/>
      <c r="I39" s="1858"/>
      <c r="J39" s="1859"/>
      <c r="K39" s="1863"/>
      <c r="L39" s="1857"/>
      <c r="M39" s="1857"/>
    </row>
    <row r="40" spans="1:18" ht="18" customHeight="1">
      <c r="A40" s="344" t="s">
        <v>1029</v>
      </c>
      <c r="B40" s="345" t="s">
        <v>1481</v>
      </c>
      <c r="C40" s="346">
        <f ca="1">ROUND(C39*(1-((1+F42)/(1+F40))^F41)/(F40-F42),0)</f>
        <v>33945</v>
      </c>
      <c r="D40" s="370" t="s">
        <v>1465</v>
      </c>
      <c r="E40" s="347" t="s">
        <v>1466</v>
      </c>
      <c r="F40" s="357">
        <f ca="1">INDIRECT("'数据-取费表'!I"&amp;$G$1)</f>
        <v>4.4999999999999998E-2</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44.68</v>
      </c>
      <c r="G41" s="1849"/>
      <c r="H41" s="730"/>
      <c r="I41" s="1858"/>
      <c r="J41" s="1859"/>
      <c r="K41" s="749"/>
      <c r="L41" s="730"/>
      <c r="M41" s="730"/>
    </row>
    <row r="42" spans="1:18" ht="18" customHeight="1">
      <c r="A42" s="353"/>
      <c r="B42" s="354"/>
      <c r="C42" s="355"/>
      <c r="D42" s="373"/>
      <c r="E42" s="347" t="s">
        <v>1473</v>
      </c>
      <c r="F42" s="357">
        <f ca="1">INDIRECT("'数据-取费表'!v"&amp;$G$1)</f>
        <v>2.5000000000000001E-2</v>
      </c>
      <c r="G42" s="1849"/>
      <c r="H42" s="730"/>
      <c r="I42" s="1858"/>
      <c r="J42" s="1859"/>
      <c r="K42" s="749"/>
      <c r="L42" s="730"/>
      <c r="M42" s="730"/>
    </row>
    <row r="43" spans="1:18" ht="18" customHeight="1" thickBot="1">
      <c r="A43" s="380" t="s">
        <v>1030</v>
      </c>
      <c r="B43" s="381" t="s">
        <v>1483</v>
      </c>
      <c r="C43" s="382">
        <f ca="1">ROUND(C40*10000/F43,0)</f>
        <v>20946</v>
      </c>
      <c r="D43" s="383" t="s">
        <v>1484</v>
      </c>
      <c r="E43" s="384" t="s">
        <v>1485</v>
      </c>
      <c r="F43" s="385">
        <f ca="1">INDIRECT("'数据-取费表'!k"&amp;$G$1)</f>
        <v>16206.23</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1515</v>
      </c>
      <c r="P45" s="1837"/>
      <c r="Q45" s="1837"/>
      <c r="R45" s="1837"/>
    </row>
    <row r="46" spans="1:18" s="1840" customFormat="1" ht="13.5" thickBot="1">
      <c r="A46" s="1868" t="s">
        <v>1516</v>
      </c>
      <c r="C46" s="1869">
        <f ca="1">C68-C40</f>
        <v>-47400</v>
      </c>
      <c r="D46" s="1870" t="str">
        <f>C2</f>
        <v>万元</v>
      </c>
      <c r="E46" s="1864"/>
      <c r="F46" s="1864"/>
      <c r="I46" s="1871" t="s">
        <v>1517</v>
      </c>
      <c r="J46" s="1872"/>
      <c r="K46" s="1873"/>
      <c r="L46" s="1874">
        <f ca="1">IF(M47="住宅",0,IF(L48&gt;J51,L60,J60))</f>
        <v>73</v>
      </c>
      <c r="O46" s="1875" t="s">
        <v>1518</v>
      </c>
      <c r="P46" s="1876" t="s">
        <v>1519</v>
      </c>
      <c r="Q46" s="1877" t="s">
        <v>1520</v>
      </c>
      <c r="R46" s="1877" t="s">
        <v>1521</v>
      </c>
    </row>
    <row r="47" spans="1:18" s="1840" customFormat="1" ht="13.5" thickBot="1">
      <c r="A47" s="1166" t="s">
        <v>1392</v>
      </c>
      <c r="B47" s="1198" t="s">
        <v>1393</v>
      </c>
      <c r="C47" s="1368" t="s">
        <v>1394</v>
      </c>
      <c r="D47" s="1198" t="s">
        <v>1395</v>
      </c>
      <c r="E47" s="1280" t="s">
        <v>1396</v>
      </c>
      <c r="F47" s="1281"/>
      <c r="G47" s="790"/>
      <c r="I47" s="1878" t="s">
        <v>1522</v>
      </c>
      <c r="J47" s="1879" t="s">
        <v>3074</v>
      </c>
      <c r="K47" s="1880" t="s">
        <v>1523</v>
      </c>
      <c r="L47" s="1881">
        <f ca="1">INDIRECT("'数据-取费表'!d"&amp;$G$1)</f>
        <v>50</v>
      </c>
      <c r="M47" s="1836" t="str">
        <f>IF(ISNUMBER(FIND("住宅",C1)),"住宅","非住宅")</f>
        <v>非住宅</v>
      </c>
      <c r="O47" s="1882" t="s">
        <v>1037</v>
      </c>
      <c r="P47" s="1883" t="s">
        <v>1524</v>
      </c>
      <c r="Q47" s="1884">
        <f ca="1">C40+J29</f>
        <v>33945</v>
      </c>
      <c r="R47" s="1884" t="s">
        <v>1525</v>
      </c>
    </row>
    <row r="48" spans="1:18" s="1840" customFormat="1" ht="28.5" thickBot="1">
      <c r="A48" s="1361" t="s">
        <v>1132</v>
      </c>
      <c r="B48" s="345" t="s">
        <v>1397</v>
      </c>
      <c r="C48" s="3008">
        <f ca="1">C49+C53+C55</f>
        <v>0</v>
      </c>
      <c r="D48" s="1363"/>
      <c r="E48" s="1364"/>
      <c r="F48" s="1182"/>
      <c r="G48" s="790"/>
      <c r="H48" s="791"/>
      <c r="I48" s="1885" t="s">
        <v>1526</v>
      </c>
      <c r="J48" s="1886" t="s">
        <v>3075</v>
      </c>
      <c r="K48" s="1887" t="s">
        <v>1527</v>
      </c>
      <c r="L48" s="1888">
        <f ca="1">INDIRECT("'数据-取费表'!f"&amp;$G$1)</f>
        <v>44.68</v>
      </c>
      <c r="O48" s="1882" t="s">
        <v>1038</v>
      </c>
      <c r="P48" s="1883" t="s">
        <v>1528</v>
      </c>
      <c r="Q48" s="1884">
        <f ca="1">J60</f>
        <v>73</v>
      </c>
      <c r="R48" s="1884" t="s">
        <v>1529</v>
      </c>
    </row>
    <row r="49" spans="1:18" s="1840" customFormat="1" ht="13.5" thickBot="1">
      <c r="A49" s="1195" t="s">
        <v>1133</v>
      </c>
      <c r="B49" s="1827" t="s">
        <v>1486</v>
      </c>
      <c r="C49" s="1365">
        <f ca="1">ROUND(F49*F51*F50*(1-F52)/10000,0)</f>
        <v>0</v>
      </c>
      <c r="D49" s="1277" t="s">
        <v>3029</v>
      </c>
      <c r="E49" s="1828" t="s">
        <v>1487</v>
      </c>
      <c r="F49" s="1282"/>
      <c r="G49" s="1889"/>
      <c r="H49" s="791"/>
      <c r="I49" s="1885" t="s">
        <v>1530</v>
      </c>
      <c r="J49" s="1890">
        <v>2019</v>
      </c>
      <c r="K49" s="1887" t="s">
        <v>1531</v>
      </c>
      <c r="L49" s="1891"/>
      <c r="O49" s="1892" t="s">
        <v>1039</v>
      </c>
      <c r="P49" s="1883" t="s">
        <v>1532</v>
      </c>
      <c r="Q49" s="1884">
        <f ca="1">C29</f>
        <v>6987</v>
      </c>
      <c r="R49" s="1884" t="s">
        <v>1525</v>
      </c>
    </row>
    <row r="50" spans="1:18" s="1840" customFormat="1" ht="13.5" thickBot="1">
      <c r="A50" s="1196"/>
      <c r="B50" s="1199"/>
      <c r="C50" s="1369"/>
      <c r="D50" s="1173"/>
      <c r="E50" s="1278" t="s">
        <v>1402</v>
      </c>
      <c r="F50" s="1279">
        <f ca="1">F7</f>
        <v>16206.23</v>
      </c>
      <c r="H50" s="791"/>
      <c r="I50" s="1885" t="s">
        <v>1533</v>
      </c>
      <c r="J50" s="1893">
        <f>SUMPRODUCT((I63:I65=J47)*(J62:L62=J48)*(J63:L65))</f>
        <v>60</v>
      </c>
      <c r="K50" s="1887" t="s">
        <v>1534</v>
      </c>
      <c r="L50" s="1891"/>
      <c r="M50" s="1894"/>
      <c r="O50" s="1892" t="s">
        <v>1040</v>
      </c>
      <c r="P50" s="1883" t="s">
        <v>1535</v>
      </c>
      <c r="Q50" s="1895">
        <f ca="1">J58</f>
        <v>0.4</v>
      </c>
      <c r="R50" s="1884"/>
    </row>
    <row r="51" spans="1:18" s="1840" customFormat="1" ht="13.5" thickBot="1">
      <c r="A51" s="1197"/>
      <c r="B51" s="1199"/>
      <c r="C51" s="1200"/>
      <c r="D51" s="1173"/>
      <c r="E51" s="1201" t="s">
        <v>1403</v>
      </c>
      <c r="F51" s="348">
        <f ca="1">F8</f>
        <v>365</v>
      </c>
      <c r="I51" s="1896" t="s">
        <v>1536</v>
      </c>
      <c r="J51" s="1897">
        <f>IF(J49="",J50,J49+J50-YEAR('数据-取费表'!B2))</f>
        <v>60</v>
      </c>
      <c r="K51" s="1898" t="s">
        <v>1537</v>
      </c>
      <c r="L51" s="1899">
        <f ca="1">ROUND(-PV(INDIRECT("'数据-取费表'!h"&amp;$G$1),L48,(C39-C13*C76),0),0)</f>
        <v>12710</v>
      </c>
      <c r="M51" s="1900"/>
      <c r="O51" s="1892" t="s">
        <v>1041</v>
      </c>
      <c r="P51" s="1883" t="s">
        <v>1538</v>
      </c>
      <c r="Q51" s="1895">
        <f>J52</f>
        <v>8.5000000000000006E-2</v>
      </c>
      <c r="R51" s="1884"/>
    </row>
    <row r="52" spans="1:18" s="1840" customFormat="1" ht="13.5" thickBot="1">
      <c r="A52" s="1197"/>
      <c r="B52" s="1199"/>
      <c r="C52" s="1200"/>
      <c r="D52" s="1173"/>
      <c r="E52" s="1201" t="s">
        <v>1404</v>
      </c>
      <c r="F52" s="1276"/>
      <c r="I52" s="1901" t="s">
        <v>1539</v>
      </c>
      <c r="J52" s="1902">
        <v>8.5000000000000006E-2</v>
      </c>
      <c r="K52" s="1901" t="s">
        <v>1540</v>
      </c>
      <c r="L52" s="1902"/>
      <c r="O52" s="1892" t="s">
        <v>1042</v>
      </c>
      <c r="P52" s="1883" t="s">
        <v>1541</v>
      </c>
      <c r="Q52" s="1884">
        <f ca="1">J53</f>
        <v>44.68</v>
      </c>
      <c r="R52" s="1884" t="s">
        <v>1542</v>
      </c>
    </row>
    <row r="53" spans="1:18" s="1840" customFormat="1" ht="24.75" thickBot="1">
      <c r="A53" s="1406" t="s">
        <v>1134</v>
      </c>
      <c r="B53" s="1829" t="s">
        <v>1405</v>
      </c>
      <c r="C53" s="361">
        <f ca="1">ROUND(IF(F53="押一",C49/12*F11,IF(F53="押二",C49/12*2*F11,IF(F53="押三",C49/12*3*F11,C54*F11))),0)</f>
        <v>0</v>
      </c>
      <c r="D53" s="1822" t="s">
        <v>3038</v>
      </c>
      <c r="E53" s="358" t="s">
        <v>1406</v>
      </c>
      <c r="F53" s="1367"/>
      <c r="I53" s="1903" t="s">
        <v>1543</v>
      </c>
      <c r="J53" s="1904">
        <f ca="1">IF(M47="住宅",IF(D1="——",MAX(J51,L48),IF(D1="在建（套用方法）",MAX(J51,L48-'数据-取费表'!B24),MAX(J51,L48-'数据-取费表'!B20))),IF(D1="——",MIN(J51,L48),IF(D1="在建（套用方法）",MIN(J51,L48-'数据-取费表'!B24),IF(D1="土地（套用方法）",MIN(J51,L48-'数据-取费表'!B20)))))</f>
        <v>44.68</v>
      </c>
      <c r="K53" s="3278" t="s">
        <v>1544</v>
      </c>
      <c r="L53" s="3279"/>
      <c r="O53" s="1882" t="s">
        <v>1043</v>
      </c>
      <c r="P53" s="1883" t="s">
        <v>1545</v>
      </c>
      <c r="Q53" s="1884">
        <f ca="1">Q47+Q48</f>
        <v>34018</v>
      </c>
      <c r="R53" s="1884" t="s">
        <v>1044</v>
      </c>
    </row>
    <row r="54" spans="1:18" s="1840" customFormat="1" ht="13.5" thickBot="1">
      <c r="A54" s="1407"/>
      <c r="B54" s="1823" t="s">
        <v>1384</v>
      </c>
      <c r="C54" s="1179"/>
      <c r="D54" s="1822"/>
      <c r="E54" s="3013"/>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4" t="s">
        <v>1072</v>
      </c>
      <c r="B55" s="1825" t="s">
        <v>1409</v>
      </c>
      <c r="C55" s="1335"/>
      <c r="D55" s="1822"/>
      <c r="E55" s="3013"/>
      <c r="F55" s="1905"/>
      <c r="I55" s="1908" t="s">
        <v>1547</v>
      </c>
      <c r="J55" s="1909">
        <f ca="1">ROUND(IF(J47="钢混",J57/J50,1-(1-2%)*(J50-J57)/J50),3)</f>
        <v>0.255</v>
      </c>
      <c r="K55" s="1910" t="s">
        <v>1548</v>
      </c>
      <c r="L55" s="1911" t="s">
        <v>1549</v>
      </c>
      <c r="O55" s="1875" t="s">
        <v>1518</v>
      </c>
      <c r="P55" s="1876" t="s">
        <v>1519</v>
      </c>
      <c r="Q55" s="1877" t="s">
        <v>1520</v>
      </c>
      <c r="R55" s="1877" t="s">
        <v>1521</v>
      </c>
    </row>
    <row r="56" spans="1:18" s="1840" customFormat="1" ht="25.5" thickTop="1" thickBot="1">
      <c r="A56" s="1177">
        <v>2</v>
      </c>
      <c r="B56" s="1178" t="s">
        <v>1410</v>
      </c>
      <c r="C56" s="276">
        <f ca="1">C13</f>
        <v>6987</v>
      </c>
      <c r="D56" s="1912"/>
      <c r="E56" s="1913"/>
      <c r="F56" s="1905"/>
      <c r="I56" s="1914" t="s">
        <v>1550</v>
      </c>
      <c r="J56" s="1915" t="s">
        <v>3076</v>
      </c>
      <c r="K56" s="1885" t="s">
        <v>1551</v>
      </c>
      <c r="L56" s="1888" t="str">
        <f ca="1">IF(L48&lt;J51,"——",L48-J53)</f>
        <v>——</v>
      </c>
      <c r="O56" s="1882" t="s">
        <v>1037</v>
      </c>
      <c r="P56" s="1883" t="s">
        <v>1524</v>
      </c>
      <c r="Q56" s="1884">
        <f ca="1">C40+J29</f>
        <v>33945</v>
      </c>
      <c r="R56" s="1884" t="s">
        <v>1525</v>
      </c>
    </row>
    <row r="57" spans="1:18" s="1840" customFormat="1" ht="24.75" thickBot="1">
      <c r="A57" s="1916"/>
      <c r="B57" s="1170" t="s">
        <v>1474</v>
      </c>
      <c r="C57" s="282">
        <f ca="1">C29</f>
        <v>6987</v>
      </c>
      <c r="D57" s="1917"/>
      <c r="E57" s="1918"/>
      <c r="F57" s="1919"/>
      <c r="I57" s="1920" t="s">
        <v>1552</v>
      </c>
      <c r="J57" s="1921">
        <f ca="1">IF(OR(M47="住宅",J51&lt;L48,J56="是"),"——",J51-L48)</f>
        <v>15.32</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78" t="s">
        <v>1420</v>
      </c>
      <c r="C58" s="361">
        <f ca="1">ROUND(C59+C64+C65+C66,0)</f>
        <v>704</v>
      </c>
      <c r="D58" s="1180" t="s">
        <v>1421</v>
      </c>
      <c r="E58" s="1181"/>
      <c r="F58" s="1182"/>
      <c r="I58" s="1920" t="s">
        <v>1556</v>
      </c>
      <c r="J58" s="1922">
        <f ca="1">IF(J55&lt;0.4,0.4,J55)</f>
        <v>0.4</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2" t="s">
        <v>1032</v>
      </c>
      <c r="B59" s="1170" t="s">
        <v>1425</v>
      </c>
      <c r="C59" s="24">
        <f ca="1">ROUND(IF(项目基本情况!B11="自然人",C48*F59,C60+C61+C62),1)</f>
        <v>588.5</v>
      </c>
      <c r="D59" s="1183" t="s">
        <v>1426</v>
      </c>
      <c r="E59" s="1184" t="s">
        <v>1427</v>
      </c>
      <c r="F59" s="368" t="str">
        <f ca="1">IF(项目基本情况!B11="企业","",IF(INDIRECT("'数据-取费表'!c"&amp;$G$1)="住宅",5%,IF(F49*F50*F51/12/(1+'数据-取费表'!C42)&gt;20000,12%,7%)))</f>
        <v/>
      </c>
      <c r="I59" s="1920" t="s">
        <v>1559</v>
      </c>
      <c r="J59" s="1921">
        <f ca="1">IF(OR(M47="住宅",J51&lt;L48,J56="是"),"——",ROUND(C29*J58,0))</f>
        <v>2795</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202" t="s">
        <v>1031</v>
      </c>
      <c r="B60" s="1170" t="s">
        <v>1429</v>
      </c>
      <c r="C60" s="24">
        <f ca="1">IF(项目基本情况!B11="自然人","——",ROUND(C48*F60/(1+'数据-取费表'!C42),2))</f>
        <v>0</v>
      </c>
      <c r="D60" s="1184" t="s">
        <v>1430</v>
      </c>
      <c r="E60" s="1170" t="s">
        <v>1418</v>
      </c>
      <c r="F60" s="377">
        <f t="shared" ref="F60:F66" si="0">F32</f>
        <v>5.5000000000000007E-2</v>
      </c>
      <c r="I60" s="1923" t="s">
        <v>1561</v>
      </c>
      <c r="J60" s="1924">
        <f ca="1">IF(OR(M47="住宅",J51&lt;L48,J56="是"),"0",ROUND(J59/(1+J52)^J53,0))</f>
        <v>73</v>
      </c>
      <c r="K60" s="1925" t="s">
        <v>1562</v>
      </c>
      <c r="L60" s="1924">
        <f ca="1">IF(OR(M47="住宅",L48&lt;J51),0,ROUND(L57*(L58/L59-1),0))</f>
        <v>0</v>
      </c>
      <c r="O60" s="1892" t="s">
        <v>1041</v>
      </c>
      <c r="P60" s="1883" t="s">
        <v>1563</v>
      </c>
      <c r="Q60" s="1884" t="e">
        <f ca="1">L58</f>
        <v>#DIV/0!</v>
      </c>
      <c r="R60" s="1884" t="s">
        <v>1564</v>
      </c>
    </row>
    <row r="61" spans="1:18" s="1840" customFormat="1" ht="13.5" thickBot="1">
      <c r="A61" s="1202" t="s">
        <v>1488</v>
      </c>
      <c r="B61" s="1170" t="s">
        <v>1433</v>
      </c>
      <c r="C61" s="24">
        <f ca="1">IF(项目基本情况!B11="自然人","——",IF(D61="按租金收入计税",ROUND(C48*F61,2),IF(D61="按房产原值计税",ROUND(C57*F61*0.7,2),INDIRECT("'数据-取费表'!Aj"&amp;$G$1))))</f>
        <v>586.91</v>
      </c>
      <c r="D61" s="1826" t="s">
        <v>1434</v>
      </c>
      <c r="E61" s="1170" t="s">
        <v>1418</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202" t="s">
        <v>1491</v>
      </c>
      <c r="B62" s="1169" t="s">
        <v>1437</v>
      </c>
      <c r="C62" s="25">
        <f ca="1">IF(项目基本情况!B11="自然人","——",ROUND(F62*F63/10000,2))</f>
        <v>1.58</v>
      </c>
      <c r="D62" s="1185" t="s">
        <v>1438</v>
      </c>
      <c r="E62" s="1170" t="s">
        <v>1439</v>
      </c>
      <c r="F62" s="371">
        <f t="shared" si="0"/>
        <v>3</v>
      </c>
      <c r="I62" s="1927" t="s">
        <v>1566</v>
      </c>
      <c r="J62" s="1928" t="s">
        <v>1567</v>
      </c>
      <c r="K62" s="1928" t="s">
        <v>1568</v>
      </c>
      <c r="L62" s="1928" t="s">
        <v>1569</v>
      </c>
      <c r="M62" s="1929" t="s">
        <v>1570</v>
      </c>
      <c r="O62" s="1882" t="s">
        <v>1043</v>
      </c>
      <c r="P62" s="1883" t="s">
        <v>1545</v>
      </c>
      <c r="Q62" s="1884">
        <f ca="1">Q56+Q57</f>
        <v>33945</v>
      </c>
      <c r="R62" s="1884" t="s">
        <v>1044</v>
      </c>
    </row>
    <row r="63" spans="1:18" s="1840" customFormat="1" ht="13.5" thickBot="1">
      <c r="A63" s="372"/>
      <c r="B63" s="1176"/>
      <c r="C63" s="29"/>
      <c r="D63" s="1186"/>
      <c r="E63" s="1170" t="s">
        <v>1443</v>
      </c>
      <c r="F63" s="348">
        <f t="shared" ca="1" si="0"/>
        <v>5264.7</v>
      </c>
      <c r="I63" s="1927" t="s">
        <v>1572</v>
      </c>
      <c r="J63" s="1928">
        <v>70</v>
      </c>
      <c r="K63" s="1928">
        <v>50</v>
      </c>
      <c r="L63" s="1928">
        <v>80</v>
      </c>
      <c r="M63" s="1930">
        <v>0.02</v>
      </c>
      <c r="O63" s="1867" t="s">
        <v>1573</v>
      </c>
      <c r="P63" s="1837"/>
      <c r="Q63" s="1837"/>
      <c r="R63" s="1837"/>
    </row>
    <row r="64" spans="1:18" s="1840" customFormat="1" ht="13.5" thickBot="1">
      <c r="A64" s="1202" t="s">
        <v>1496</v>
      </c>
      <c r="B64" s="1170" t="s">
        <v>1445</v>
      </c>
      <c r="C64" s="24">
        <f ca="1">ROUND(C57*F64,1)</f>
        <v>104.8</v>
      </c>
      <c r="D64" s="1184" t="s">
        <v>1478</v>
      </c>
      <c r="E64" s="1170" t="s">
        <v>1418</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202" t="s">
        <v>1499</v>
      </c>
      <c r="B65" s="1170" t="s">
        <v>1449</v>
      </c>
      <c r="C65" s="24">
        <f ca="1">ROUND(C56*F65,1)</f>
        <v>10.5</v>
      </c>
      <c r="D65" s="1184" t="s">
        <v>1450</v>
      </c>
      <c r="E65" s="1170" t="s">
        <v>1418</v>
      </c>
      <c r="F65" s="376">
        <f t="shared" ca="1" si="0"/>
        <v>1.5E-3</v>
      </c>
      <c r="I65" s="1927" t="s">
        <v>1575</v>
      </c>
      <c r="J65" s="1928">
        <v>40</v>
      </c>
      <c r="K65" s="1928">
        <v>30</v>
      </c>
      <c r="L65" s="1928">
        <v>50</v>
      </c>
      <c r="M65" s="1930">
        <v>0.02</v>
      </c>
      <c r="O65" s="1882" t="s">
        <v>1037</v>
      </c>
      <c r="P65" s="1883" t="s">
        <v>1524</v>
      </c>
      <c r="Q65" s="1884">
        <f ca="1">C40+J29</f>
        <v>33945</v>
      </c>
      <c r="R65" s="1884" t="s">
        <v>1525</v>
      </c>
    </row>
    <row r="66" spans="1:18" s="1840" customFormat="1" ht="16.5" thickBot="1">
      <c r="A66" s="1202" t="s">
        <v>1500</v>
      </c>
      <c r="B66" s="1170" t="s">
        <v>1435</v>
      </c>
      <c r="C66" s="24">
        <f ca="1">ROUND(C48*F66,1)</f>
        <v>0</v>
      </c>
      <c r="D66" s="1184" t="s">
        <v>1455</v>
      </c>
      <c r="E66" s="1170" t="s">
        <v>1418</v>
      </c>
      <c r="F66" s="357">
        <f t="shared" ca="1" si="0"/>
        <v>0.02</v>
      </c>
      <c r="O66" s="1882" t="s">
        <v>1038</v>
      </c>
      <c r="P66" s="1883" t="s">
        <v>1554</v>
      </c>
      <c r="Q66" s="1884">
        <f ca="1">L60</f>
        <v>0</v>
      </c>
      <c r="R66" s="1884" t="s">
        <v>1577</v>
      </c>
    </row>
    <row r="67" spans="1:18" s="1840" customFormat="1" ht="16.5" thickBot="1">
      <c r="A67" s="1177" t="s">
        <v>1028</v>
      </c>
      <c r="B67" s="1187" t="s">
        <v>1459</v>
      </c>
      <c r="C67" s="361">
        <f ca="1">C48-C58</f>
        <v>-704</v>
      </c>
      <c r="D67" s="1183" t="s">
        <v>1460</v>
      </c>
      <c r="E67" s="1188"/>
      <c r="F67" s="1189"/>
      <c r="O67" s="1892" t="s">
        <v>1039</v>
      </c>
      <c r="P67" s="1883" t="s">
        <v>1558</v>
      </c>
      <c r="Q67" s="1931">
        <f ca="1">L51</f>
        <v>12710</v>
      </c>
      <c r="R67" s="1884" t="s">
        <v>1578</v>
      </c>
    </row>
    <row r="68" spans="1:18" s="1840" customFormat="1" ht="16.5" thickBot="1">
      <c r="A68" s="1167" t="s">
        <v>1029</v>
      </c>
      <c r="B68" s="1168" t="s">
        <v>1481</v>
      </c>
      <c r="C68" s="346">
        <f ca="1">ROUND(C67*(1-((1+F70)/(1+F68))^F69)/(F68-F70),0)</f>
        <v>-13455</v>
      </c>
      <c r="D68" s="1185" t="s">
        <v>1465</v>
      </c>
      <c r="E68" s="1170" t="s">
        <v>1466</v>
      </c>
      <c r="F68" s="357">
        <f ca="1">F40</f>
        <v>4.4999999999999998E-2</v>
      </c>
      <c r="O68" s="1892" t="s">
        <v>1040</v>
      </c>
      <c r="P68" s="1932" t="s">
        <v>1579</v>
      </c>
      <c r="Q68" s="1884">
        <f ca="1">ROUND(Q69-Q70*Q71,0)</f>
        <v>615</v>
      </c>
      <c r="R68" s="1884" t="s">
        <v>1048</v>
      </c>
    </row>
    <row r="69" spans="1:18" s="1840" customFormat="1" ht="13.5" thickBot="1">
      <c r="A69" s="1171"/>
      <c r="B69" s="1172"/>
      <c r="C69" s="351"/>
      <c r="D69" s="1190" t="s">
        <v>1469</v>
      </c>
      <c r="E69" s="1170" t="s">
        <v>1470</v>
      </c>
      <c r="F69" s="379">
        <f ca="1">F41</f>
        <v>44.68</v>
      </c>
      <c r="O69" s="1892" t="s">
        <v>1045</v>
      </c>
      <c r="P69" s="1932" t="s">
        <v>1580</v>
      </c>
      <c r="Q69" s="1884">
        <f ca="1">C39</f>
        <v>1174</v>
      </c>
      <c r="R69" s="1884" t="s">
        <v>1525</v>
      </c>
    </row>
    <row r="70" spans="1:18" s="1840" customFormat="1" ht="13.5" thickBot="1">
      <c r="A70" s="1174"/>
      <c r="B70" s="1175"/>
      <c r="C70" s="355"/>
      <c r="D70" s="1186"/>
      <c r="E70" s="1170" t="s">
        <v>1473</v>
      </c>
      <c r="F70" s="1276"/>
      <c r="O70" s="1892" t="s">
        <v>1046</v>
      </c>
      <c r="P70" s="1932" t="s">
        <v>1581</v>
      </c>
      <c r="Q70" s="1884">
        <f ca="1">C13</f>
        <v>6987</v>
      </c>
      <c r="R70" s="1884" t="s">
        <v>1525</v>
      </c>
    </row>
    <row r="71" spans="1:18" s="1840" customFormat="1" ht="13.5" thickBot="1">
      <c r="A71" s="1191" t="s">
        <v>1030</v>
      </c>
      <c r="B71" s="1192" t="s">
        <v>1483</v>
      </c>
      <c r="C71" s="382">
        <f ca="1">ROUND(C68*10000/F71,0)</f>
        <v>-8302</v>
      </c>
      <c r="D71" s="1193" t="s">
        <v>1484</v>
      </c>
      <c r="E71" s="1194" t="s">
        <v>1485</v>
      </c>
      <c r="F71" s="385">
        <f ca="1">F43</f>
        <v>16206.23</v>
      </c>
      <c r="O71" s="1892" t="s">
        <v>1047</v>
      </c>
      <c r="P71" s="1932" t="s">
        <v>1582</v>
      </c>
      <c r="Q71" s="1895">
        <f ca="1">C76</f>
        <v>0.08</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559</v>
      </c>
      <c r="D75" s="1840"/>
      <c r="E75" s="1840"/>
      <c r="F75" s="1840"/>
      <c r="K75" s="1866"/>
      <c r="L75" s="1840"/>
      <c r="O75" s="1882" t="s">
        <v>1043</v>
      </c>
      <c r="P75" s="1883" t="s">
        <v>1545</v>
      </c>
      <c r="Q75" s="1884">
        <f ca="1">Q65+Q66</f>
        <v>33945</v>
      </c>
      <c r="R75" s="1884" t="s">
        <v>1044</v>
      </c>
    </row>
    <row r="76" spans="1:18">
      <c r="B76" s="388" t="s">
        <v>1503</v>
      </c>
      <c r="C76" s="389">
        <f ca="1">INDIRECT("'数据-取费表'!j"&amp;$G$1)</f>
        <v>0.08</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0.52400000000000002</v>
      </c>
    </row>
    <row r="80" spans="1:18">
      <c r="B80" s="386" t="s">
        <v>1507</v>
      </c>
      <c r="C80" s="318">
        <f ca="1">ROUND(C75/C39,3)</f>
        <v>0.47599999999999998</v>
      </c>
    </row>
    <row r="81" spans="2:3">
      <c r="B81" s="314" t="s">
        <v>1508</v>
      </c>
      <c r="C81" s="282"/>
    </row>
    <row r="82" spans="2:3">
      <c r="B82" s="317" t="s">
        <v>1509</v>
      </c>
      <c r="C82" s="319">
        <f ca="1">1-C83</f>
        <v>0.79400000000000004</v>
      </c>
    </row>
    <row r="83" spans="2:3">
      <c r="B83" s="317" t="s">
        <v>1510</v>
      </c>
      <c r="C83" s="318">
        <f ca="1">ROUND(C13/C40,3)</f>
        <v>0.20599999999999999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47" t="str">
        <f>IF(项目基本情况!B9="房地产市场价值","估价结果一览表","结果表-2")</f>
        <v>估价结果一览表</v>
      </c>
      <c r="B1" s="3047"/>
      <c r="C1" s="3047"/>
      <c r="D1" s="3047"/>
      <c r="E1" s="3047"/>
      <c r="F1" s="3047"/>
      <c r="G1" s="3047"/>
      <c r="H1" s="3047"/>
      <c r="I1" s="3047"/>
    </row>
    <row r="2" spans="1:9" ht="30" customHeight="1" thickTop="1">
      <c r="A2" s="3048" t="s">
        <v>1637</v>
      </c>
      <c r="B2" s="3048" t="s">
        <v>1638</v>
      </c>
      <c r="C2" s="3048" t="s">
        <v>1639</v>
      </c>
      <c r="D2" s="3048" t="str">
        <f>结果表!D116</f>
        <v>出让国有建设用地使用权价值</v>
      </c>
      <c r="E2" s="3048"/>
      <c r="F2" s="3048" t="str">
        <f>结果表!F116</f>
        <v>在建建筑物价值</v>
      </c>
      <c r="G2" s="3048"/>
      <c r="H2" s="3048" t="str">
        <f>IF(项目基本情况!B9="房地产市场价值","房地产市场价值","房地产价值")</f>
        <v>房地产市场价值</v>
      </c>
      <c r="I2" s="3048"/>
    </row>
    <row r="3" spans="1:9" ht="15">
      <c r="A3" s="3049"/>
      <c r="B3" s="3049"/>
      <c r="C3" s="3049"/>
      <c r="D3" s="1045" t="s">
        <v>1634</v>
      </c>
      <c r="E3" s="1045" t="s">
        <v>1640</v>
      </c>
      <c r="F3" s="1045" t="s">
        <v>1634</v>
      </c>
      <c r="G3" s="1045" t="s">
        <v>1635</v>
      </c>
      <c r="H3" s="1045" t="s">
        <v>1634</v>
      </c>
      <c r="I3" s="1045" t="s">
        <v>1635</v>
      </c>
    </row>
    <row r="4" spans="1:9" ht="15">
      <c r="A4" s="1971" t="str">
        <f>项目基本情况!S2</f>
        <v>北京市房地产</v>
      </c>
      <c r="B4" s="1045">
        <f>项目基本情况!C17</f>
        <v>66657.509999999995</v>
      </c>
      <c r="C4" s="1045">
        <f>项目基本情况!C18</f>
        <v>21654.11</v>
      </c>
      <c r="D4" s="1045" t="e">
        <f ca="1">结果表!D118</f>
        <v>#REF!</v>
      </c>
      <c r="E4" s="1045" t="e">
        <f ca="1">结果表!E118</f>
        <v>#REF!</v>
      </c>
      <c r="F4" s="1045" t="e">
        <f ca="1">结果表!F118</f>
        <v>#REF!</v>
      </c>
      <c r="G4" s="1045" t="e">
        <f ca="1">结果表!G118</f>
        <v>#REF!</v>
      </c>
      <c r="H4" s="1045">
        <f ca="1">结果表!H118</f>
        <v>74484</v>
      </c>
      <c r="I4" s="1045">
        <f ca="1">结果表!I118</f>
        <v>23417</v>
      </c>
    </row>
    <row r="5" spans="1:9" ht="30" customHeight="1">
      <c r="A5" s="3049" t="s">
        <v>1636</v>
      </c>
      <c r="B5" s="3049"/>
      <c r="C5" s="3049"/>
      <c r="D5" s="3050" t="e">
        <f ca="1">结果表!D119</f>
        <v>#REF!</v>
      </c>
      <c r="E5" s="3050"/>
      <c r="F5" s="3050" t="e">
        <f ca="1">结果表!F119</f>
        <v>#REF!</v>
      </c>
      <c r="G5" s="3050"/>
      <c r="H5" s="3050" t="str">
        <f ca="1">结果表!H119</f>
        <v>柒亿肆仟肆佰捌拾肆万元整</v>
      </c>
      <c r="I5" s="3050"/>
    </row>
    <row r="6" spans="1:9" ht="15.75">
      <c r="A6" s="3051" t="str">
        <f>结果表!A120</f>
        <v/>
      </c>
      <c r="B6" s="3051"/>
      <c r="C6" s="3051"/>
      <c r="D6" s="3051">
        <f>结果表!D120</f>
        <v>0</v>
      </c>
      <c r="E6" s="3051"/>
      <c r="F6" s="3051"/>
      <c r="G6" s="3051"/>
      <c r="H6" s="3051"/>
      <c r="I6" s="3051"/>
    </row>
    <row r="7" spans="1:9" ht="15">
      <c r="A7" s="3049" t="s">
        <v>1636</v>
      </c>
      <c r="B7" s="3049"/>
      <c r="C7" s="3049"/>
      <c r="D7" s="3052" t="str">
        <f>结果表!D121</f>
        <v>零元整</v>
      </c>
      <c r="E7" s="3053"/>
      <c r="F7" s="3053"/>
      <c r="G7" s="3053"/>
      <c r="H7" s="3053"/>
      <c r="I7" s="3054"/>
    </row>
    <row r="8" spans="1:9" ht="15.75">
      <c r="A8" s="3051" t="str">
        <f>结果表!A122</f>
        <v/>
      </c>
      <c r="B8" s="3051"/>
      <c r="C8" s="3051"/>
      <c r="D8" s="3051">
        <f ca="1">结果表!D122</f>
        <v>74484</v>
      </c>
      <c r="E8" s="3051"/>
      <c r="F8" s="3051"/>
      <c r="G8" s="3051"/>
      <c r="H8" s="3051"/>
      <c r="I8" s="3051"/>
    </row>
    <row r="9" spans="1:9" ht="15">
      <c r="A9" s="3049" t="s">
        <v>1636</v>
      </c>
      <c r="B9" s="3049"/>
      <c r="C9" s="3049"/>
      <c r="D9" s="3050" t="str">
        <f ca="1">结果表!D123</f>
        <v>柒亿肆仟肆佰捌拾肆万元整</v>
      </c>
      <c r="E9" s="3050"/>
      <c r="F9" s="3050"/>
      <c r="G9" s="3050"/>
      <c r="H9" s="3050"/>
      <c r="I9" s="3050"/>
    </row>
    <row r="10" spans="1:9" ht="15.75">
      <c r="A10" s="3051" t="str">
        <f>结果表!A124</f>
        <v/>
      </c>
      <c r="B10" s="3051"/>
      <c r="C10" s="3051"/>
      <c r="D10" s="3051" t="str">
        <f>结果表!D124</f>
        <v>——</v>
      </c>
      <c r="E10" s="3051"/>
      <c r="F10" s="3051"/>
      <c r="G10" s="3051"/>
      <c r="H10" s="3051"/>
      <c r="I10" s="3051"/>
    </row>
    <row r="11" spans="1:9" ht="15">
      <c r="A11" s="3049" t="s">
        <v>1636</v>
      </c>
      <c r="B11" s="3049"/>
      <c r="C11" s="3049"/>
      <c r="D11" s="3050" t="e">
        <f>结果表!D125</f>
        <v>#VALUE!</v>
      </c>
      <c r="E11" s="3050"/>
      <c r="F11" s="3050"/>
      <c r="G11" s="3050"/>
      <c r="H11" s="3050"/>
      <c r="I11" s="3050"/>
    </row>
    <row r="12" spans="1:9" ht="15.75">
      <c r="A12" s="3051" t="str">
        <f>结果表!A126</f>
        <v/>
      </c>
      <c r="B12" s="3051"/>
      <c r="C12" s="3051"/>
      <c r="D12" s="3051" t="str">
        <f>结果表!D126</f>
        <v>——</v>
      </c>
      <c r="E12" s="3051"/>
      <c r="F12" s="3051"/>
      <c r="G12" s="3051"/>
      <c r="H12" s="3051"/>
      <c r="I12" s="3051"/>
    </row>
    <row r="13" spans="1:9" ht="15.75" thickBot="1">
      <c r="A13" s="3055" t="s">
        <v>1636</v>
      </c>
      <c r="B13" s="3055"/>
      <c r="C13" s="3055"/>
      <c r="D13" s="3056" t="e">
        <f>结果表!D127</f>
        <v>#VALUE!</v>
      </c>
      <c r="E13" s="3056"/>
      <c r="F13" s="3056"/>
      <c r="G13" s="3056"/>
      <c r="H13" s="3056"/>
      <c r="I13" s="3056"/>
    </row>
    <row r="14" spans="1:9" ht="15" thickTop="1">
      <c r="A14" s="3057" t="s">
        <v>1641</v>
      </c>
      <c r="B14" s="3057"/>
      <c r="C14" s="3057"/>
      <c r="D14" s="3057"/>
      <c r="E14" s="3057"/>
      <c r="F14" s="3057"/>
      <c r="G14" s="3057"/>
      <c r="H14" s="3057"/>
      <c r="I14" s="3057"/>
    </row>
    <row r="16" spans="1:9" ht="18.75">
      <c r="A16" s="1972" t="s">
        <v>1624</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C19" sqref="C19"/>
    </sheetView>
  </sheetViews>
  <sheetFormatPr defaultRowHeight="13.5"/>
  <cols>
    <col min="2" max="2" width="12" customWidth="1"/>
    <col min="3" max="3" width="22.375" style="2969" customWidth="1"/>
    <col min="4" max="4" width="9.625" customWidth="1"/>
  </cols>
  <sheetData>
    <row r="1" spans="1:4">
      <c r="A1" s="2967" t="s">
        <v>3060</v>
      </c>
      <c r="B1">
        <v>16204.93</v>
      </c>
      <c r="C1" s="2969">
        <v>331037246.69999999</v>
      </c>
      <c r="D1">
        <f>C1/B1</f>
        <v>20428.181220159542</v>
      </c>
    </row>
    <row r="2" spans="1:4">
      <c r="A2" s="2967" t="s">
        <v>3061</v>
      </c>
      <c r="B2">
        <v>15603.04</v>
      </c>
      <c r="C2" s="2969">
        <v>315291087.63999999</v>
      </c>
      <c r="D2">
        <f t="shared" ref="D2:D3" si="0">C2/B2</f>
        <v>20207.029376326664</v>
      </c>
    </row>
    <row r="3" spans="1:4">
      <c r="A3" s="2967" t="s">
        <v>3062</v>
      </c>
      <c r="B3">
        <v>16206.23</v>
      </c>
      <c r="C3" s="2969">
        <v>326176388.54000002</v>
      </c>
      <c r="D3">
        <f t="shared" si="0"/>
        <v>20126.604925389805</v>
      </c>
    </row>
    <row r="4" spans="1:4">
      <c r="A4" s="2967" t="s">
        <v>3063</v>
      </c>
      <c r="B4">
        <v>6314.19</v>
      </c>
      <c r="C4" s="2969">
        <v>303983961.22000003</v>
      </c>
      <c r="D4">
        <f>C4/(B4+B5+B6)</f>
        <v>16305.257018201171</v>
      </c>
    </row>
    <row r="5" spans="1:4">
      <c r="A5" s="2967" t="s">
        <v>3064</v>
      </c>
      <c r="B5">
        <v>6699.04</v>
      </c>
    </row>
    <row r="6" spans="1:4">
      <c r="A6" s="2967" t="s">
        <v>3065</v>
      </c>
      <c r="B6">
        <v>5630.08</v>
      </c>
    </row>
    <row r="7" spans="1:4">
      <c r="C7" s="2969">
        <f>SUM(C1:C6)</f>
        <v>1276488684.0999999</v>
      </c>
    </row>
    <row r="8" spans="1:4">
      <c r="C8" s="2969">
        <f>C7/10000</f>
        <v>127648.86841</v>
      </c>
    </row>
    <row r="13" spans="1:4">
      <c r="C13" s="2969">
        <f ca="1">结果表!G20</f>
        <v>23417</v>
      </c>
    </row>
    <row r="14" spans="1:4">
      <c r="C14" s="2969">
        <f ca="1">C13*B1/10000</f>
        <v>37947.084581000003</v>
      </c>
    </row>
    <row r="15" spans="1:4">
      <c r="C15" s="2969">
        <f ca="1">C13*B2/10000</f>
        <v>36537.638768000004</v>
      </c>
    </row>
    <row r="17" spans="3:3">
      <c r="C17" s="3035"/>
    </row>
  </sheetData>
  <phoneticPr fontId="14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6:C57"/>
  <sheetViews>
    <sheetView workbookViewId="0">
      <selection activeCell="F27" sqref="F27"/>
    </sheetView>
  </sheetViews>
  <sheetFormatPr defaultRowHeight="13.5"/>
  <cols>
    <col min="1" max="1" width="14.75" customWidth="1"/>
    <col min="3" max="3" width="11" customWidth="1"/>
  </cols>
  <sheetData>
    <row r="26" spans="1:3">
      <c r="A26" s="2967" t="s">
        <v>3104</v>
      </c>
      <c r="B26">
        <v>200</v>
      </c>
      <c r="C26">
        <v>30000</v>
      </c>
    </row>
    <row r="27" spans="1:3">
      <c r="A27" s="2967" t="s">
        <v>3105</v>
      </c>
      <c r="B27">
        <v>75</v>
      </c>
      <c r="C27">
        <v>25000</v>
      </c>
    </row>
    <row r="28" spans="1:3">
      <c r="A28" s="2967" t="s">
        <v>3106</v>
      </c>
      <c r="B28">
        <v>65</v>
      </c>
      <c r="C28">
        <v>30000</v>
      </c>
    </row>
    <row r="55" spans="1:3">
      <c r="A55" s="2967" t="s">
        <v>3132</v>
      </c>
      <c r="B55">
        <v>54</v>
      </c>
      <c r="C55">
        <v>30700</v>
      </c>
    </row>
    <row r="56" spans="1:3">
      <c r="A56" s="2967" t="s">
        <v>3132</v>
      </c>
      <c r="B56">
        <v>167</v>
      </c>
      <c r="C56">
        <v>30000</v>
      </c>
    </row>
    <row r="57" spans="1:3">
      <c r="A57" s="2967" t="s">
        <v>3133</v>
      </c>
      <c r="B57">
        <v>143</v>
      </c>
      <c r="C57">
        <v>33000</v>
      </c>
    </row>
  </sheetData>
  <phoneticPr fontId="143" type="noConversion"/>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0"/>
  <sheetViews>
    <sheetView workbookViewId="0">
      <selection activeCell="J29" sqref="J29"/>
    </sheetView>
  </sheetViews>
  <sheetFormatPr defaultRowHeight="13.5"/>
  <cols>
    <col min="2" max="2" width="19" customWidth="1"/>
    <col min="3" max="3" width="17.5" customWidth="1"/>
    <col min="4" max="4" width="15.125" customWidth="1"/>
  </cols>
  <sheetData>
    <row r="1" spans="1:4" ht="14.25">
      <c r="A1" s="2998" t="s">
        <v>3184</v>
      </c>
      <c r="B1" s="2998" t="s">
        <v>3185</v>
      </c>
      <c r="C1" s="2998" t="s">
        <v>3186</v>
      </c>
      <c r="D1" s="2999" t="s">
        <v>3187</v>
      </c>
    </row>
    <row r="2" spans="1:4">
      <c r="A2" s="3000">
        <v>101</v>
      </c>
      <c r="B2" s="3000" t="s">
        <v>3188</v>
      </c>
      <c r="C2" s="3001" t="s">
        <v>3189</v>
      </c>
      <c r="D2" s="3002">
        <v>89.03</v>
      </c>
    </row>
    <row r="3" spans="1:4">
      <c r="A3" s="3000">
        <v>102</v>
      </c>
      <c r="B3" s="3000" t="s">
        <v>3190</v>
      </c>
      <c r="C3" s="3001" t="s">
        <v>3191</v>
      </c>
      <c r="D3" s="3002">
        <v>70.77</v>
      </c>
    </row>
    <row r="4" spans="1:4">
      <c r="A4" s="3000">
        <v>103</v>
      </c>
      <c r="B4" s="3000" t="s">
        <v>3192</v>
      </c>
      <c r="C4" s="3001" t="s">
        <v>3193</v>
      </c>
      <c r="D4" s="3002">
        <v>127.93</v>
      </c>
    </row>
    <row r="5" spans="1:4">
      <c r="A5" s="3000">
        <v>104</v>
      </c>
      <c r="B5" s="3000" t="s">
        <v>3194</v>
      </c>
      <c r="C5" s="3001" t="s">
        <v>3195</v>
      </c>
      <c r="D5" s="3002">
        <v>165.57</v>
      </c>
    </row>
    <row r="6" spans="1:4">
      <c r="A6" s="3000">
        <v>105</v>
      </c>
      <c r="B6" s="3000" t="s">
        <v>3196</v>
      </c>
      <c r="C6" s="3001" t="s">
        <v>3197</v>
      </c>
      <c r="D6" s="3002">
        <v>125.17</v>
      </c>
    </row>
    <row r="7" spans="1:4">
      <c r="A7" s="3000">
        <v>106</v>
      </c>
      <c r="B7" s="3000" t="s">
        <v>3198</v>
      </c>
      <c r="C7" s="3001" t="s">
        <v>3199</v>
      </c>
      <c r="D7" s="3002">
        <v>239.87</v>
      </c>
    </row>
    <row r="8" spans="1:4">
      <c r="A8" s="3000">
        <v>107</v>
      </c>
      <c r="B8" s="3000" t="s">
        <v>3200</v>
      </c>
      <c r="C8" s="3001" t="s">
        <v>3201</v>
      </c>
      <c r="D8" s="3002">
        <v>155.21</v>
      </c>
    </row>
    <row r="9" spans="1:4">
      <c r="A9" s="3000">
        <v>108</v>
      </c>
      <c r="B9" s="3000" t="s">
        <v>3202</v>
      </c>
      <c r="C9" s="3001" t="s">
        <v>3203</v>
      </c>
      <c r="D9" s="3002">
        <v>208.7</v>
      </c>
    </row>
    <row r="10" spans="1:4">
      <c r="A10" s="3000">
        <v>109</v>
      </c>
      <c r="B10" s="3000" t="s">
        <v>3204</v>
      </c>
      <c r="C10" s="3001" t="s">
        <v>3205</v>
      </c>
      <c r="D10" s="3002">
        <v>203.52</v>
      </c>
    </row>
    <row r="11" spans="1:4">
      <c r="A11" s="3000">
        <v>110</v>
      </c>
      <c r="B11" s="3000" t="s">
        <v>3206</v>
      </c>
      <c r="C11" s="3001" t="s">
        <v>3207</v>
      </c>
      <c r="D11" s="3002">
        <v>192.7</v>
      </c>
    </row>
    <row r="12" spans="1:4">
      <c r="A12" s="3000">
        <v>111</v>
      </c>
      <c r="B12" s="3000" t="s">
        <v>3208</v>
      </c>
      <c r="C12" s="3001" t="s">
        <v>3209</v>
      </c>
      <c r="D12" s="3002">
        <v>204.97</v>
      </c>
    </row>
    <row r="13" spans="1:4">
      <c r="A13" s="3000">
        <v>112</v>
      </c>
      <c r="B13" s="3000" t="s">
        <v>3210</v>
      </c>
      <c r="C13" s="3001" t="s">
        <v>3211</v>
      </c>
      <c r="D13" s="3002">
        <v>203.52</v>
      </c>
    </row>
    <row r="14" spans="1:4">
      <c r="A14" s="3000">
        <v>113</v>
      </c>
      <c r="B14" s="3000" t="s">
        <v>3212</v>
      </c>
      <c r="C14" s="3001" t="s">
        <v>3213</v>
      </c>
      <c r="D14" s="3002">
        <v>204.98</v>
      </c>
    </row>
    <row r="15" spans="1:4">
      <c r="A15" s="3000">
        <v>114</v>
      </c>
      <c r="B15" s="3000" t="s">
        <v>3214</v>
      </c>
      <c r="C15" s="3001" t="s">
        <v>3215</v>
      </c>
      <c r="D15" s="3002">
        <v>192.72</v>
      </c>
    </row>
    <row r="16" spans="1:4">
      <c r="A16" s="3000">
        <v>115</v>
      </c>
      <c r="B16" s="3000" t="s">
        <v>3216</v>
      </c>
      <c r="C16" s="3001" t="s">
        <v>3217</v>
      </c>
      <c r="D16" s="3002">
        <v>203.52</v>
      </c>
    </row>
    <row r="17" spans="1:4">
      <c r="A17" s="3000">
        <v>116</v>
      </c>
      <c r="B17" s="3000" t="s">
        <v>3218</v>
      </c>
      <c r="C17" s="3001" t="s">
        <v>3219</v>
      </c>
      <c r="D17" s="3002">
        <v>208.81</v>
      </c>
    </row>
    <row r="18" spans="1:4">
      <c r="A18" s="3000">
        <v>117</v>
      </c>
      <c r="B18" s="3000" t="s">
        <v>3220</v>
      </c>
      <c r="C18" s="3001" t="s">
        <v>3221</v>
      </c>
      <c r="D18" s="3002">
        <v>154.65</v>
      </c>
    </row>
    <row r="19" spans="1:4">
      <c r="A19" s="3000">
        <v>118</v>
      </c>
      <c r="B19" s="3000" t="s">
        <v>3222</v>
      </c>
      <c r="C19" s="3001" t="s">
        <v>3223</v>
      </c>
      <c r="D19" s="3002">
        <v>239.78</v>
      </c>
    </row>
    <row r="20" spans="1:4">
      <c r="A20" s="3000">
        <v>119</v>
      </c>
      <c r="B20" s="3000" t="s">
        <v>3224</v>
      </c>
      <c r="C20" s="3001" t="s">
        <v>3225</v>
      </c>
      <c r="D20" s="3002">
        <v>125.17</v>
      </c>
    </row>
    <row r="21" spans="1:4">
      <c r="A21" s="3000">
        <v>120</v>
      </c>
      <c r="B21" s="3000" t="s">
        <v>3226</v>
      </c>
      <c r="C21" s="3001" t="s">
        <v>3227</v>
      </c>
      <c r="D21" s="3002">
        <v>169.36</v>
      </c>
    </row>
    <row r="22" spans="1:4">
      <c r="A22" s="3000">
        <v>121</v>
      </c>
      <c r="B22" s="3000" t="s">
        <v>3228</v>
      </c>
      <c r="C22" s="3001" t="s">
        <v>3229</v>
      </c>
      <c r="D22" s="3002">
        <v>76.06</v>
      </c>
    </row>
    <row r="23" spans="1:4">
      <c r="A23" s="3000">
        <v>122</v>
      </c>
      <c r="B23" s="3000" t="s">
        <v>3230</v>
      </c>
      <c r="C23" s="3001" t="s">
        <v>3231</v>
      </c>
      <c r="D23" s="3002">
        <v>80.790000000000006</v>
      </c>
    </row>
    <row r="24" spans="1:4">
      <c r="A24" s="3000">
        <v>123</v>
      </c>
      <c r="B24" s="3000" t="s">
        <v>3232</v>
      </c>
      <c r="C24" s="3001" t="s">
        <v>3233</v>
      </c>
      <c r="D24" s="3002">
        <v>70.77</v>
      </c>
    </row>
    <row r="25" spans="1:4">
      <c r="A25" s="3000">
        <v>124</v>
      </c>
      <c r="B25" s="3000" t="s">
        <v>3234</v>
      </c>
      <c r="C25" s="3001" t="s">
        <v>3235</v>
      </c>
      <c r="D25" s="3002">
        <v>89.03</v>
      </c>
    </row>
    <row r="26" spans="1:4">
      <c r="A26" s="3000">
        <v>125</v>
      </c>
      <c r="B26" s="3000" t="s">
        <v>3236</v>
      </c>
      <c r="C26" s="3001" t="s">
        <v>3237</v>
      </c>
      <c r="D26" s="3002">
        <v>197.3</v>
      </c>
    </row>
    <row r="27" spans="1:4">
      <c r="A27" s="3000">
        <v>126</v>
      </c>
      <c r="B27" s="3000" t="s">
        <v>3238</v>
      </c>
      <c r="C27" s="3001" t="s">
        <v>3239</v>
      </c>
      <c r="D27" s="3002">
        <v>142.59</v>
      </c>
    </row>
    <row r="28" spans="1:4">
      <c r="A28" s="3000">
        <v>127</v>
      </c>
      <c r="B28" s="3000" t="s">
        <v>3240</v>
      </c>
      <c r="C28" s="3001" t="s">
        <v>3241</v>
      </c>
      <c r="D28" s="3002">
        <v>50.36</v>
      </c>
    </row>
    <row r="29" spans="1:4">
      <c r="A29" s="3000">
        <v>128</v>
      </c>
      <c r="B29" s="3000" t="s">
        <v>3242</v>
      </c>
      <c r="C29" s="3001" t="s">
        <v>3243</v>
      </c>
      <c r="D29" s="3002">
        <v>93.45</v>
      </c>
    </row>
    <row r="30" spans="1:4">
      <c r="A30" s="3000">
        <v>129</v>
      </c>
      <c r="B30" s="3000" t="s">
        <v>3244</v>
      </c>
      <c r="C30" s="3001" t="s">
        <v>3245</v>
      </c>
      <c r="D30" s="3002">
        <v>141.13999999999999</v>
      </c>
    </row>
    <row r="31" spans="1:4">
      <c r="A31" s="3000">
        <v>130</v>
      </c>
      <c r="B31" s="3000" t="s">
        <v>3246</v>
      </c>
      <c r="C31" s="3001" t="s">
        <v>3247</v>
      </c>
      <c r="D31" s="3002">
        <v>196.98</v>
      </c>
    </row>
    <row r="32" spans="1:4">
      <c r="A32" s="3000">
        <v>131</v>
      </c>
      <c r="B32" s="3000" t="s">
        <v>3248</v>
      </c>
      <c r="C32" s="3001" t="s">
        <v>3249</v>
      </c>
      <c r="D32" s="3002">
        <v>280.64</v>
      </c>
    </row>
    <row r="33" spans="1:4">
      <c r="A33" s="3000">
        <v>133</v>
      </c>
      <c r="B33" s="3000" t="s">
        <v>3250</v>
      </c>
      <c r="C33" s="3001" t="s">
        <v>3251</v>
      </c>
      <c r="D33" s="3002">
        <v>150.03</v>
      </c>
    </row>
    <row r="34" spans="1:4">
      <c r="A34" s="3000">
        <v>134</v>
      </c>
      <c r="B34" s="3000" t="s">
        <v>3252</v>
      </c>
      <c r="C34" s="3001" t="s">
        <v>3253</v>
      </c>
      <c r="D34" s="3002">
        <v>45.49</v>
      </c>
    </row>
    <row r="35" spans="1:4">
      <c r="A35" s="3000">
        <v>135</v>
      </c>
      <c r="B35" s="3000" t="s">
        <v>3254</v>
      </c>
      <c r="C35" s="3001" t="s">
        <v>3255</v>
      </c>
      <c r="D35" s="3002">
        <v>214.99</v>
      </c>
    </row>
    <row r="36" spans="1:4">
      <c r="A36" s="3000">
        <v>136</v>
      </c>
      <c r="B36" s="3000" t="s">
        <v>3256</v>
      </c>
      <c r="C36" s="3001" t="s">
        <v>3257</v>
      </c>
      <c r="D36" s="3002">
        <v>284.02</v>
      </c>
    </row>
    <row r="37" spans="1:4">
      <c r="A37" s="3000">
        <v>137</v>
      </c>
      <c r="B37" s="3000" t="s">
        <v>3258</v>
      </c>
      <c r="C37" s="3001" t="s">
        <v>3259</v>
      </c>
      <c r="D37" s="3002">
        <v>232.59</v>
      </c>
    </row>
    <row r="38" spans="1:4">
      <c r="A38" s="3000">
        <v>138</v>
      </c>
      <c r="B38" s="3000" t="s">
        <v>3260</v>
      </c>
      <c r="C38" s="3001" t="s">
        <v>3261</v>
      </c>
      <c r="D38" s="3002">
        <v>122.53</v>
      </c>
    </row>
    <row r="39" spans="1:4">
      <c r="A39" s="3000">
        <v>139</v>
      </c>
      <c r="B39" s="3000" t="s">
        <v>3262</v>
      </c>
      <c r="C39" s="3001" t="s">
        <v>3263</v>
      </c>
      <c r="D39" s="3002">
        <v>50.37</v>
      </c>
    </row>
    <row r="40" spans="1:4">
      <c r="A40" s="3000">
        <v>140</v>
      </c>
      <c r="B40" s="3000" t="s">
        <v>3264</v>
      </c>
      <c r="C40" s="3001" t="s">
        <v>3265</v>
      </c>
      <c r="D40" s="3002">
        <v>126.94</v>
      </c>
    </row>
    <row r="41" spans="1:4">
      <c r="A41" s="3000">
        <v>141</v>
      </c>
      <c r="B41" s="3000" t="s">
        <v>3266</v>
      </c>
      <c r="C41" s="3001" t="s">
        <v>3267</v>
      </c>
      <c r="D41" s="3002">
        <v>182.17</v>
      </c>
    </row>
    <row r="42" spans="1:4">
      <c r="A42" s="3000">
        <v>201</v>
      </c>
      <c r="B42" s="3000" t="s">
        <v>3268</v>
      </c>
      <c r="C42" s="3000" t="s">
        <v>3268</v>
      </c>
      <c r="D42" s="3002">
        <v>156.65</v>
      </c>
    </row>
    <row r="43" spans="1:4">
      <c r="A43" s="3000">
        <v>202</v>
      </c>
      <c r="B43" s="3000" t="s">
        <v>3269</v>
      </c>
      <c r="C43" s="3000" t="s">
        <v>3269</v>
      </c>
      <c r="D43" s="3002">
        <v>156.65</v>
      </c>
    </row>
    <row r="44" spans="1:4">
      <c r="A44" s="3000">
        <v>203</v>
      </c>
      <c r="B44" s="3000" t="s">
        <v>3270</v>
      </c>
      <c r="C44" s="3000" t="s">
        <v>3270</v>
      </c>
      <c r="D44" s="3002">
        <v>510.13</v>
      </c>
    </row>
    <row r="45" spans="1:4">
      <c r="A45" s="3000">
        <v>204</v>
      </c>
      <c r="B45" s="3000" t="s">
        <v>3271</v>
      </c>
      <c r="C45" s="3000" t="s">
        <v>3271</v>
      </c>
      <c r="D45" s="3002">
        <v>394.88</v>
      </c>
    </row>
    <row r="46" spans="1:4">
      <c r="A46" s="3000">
        <v>205</v>
      </c>
      <c r="B46" s="3000" t="s">
        <v>3272</v>
      </c>
      <c r="C46" s="3000" t="s">
        <v>3272</v>
      </c>
      <c r="D46" s="3002">
        <v>235.88</v>
      </c>
    </row>
    <row r="47" spans="1:4">
      <c r="A47" s="3000">
        <v>206</v>
      </c>
      <c r="B47" s="3000" t="s">
        <v>3273</v>
      </c>
      <c r="C47" s="3000" t="s">
        <v>3273</v>
      </c>
      <c r="D47" s="3002">
        <v>282.67</v>
      </c>
    </row>
    <row r="48" spans="1:4">
      <c r="A48" s="3000">
        <v>207</v>
      </c>
      <c r="B48" s="3000" t="s">
        <v>3274</v>
      </c>
      <c r="C48" s="3000" t="s">
        <v>3274</v>
      </c>
      <c r="D48" s="3002">
        <v>534.03</v>
      </c>
    </row>
    <row r="49" spans="1:4">
      <c r="A49" s="3000">
        <v>208</v>
      </c>
      <c r="B49" s="3000" t="s">
        <v>3275</v>
      </c>
      <c r="C49" s="3000" t="s">
        <v>3275</v>
      </c>
      <c r="D49" s="3002">
        <v>342.36</v>
      </c>
    </row>
    <row r="50" spans="1:4">
      <c r="A50" s="3000">
        <v>209</v>
      </c>
      <c r="B50" s="3000" t="s">
        <v>3276</v>
      </c>
      <c r="C50" s="3000" t="s">
        <v>3276</v>
      </c>
      <c r="D50" s="3002">
        <v>316.57</v>
      </c>
    </row>
    <row r="51" spans="1:4">
      <c r="A51" s="3000">
        <v>210</v>
      </c>
      <c r="B51" s="3000" t="s">
        <v>3277</v>
      </c>
      <c r="C51" s="3000" t="s">
        <v>3277</v>
      </c>
      <c r="D51" s="3002">
        <v>341.2</v>
      </c>
    </row>
    <row r="52" spans="1:4">
      <c r="A52" s="3000">
        <v>211</v>
      </c>
      <c r="B52" s="3000" t="s">
        <v>3278</v>
      </c>
      <c r="C52" s="3000" t="s">
        <v>3278</v>
      </c>
      <c r="D52" s="3002">
        <v>535.38</v>
      </c>
    </row>
    <row r="53" spans="1:4">
      <c r="A53" s="3000">
        <v>212</v>
      </c>
      <c r="B53" s="3000" t="s">
        <v>3279</v>
      </c>
      <c r="C53" s="3000" t="s">
        <v>3279</v>
      </c>
      <c r="D53" s="3002">
        <v>282.67</v>
      </c>
    </row>
    <row r="54" spans="1:4">
      <c r="A54" s="3000">
        <v>213</v>
      </c>
      <c r="B54" s="3000" t="s">
        <v>3280</v>
      </c>
      <c r="C54" s="3000" t="s">
        <v>3280</v>
      </c>
      <c r="D54" s="3002">
        <v>235.22</v>
      </c>
    </row>
    <row r="55" spans="1:4">
      <c r="A55" s="3000">
        <v>214</v>
      </c>
      <c r="B55" s="3000" t="s">
        <v>3281</v>
      </c>
      <c r="C55" s="3000" t="s">
        <v>3281</v>
      </c>
      <c r="D55" s="3002">
        <v>415.69</v>
      </c>
    </row>
    <row r="56" spans="1:4">
      <c r="A56" s="3000">
        <v>215</v>
      </c>
      <c r="B56" s="3000" t="s">
        <v>3282</v>
      </c>
      <c r="C56" s="3000" t="s">
        <v>3282</v>
      </c>
      <c r="D56" s="3002">
        <v>487.52</v>
      </c>
    </row>
    <row r="57" spans="1:4">
      <c r="A57" s="3000">
        <v>216</v>
      </c>
      <c r="B57" s="3000" t="s">
        <v>3283</v>
      </c>
      <c r="C57" s="3000" t="s">
        <v>3283</v>
      </c>
      <c r="D57" s="3002">
        <v>156.65</v>
      </c>
    </row>
    <row r="58" spans="1:4">
      <c r="A58" s="3000">
        <v>217</v>
      </c>
      <c r="B58" s="3000" t="s">
        <v>3284</v>
      </c>
      <c r="C58" s="3000" t="s">
        <v>3284</v>
      </c>
      <c r="D58" s="3002">
        <v>156.61000000000001</v>
      </c>
    </row>
    <row r="59" spans="1:4">
      <c r="A59" s="3000">
        <v>219</v>
      </c>
      <c r="B59" s="3000" t="s">
        <v>3285</v>
      </c>
      <c r="C59" s="3000" t="s">
        <v>3285</v>
      </c>
      <c r="D59" s="3002">
        <v>163.11000000000001</v>
      </c>
    </row>
    <row r="60" spans="1:4">
      <c r="A60" s="3000">
        <v>221</v>
      </c>
      <c r="B60" s="3000" t="s">
        <v>3286</v>
      </c>
      <c r="C60" s="3000" t="s">
        <v>3286</v>
      </c>
      <c r="D60" s="3002">
        <v>220.6</v>
      </c>
    </row>
    <row r="61" spans="1:4">
      <c r="A61" s="3000">
        <v>224</v>
      </c>
      <c r="B61" s="3000" t="s">
        <v>3287</v>
      </c>
      <c r="C61" s="3000" t="s">
        <v>3287</v>
      </c>
      <c r="D61" s="3002">
        <v>220.6</v>
      </c>
    </row>
    <row r="62" spans="1:4">
      <c r="A62" s="3000">
        <v>225</v>
      </c>
      <c r="B62" s="3000" t="s">
        <v>3288</v>
      </c>
      <c r="C62" s="3000" t="s">
        <v>3288</v>
      </c>
      <c r="D62" s="3002">
        <v>213.77</v>
      </c>
    </row>
    <row r="63" spans="1:4">
      <c r="A63" s="3000">
        <v>226</v>
      </c>
      <c r="B63" s="3000" t="s">
        <v>3289</v>
      </c>
      <c r="C63" s="3000" t="s">
        <v>3289</v>
      </c>
      <c r="D63" s="3002">
        <v>340.2</v>
      </c>
    </row>
    <row r="64" spans="1:4">
      <c r="A64" s="3000">
        <v>301</v>
      </c>
      <c r="B64" s="3000" t="s">
        <v>3290</v>
      </c>
      <c r="C64" s="3000" t="s">
        <v>3290</v>
      </c>
      <c r="D64" s="3002">
        <v>161.58000000000001</v>
      </c>
    </row>
    <row r="65" spans="1:4">
      <c r="A65" s="3000">
        <v>302</v>
      </c>
      <c r="B65" s="3000" t="s">
        <v>3291</v>
      </c>
      <c r="C65" s="3000" t="s">
        <v>3291</v>
      </c>
      <c r="D65" s="3002">
        <v>153.21</v>
      </c>
    </row>
    <row r="66" spans="1:4">
      <c r="A66" s="3000">
        <v>303</v>
      </c>
      <c r="B66" s="3000" t="s">
        <v>3292</v>
      </c>
      <c r="C66" s="3000" t="s">
        <v>3292</v>
      </c>
      <c r="D66" s="3002">
        <v>504.86</v>
      </c>
    </row>
    <row r="67" spans="1:4">
      <c r="A67" s="3000">
        <v>304</v>
      </c>
      <c r="B67" s="3000" t="s">
        <v>3293</v>
      </c>
      <c r="C67" s="3000" t="s">
        <v>3293</v>
      </c>
      <c r="D67" s="3002">
        <v>364.5</v>
      </c>
    </row>
    <row r="68" spans="1:4">
      <c r="A68" s="3000">
        <v>305</v>
      </c>
      <c r="B68" s="3000" t="s">
        <v>3294</v>
      </c>
      <c r="C68" s="3000" t="s">
        <v>3294</v>
      </c>
      <c r="D68" s="3002">
        <v>336.18</v>
      </c>
    </row>
    <row r="69" spans="1:4">
      <c r="A69" s="3000">
        <v>306</v>
      </c>
      <c r="B69" s="3000" t="s">
        <v>3295</v>
      </c>
      <c r="C69" s="3000" t="s">
        <v>3295</v>
      </c>
      <c r="D69" s="3002">
        <v>278.88</v>
      </c>
    </row>
    <row r="70" spans="1:4">
      <c r="A70" s="3000">
        <v>307</v>
      </c>
      <c r="B70" s="3000" t="s">
        <v>3296</v>
      </c>
      <c r="C70" s="3000" t="s">
        <v>3296</v>
      </c>
      <c r="D70" s="3002">
        <v>527.08000000000004</v>
      </c>
    </row>
    <row r="71" spans="1:4">
      <c r="A71" s="3000">
        <v>308</v>
      </c>
      <c r="B71" s="3000" t="s">
        <v>3297</v>
      </c>
      <c r="C71" s="3000" t="s">
        <v>3297</v>
      </c>
      <c r="D71" s="3002">
        <v>336.43</v>
      </c>
    </row>
    <row r="72" spans="1:4">
      <c r="A72" s="3000">
        <v>309</v>
      </c>
      <c r="B72" s="3000" t="s">
        <v>3298</v>
      </c>
      <c r="C72" s="3000" t="s">
        <v>3298</v>
      </c>
      <c r="D72" s="3002">
        <v>312.64999999999998</v>
      </c>
    </row>
    <row r="73" spans="1:4">
      <c r="A73" s="3000">
        <v>310</v>
      </c>
      <c r="B73" s="3000" t="s">
        <v>3299</v>
      </c>
      <c r="C73" s="3000" t="s">
        <v>3299</v>
      </c>
      <c r="D73" s="3002">
        <v>336.98</v>
      </c>
    </row>
    <row r="74" spans="1:4">
      <c r="A74" s="3000">
        <v>311</v>
      </c>
      <c r="B74" s="3000" t="s">
        <v>3300</v>
      </c>
      <c r="C74" s="3000" t="s">
        <v>3300</v>
      </c>
      <c r="D74" s="3002">
        <v>527.08000000000004</v>
      </c>
    </row>
    <row r="75" spans="1:4">
      <c r="A75" s="3000">
        <v>312</v>
      </c>
      <c r="B75" s="3000" t="s">
        <v>3301</v>
      </c>
      <c r="C75" s="3000" t="s">
        <v>3301</v>
      </c>
      <c r="D75" s="3002">
        <v>278.88</v>
      </c>
    </row>
    <row r="76" spans="1:4">
      <c r="A76" s="3000">
        <v>313</v>
      </c>
      <c r="B76" s="3000" t="s">
        <v>3302</v>
      </c>
      <c r="C76" s="3000" t="s">
        <v>3302</v>
      </c>
      <c r="D76" s="3002">
        <v>336.18</v>
      </c>
    </row>
    <row r="77" spans="1:4">
      <c r="A77" s="3000">
        <v>314</v>
      </c>
      <c r="B77" s="3000" t="s">
        <v>3303</v>
      </c>
      <c r="C77" s="3000" t="s">
        <v>3303</v>
      </c>
      <c r="D77" s="3002">
        <v>379.82</v>
      </c>
    </row>
    <row r="78" spans="1:4">
      <c r="A78" s="3000">
        <v>315</v>
      </c>
      <c r="B78" s="3000" t="s">
        <v>3304</v>
      </c>
      <c r="C78" s="3000" t="s">
        <v>3304</v>
      </c>
      <c r="D78" s="3002">
        <v>494.63</v>
      </c>
    </row>
    <row r="79" spans="1:4">
      <c r="A79" s="3000">
        <v>316</v>
      </c>
      <c r="B79" s="3000" t="s">
        <v>3305</v>
      </c>
      <c r="C79" s="3000" t="s">
        <v>3305</v>
      </c>
      <c r="D79" s="3002">
        <v>149.58000000000001</v>
      </c>
    </row>
    <row r="80" spans="1:4">
      <c r="A80" s="3000">
        <v>317</v>
      </c>
      <c r="B80" s="3000" t="s">
        <v>3306</v>
      </c>
      <c r="C80" s="3000" t="s">
        <v>3306</v>
      </c>
      <c r="D80" s="3002">
        <v>151.56</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58" t="s">
        <v>1658</v>
      </c>
      <c r="B1" s="3058"/>
      <c r="C1" s="3058"/>
      <c r="D1" s="3058"/>
    </row>
    <row r="2" spans="1:4" ht="18">
      <c r="A2" s="3059" t="s">
        <v>1642</v>
      </c>
      <c r="B2" s="3059"/>
      <c r="C2" s="3059"/>
      <c r="D2" s="3059"/>
    </row>
    <row r="3" spans="1:4" ht="18.75">
      <c r="A3" s="1975" t="s">
        <v>1643</v>
      </c>
      <c r="B3" s="1975" t="s">
        <v>1644</v>
      </c>
      <c r="C3" s="1975" t="s">
        <v>1645</v>
      </c>
      <c r="D3" s="1975" t="s">
        <v>1646</v>
      </c>
    </row>
    <row r="4" spans="1:4" ht="56.25" customHeight="1">
      <c r="A4" s="1976" t="str">
        <f>项目基本情况!B4</f>
        <v>吴薇</v>
      </c>
      <c r="B4" s="1977">
        <f ca="1">项目基本情况!C4</f>
        <v>1419970001</v>
      </c>
      <c r="C4" s="1978"/>
      <c r="D4" s="1979" t="s">
        <v>1647</v>
      </c>
    </row>
    <row r="5" spans="1:4" ht="56.25" customHeight="1">
      <c r="A5" s="1976" t="str">
        <f>项目基本情况!D4</f>
        <v>郑燚</v>
      </c>
      <c r="B5" s="1977">
        <f ca="1">项目基本情况!E4</f>
        <v>1120070131</v>
      </c>
      <c r="C5" s="1980"/>
      <c r="D5" s="1979" t="s">
        <v>1647</v>
      </c>
    </row>
    <row r="6" spans="1:4" ht="18">
      <c r="A6" s="3059" t="s">
        <v>1648</v>
      </c>
      <c r="B6" s="3059"/>
      <c r="C6" s="3059"/>
      <c r="D6" s="3059"/>
    </row>
    <row r="7" spans="1:4" ht="18.75">
      <c r="A7" s="1975" t="s">
        <v>1643</v>
      </c>
      <c r="B7" s="1977" t="s">
        <v>1649</v>
      </c>
      <c r="C7" s="1975" t="s">
        <v>1645</v>
      </c>
      <c r="D7" s="1975" t="s">
        <v>1646</v>
      </c>
    </row>
    <row r="8" spans="1:4" ht="56.25" customHeight="1">
      <c r="A8" s="1981" t="s">
        <v>866</v>
      </c>
      <c r="B8" s="1981" t="s">
        <v>1</v>
      </c>
      <c r="C8" s="1978"/>
      <c r="D8" s="1979" t="s">
        <v>1647</v>
      </c>
    </row>
    <row r="9" spans="1:4">
      <c r="A9" s="726"/>
      <c r="B9" s="726"/>
      <c r="C9" s="726"/>
      <c r="D9" s="726"/>
    </row>
    <row r="10" spans="1:4" ht="18.75">
      <c r="A10" s="1982" t="s">
        <v>1650</v>
      </c>
      <c r="B10" s="726"/>
      <c r="C10" s="726"/>
      <c r="D10" s="726"/>
    </row>
    <row r="11" spans="1:4" ht="30" customHeight="1">
      <c r="A11" s="3060" t="s">
        <v>1651</v>
      </c>
      <c r="B11" s="3061"/>
      <c r="C11" s="3061"/>
      <c r="D11" s="3061"/>
    </row>
    <row r="12" spans="1:4" ht="15.75">
      <c r="A12" s="30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62"/>
      <c r="C12" s="3062"/>
      <c r="D12" s="3062"/>
    </row>
    <row r="13" spans="1:4" ht="30" customHeight="1">
      <c r="A13" s="3061" t="str">
        <f>IF(项目基本情况!B8="抵押","3.抵押双方在办理抵押登记手续时，应使用本公司出具的正式《房地产评估报告》，特提醒报告使用者注意。","——")</f>
        <v>——</v>
      </c>
      <c r="B13" s="3062"/>
      <c r="C13" s="3062"/>
      <c r="D13" s="3062"/>
    </row>
    <row r="14" spans="1:4" ht="15.75" customHeight="1">
      <c r="A14" s="3061" t="str">
        <f>IF(项目基本情况!B8="抵押","4.本次评估估价师所知悉的法定优先受偿款情况说明如下：","——")</f>
        <v>——</v>
      </c>
      <c r="B14" s="3062"/>
      <c r="C14" s="3062"/>
      <c r="D14" s="3062"/>
    </row>
    <row r="15" spans="1:4" ht="42" customHeight="1">
      <c r="A15" s="3061" t="str">
        <f>IF(项目基本情况!B8="抵押","（1）"&amp;CONCATENATE(项目基本情况!L20,项目基本情况!L21,项目基本情况!L22),"——")</f>
        <v>——</v>
      </c>
      <c r="B15" s="3061"/>
      <c r="C15" s="3061"/>
      <c r="D15" s="3061"/>
    </row>
    <row r="16" spans="1:4" ht="30" customHeight="1">
      <c r="A16" s="3064" t="s">
        <v>1652</v>
      </c>
      <c r="B16" s="3064"/>
      <c r="C16" s="3064"/>
      <c r="D16" s="3064"/>
    </row>
    <row r="17" spans="1:4" ht="144" customHeight="1">
      <c r="A17" s="3064" t="s">
        <v>1653</v>
      </c>
      <c r="B17" s="3064"/>
      <c r="C17" s="3064"/>
      <c r="D17" s="3064"/>
    </row>
    <row r="18" spans="1:4" ht="15.75" customHeight="1">
      <c r="A18" s="3061" t="str">
        <f>IF(项目基本情况!B8="抵押",结果表!K120,"——")</f>
        <v>——</v>
      </c>
      <c r="B18" s="3061"/>
      <c r="C18" s="3061"/>
      <c r="D18" s="3061"/>
    </row>
    <row r="19" spans="1:4" ht="46.5" customHeight="1">
      <c r="A19" s="30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61"/>
      <c r="C19" s="3061"/>
      <c r="D19" s="3061"/>
    </row>
    <row r="20" spans="1:4" ht="57.75" customHeight="1">
      <c r="A20" s="30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61"/>
      <c r="C20" s="3061"/>
      <c r="D20" s="3061"/>
    </row>
    <row r="21" spans="1:4" ht="57.75" customHeight="1">
      <c r="A21" s="30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5"/>
      <c r="C21" s="3065"/>
      <c r="D21" s="3065"/>
    </row>
    <row r="22" spans="1:4" ht="18.75" customHeight="1">
      <c r="A22" s="3066" t="s">
        <v>1654</v>
      </c>
      <c r="B22" s="3066"/>
      <c r="C22" s="3066"/>
      <c r="D22" s="3066"/>
    </row>
    <row r="23" spans="1:4">
      <c r="A23" s="1983"/>
      <c r="B23" s="1955"/>
      <c r="C23" s="1955"/>
      <c r="D23" s="1955"/>
    </row>
    <row r="24" spans="1:4">
      <c r="A24" s="1983"/>
      <c r="B24" s="1955"/>
      <c r="C24" s="1955"/>
      <c r="D24" s="1955"/>
    </row>
    <row r="25" spans="1:4" ht="18.75">
      <c r="A25" s="1984" t="s">
        <v>1655</v>
      </c>
    </row>
    <row r="26" spans="1:4" ht="18">
      <c r="A26" s="1953"/>
    </row>
    <row r="27" spans="1:4" ht="18.75">
      <c r="A27" s="1953" t="s">
        <v>1656</v>
      </c>
    </row>
    <row r="30" spans="1:4" ht="18.75">
      <c r="D30" s="1984" t="s">
        <v>1657</v>
      </c>
    </row>
    <row r="31" spans="1:4" ht="13.5" customHeight="1">
      <c r="C31" s="3063">
        <v>42551</v>
      </c>
      <c r="D31" s="306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1659</v>
      </c>
    </row>
    <row r="3" spans="1:7">
      <c r="A3" s="1989" t="s">
        <v>82</v>
      </c>
      <c r="B3" s="1973" t="s">
        <v>1660</v>
      </c>
      <c r="G3" s="1990"/>
    </row>
    <row r="4" spans="1:7">
      <c r="G4" s="1990"/>
    </row>
    <row r="5" spans="1:7">
      <c r="A5" s="1992" t="s">
        <v>73</v>
      </c>
      <c r="B5" s="1973" t="s">
        <v>1661</v>
      </c>
      <c r="G5" s="1990"/>
    </row>
    <row r="6" spans="1:7">
      <c r="G6" s="1990"/>
    </row>
    <row r="7" spans="1:7">
      <c r="A7" s="1993" t="s">
        <v>135</v>
      </c>
      <c r="B7" s="1973" t="s">
        <v>1662</v>
      </c>
      <c r="G7" s="1990"/>
    </row>
    <row r="8" spans="1:7">
      <c r="G8" s="1990"/>
    </row>
    <row r="9" spans="1:7">
      <c r="A9" s="1994" t="s">
        <v>74</v>
      </c>
      <c r="B9" s="1973" t="s">
        <v>1663</v>
      </c>
    </row>
    <row r="11" spans="1:7">
      <c r="A11" s="1995" t="s">
        <v>75</v>
      </c>
      <c r="B11" s="1996" t="s">
        <v>72</v>
      </c>
    </row>
    <row r="13" spans="1:7">
      <c r="A13" s="1997" t="s">
        <v>1664</v>
      </c>
    </row>
    <row r="15" spans="1:7" ht="13.5">
      <c r="A15" s="3072" t="s">
        <v>1665</v>
      </c>
      <c r="B15" s="3067" t="s">
        <v>136</v>
      </c>
      <c r="C15" s="3068"/>
    </row>
    <row r="16" spans="1:7" ht="13.5">
      <c r="A16" s="3073"/>
      <c r="B16" s="3067" t="s">
        <v>69</v>
      </c>
      <c r="C16" s="3068"/>
    </row>
    <row r="17" spans="1:3" ht="13.5">
      <c r="A17" s="3073"/>
      <c r="B17" s="3070" t="s">
        <v>1666</v>
      </c>
      <c r="C17" s="1998" t="s">
        <v>1665</v>
      </c>
    </row>
    <row r="18" spans="1:3" ht="13.5">
      <c r="A18" s="3073"/>
      <c r="B18" s="3070"/>
      <c r="C18" s="1998" t="s">
        <v>1667</v>
      </c>
    </row>
    <row r="19" spans="1:3" ht="13.5">
      <c r="A19" s="3073"/>
      <c r="B19" s="3070"/>
      <c r="C19" s="1998" t="s">
        <v>1668</v>
      </c>
    </row>
    <row r="20" spans="1:3" ht="13.5">
      <c r="A20" s="3074"/>
      <c r="B20" s="3069" t="s">
        <v>1669</v>
      </c>
      <c r="C20" s="3068"/>
    </row>
    <row r="21" spans="1:3" ht="13.5">
      <c r="A21" s="1999" t="s">
        <v>1670</v>
      </c>
      <c r="B21" s="2000"/>
      <c r="C21" s="2001"/>
    </row>
    <row r="22" spans="1:3" ht="13.5">
      <c r="A22" s="3071" t="s">
        <v>1671</v>
      </c>
      <c r="B22" s="3069" t="s">
        <v>1672</v>
      </c>
      <c r="C22" s="3068"/>
    </row>
    <row r="23" spans="1:3" ht="13.5">
      <c r="A23" s="3071"/>
      <c r="B23" s="3069" t="s">
        <v>1673</v>
      </c>
      <c r="C23" s="3068"/>
    </row>
    <row r="24" spans="1:3" ht="13.5">
      <c r="A24" s="3071"/>
      <c r="B24" s="3069" t="s">
        <v>1674</v>
      </c>
      <c r="C24" s="3068"/>
    </row>
    <row r="25" spans="1:3" ht="13.5">
      <c r="A25" s="3071"/>
      <c r="B25" s="3070" t="s">
        <v>1675</v>
      </c>
      <c r="C25" s="1998" t="s">
        <v>1676</v>
      </c>
    </row>
    <row r="26" spans="1:3" ht="13.5">
      <c r="A26" s="3071"/>
      <c r="B26" s="3070"/>
      <c r="C26" s="1998" t="s">
        <v>1677</v>
      </c>
    </row>
    <row r="27" spans="1:3" ht="13.5">
      <c r="A27" s="3071"/>
      <c r="B27" s="3070"/>
      <c r="C27" s="1998" t="s">
        <v>1678</v>
      </c>
    </row>
    <row r="28" spans="1:3" ht="13.5">
      <c r="A28" s="3071"/>
      <c r="B28" s="3070"/>
      <c r="C28" s="1998" t="s">
        <v>1679</v>
      </c>
    </row>
    <row r="29" spans="1:3" ht="13.5">
      <c r="A29" s="3071"/>
      <c r="B29" s="3070"/>
      <c r="C29" s="1998" t="s">
        <v>1680</v>
      </c>
    </row>
    <row r="30" spans="1:3" ht="13.5">
      <c r="A30" s="3071"/>
      <c r="B30" s="3070"/>
      <c r="C30" s="1998" t="s">
        <v>1681</v>
      </c>
    </row>
    <row r="31" spans="1:3" ht="13.5">
      <c r="A31" s="3071"/>
      <c r="B31" s="3070"/>
      <c r="C31" s="1998" t="s">
        <v>1682</v>
      </c>
    </row>
    <row r="32" spans="1:3" ht="13.5">
      <c r="A32" s="3071"/>
      <c r="B32" s="3070"/>
      <c r="C32" s="1998" t="s">
        <v>1683</v>
      </c>
    </row>
    <row r="33" spans="1:3" ht="13.5">
      <c r="A33" s="3071"/>
      <c r="B33" s="3070"/>
      <c r="C33" s="1998" t="s">
        <v>1684</v>
      </c>
    </row>
    <row r="34" spans="1:3">
      <c r="A34" s="2002" t="s">
        <v>76</v>
      </c>
    </row>
    <row r="37" spans="1:3">
      <c r="A37" s="2002" t="s">
        <v>1685</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43573</v>
      </c>
      <c r="C2" s="1020" t="s">
        <v>826</v>
      </c>
      <c r="D2" s="1020"/>
    </row>
    <row r="3" spans="1:6" ht="24" customHeight="1">
      <c r="A3" s="1021" t="s">
        <v>827</v>
      </c>
      <c r="B3" s="1022" t="s">
        <v>828</v>
      </c>
      <c r="C3" s="2345" t="s">
        <v>829</v>
      </c>
      <c r="D3" s="2348" t="s">
        <v>830</v>
      </c>
      <c r="E3" s="1023" t="s">
        <v>831</v>
      </c>
      <c r="F3" s="1022" t="s">
        <v>829</v>
      </c>
    </row>
    <row r="4" spans="1:6" ht="24" customHeight="1">
      <c r="A4" s="1703" t="s">
        <v>832</v>
      </c>
      <c r="B4" s="1023">
        <f ca="1">IF(C4&lt;B2,"已过期",1119970066)</f>
        <v>1119970066</v>
      </c>
      <c r="C4" s="2346">
        <v>43849</v>
      </c>
      <c r="D4" s="2349" t="s">
        <v>832</v>
      </c>
      <c r="E4" s="1023">
        <f ca="1">IF(F4&lt;B2,"已过期",96010014)</f>
        <v>96010014</v>
      </c>
      <c r="F4" s="1031">
        <v>47118</v>
      </c>
    </row>
    <row r="5" spans="1:6" ht="24" customHeight="1">
      <c r="A5" s="1703" t="s">
        <v>833</v>
      </c>
      <c r="B5" s="1023">
        <f ca="1">IF(C5&lt;B2,"已过期",1119970074)</f>
        <v>1119970074</v>
      </c>
      <c r="C5" s="2346">
        <v>43849</v>
      </c>
      <c r="D5" s="2349" t="s">
        <v>833</v>
      </c>
      <c r="E5" s="1023">
        <f ca="1">IF(F5&lt;B2,"已过期",2002110027)</f>
        <v>2002110027</v>
      </c>
      <c r="F5" s="1031">
        <v>46752</v>
      </c>
    </row>
    <row r="6" spans="1:6" ht="24" customHeight="1">
      <c r="A6" s="1703" t="s">
        <v>834</v>
      </c>
      <c r="B6" s="1023">
        <f ca="1">IF(C6&lt;B2,"已过期",1119970111)</f>
        <v>1119970111</v>
      </c>
      <c r="C6" s="2346">
        <v>43849</v>
      </c>
      <c r="D6" s="2349" t="s">
        <v>834</v>
      </c>
      <c r="E6" s="1023">
        <f ca="1">IF(F6&lt;B2,"已过期",94010078)</f>
        <v>94010078</v>
      </c>
      <c r="F6" s="1031">
        <v>46387</v>
      </c>
    </row>
    <row r="7" spans="1:6" ht="24" customHeight="1">
      <c r="A7" s="1703" t="s">
        <v>835</v>
      </c>
      <c r="B7" s="1023">
        <f ca="1">IF(C7&lt;B2,"已过期",1120050019)</f>
        <v>1120050019</v>
      </c>
      <c r="C7" s="2346">
        <v>44395</v>
      </c>
      <c r="D7" s="2349" t="s">
        <v>835</v>
      </c>
      <c r="E7" s="1023">
        <f ca="1">IF(F7&lt;B2,"已过期",2002110030)</f>
        <v>2002110030</v>
      </c>
      <c r="F7" s="1031">
        <v>46387</v>
      </c>
    </row>
    <row r="8" spans="1:6" ht="24" customHeight="1">
      <c r="A8" s="1703" t="s">
        <v>836</v>
      </c>
      <c r="B8" s="1023">
        <f ca="1">IF(C8&lt;B2,"已过期",1120000080)</f>
        <v>1120000080</v>
      </c>
      <c r="C8" s="2346">
        <v>43849</v>
      </c>
      <c r="D8" s="2349" t="s">
        <v>836</v>
      </c>
      <c r="E8" s="1023">
        <f ca="1">IF(F8&lt;B2,"已过期",2000110082)</f>
        <v>2000110082</v>
      </c>
      <c r="F8" s="1031">
        <v>46387</v>
      </c>
    </row>
    <row r="9" spans="1:6" ht="24" customHeight="1">
      <c r="A9" s="1703" t="s">
        <v>837</v>
      </c>
      <c r="B9" s="1023">
        <f ca="1">IF(C9&lt;B2,"已过期",1419970001)</f>
        <v>1419970001</v>
      </c>
      <c r="C9" s="2346">
        <v>43867</v>
      </c>
      <c r="D9" s="2349" t="s">
        <v>837</v>
      </c>
      <c r="E9" s="1023">
        <f ca="1">IF(F9&lt;B2,"已过期",2002110125)</f>
        <v>2002110125</v>
      </c>
      <c r="F9" s="1031">
        <v>47118</v>
      </c>
    </row>
    <row r="10" spans="1:6" ht="24" customHeight="1">
      <c r="A10" s="1703" t="s">
        <v>838</v>
      </c>
      <c r="B10" s="1023" t="str">
        <f ca="1">IF(C10&lt;B2,"已过期",1120060040)</f>
        <v>已过期</v>
      </c>
      <c r="C10" s="2346">
        <v>43483</v>
      </c>
      <c r="D10" s="2349" t="s">
        <v>838</v>
      </c>
      <c r="E10" s="1023">
        <f ca="1">IF(F10&lt;B2,"已过期",2004110096)</f>
        <v>2004110096</v>
      </c>
      <c r="F10" s="1031">
        <v>47118</v>
      </c>
    </row>
    <row r="11" spans="1:6" ht="24" customHeight="1">
      <c r="A11" s="1703" t="s">
        <v>839</v>
      </c>
      <c r="B11" s="1023">
        <f ca="1">IF(C11&lt;B2,"已过期",1120100036)</f>
        <v>1120100036</v>
      </c>
      <c r="C11" s="2346">
        <v>43622</v>
      </c>
      <c r="D11" s="2349" t="s">
        <v>839</v>
      </c>
      <c r="E11" s="1023">
        <f ca="1">IF(F11&lt;B2,"已过期",2010110070)</f>
        <v>2010110070</v>
      </c>
      <c r="F11" s="1031">
        <v>47907</v>
      </c>
    </row>
    <row r="12" spans="1:6" ht="24" customHeight="1">
      <c r="A12" s="1703"/>
      <c r="B12" s="1023"/>
      <c r="C12" s="2940"/>
      <c r="D12" s="1703"/>
      <c r="E12" s="1023"/>
      <c r="F12" s="1031"/>
    </row>
    <row r="13" spans="1:6" ht="24" customHeight="1">
      <c r="A13" s="1703" t="s">
        <v>840</v>
      </c>
      <c r="B13" s="1023">
        <f ca="1">IF(C13&lt;B2,"已过期",1120070131)</f>
        <v>1120070131</v>
      </c>
      <c r="C13" s="2346">
        <v>43814</v>
      </c>
      <c r="D13" s="2349" t="s">
        <v>840</v>
      </c>
      <c r="E13" s="1023">
        <f ca="1">IF(F13&lt;B2,"已过期",2014110011)</f>
        <v>2014110011</v>
      </c>
      <c r="F13" s="1031">
        <v>49302</v>
      </c>
    </row>
    <row r="14" spans="1:6" ht="24" customHeight="1">
      <c r="A14" s="1703" t="s">
        <v>3045</v>
      </c>
      <c r="B14" s="1023">
        <f ca="1">IF(C14&lt;B2,"已过期",1120040230)</f>
        <v>1120040230</v>
      </c>
      <c r="C14" s="2346">
        <v>43835</v>
      </c>
      <c r="D14" s="2349" t="s">
        <v>3045</v>
      </c>
      <c r="E14" s="1023">
        <f ca="1">IF(F14&lt;B2,"已过期",98030020)</f>
        <v>98030020</v>
      </c>
      <c r="F14" s="1031">
        <v>47118</v>
      </c>
    </row>
    <row r="15" spans="1:6" ht="24" customHeight="1">
      <c r="A15" s="1704" t="s">
        <v>3046</v>
      </c>
      <c r="B15" s="1023">
        <f ca="1">IF(C15&lt;B2,"已过期",1120070085)</f>
        <v>1120070085</v>
      </c>
      <c r="C15" s="2346">
        <v>43814</v>
      </c>
      <c r="D15" s="2350" t="s">
        <v>3046</v>
      </c>
      <c r="E15" s="1023">
        <f ca="1">IF(F15&lt;B2,"已过期",2004110128)</f>
        <v>2004110128</v>
      </c>
      <c r="F15" s="1024">
        <v>47118</v>
      </c>
    </row>
    <row r="16" spans="1:6" ht="24" customHeight="1">
      <c r="A16" s="1703" t="s">
        <v>3047</v>
      </c>
      <c r="B16" s="1023">
        <f ca="1">IF(C16&lt;B2,"已过期",1120140022)</f>
        <v>1120140022</v>
      </c>
      <c r="C16" s="2940">
        <v>44029</v>
      </c>
      <c r="D16" s="2349" t="s">
        <v>3047</v>
      </c>
      <c r="E16" s="1023">
        <f ca="1">IF(F16&lt;B2,"已过期",2008110059)</f>
        <v>2008110059</v>
      </c>
      <c r="F16" s="1031">
        <v>47177</v>
      </c>
    </row>
    <row r="17" spans="1:7" ht="24" customHeight="1">
      <c r="A17" s="1703"/>
      <c r="B17" s="1023"/>
      <c r="C17" s="2346"/>
      <c r="D17" s="2349" t="s">
        <v>3048</v>
      </c>
      <c r="E17" s="1023">
        <f ca="1">IF(F17&lt;B2,"已过期",2014110076)</f>
        <v>2014110076</v>
      </c>
      <c r="F17" s="1031">
        <v>49302</v>
      </c>
    </row>
    <row r="18" spans="1:7" ht="24" customHeight="1">
      <c r="A18" s="1703"/>
      <c r="B18" s="1023"/>
      <c r="C18" s="2346"/>
      <c r="D18" s="2349"/>
      <c r="E18" s="1023"/>
      <c r="F18" s="1031"/>
    </row>
    <row r="19" spans="1:7" ht="24" customHeight="1">
      <c r="A19" s="1703"/>
      <c r="B19" s="1023"/>
      <c r="C19" s="2346"/>
      <c r="D19" s="2349"/>
      <c r="E19" s="1023"/>
      <c r="F19" s="1023"/>
    </row>
    <row r="20" spans="1:7" ht="24" customHeight="1">
      <c r="A20" s="1703"/>
      <c r="B20" s="1023"/>
      <c r="C20" s="2346"/>
      <c r="D20" s="2349"/>
      <c r="E20" s="1023"/>
      <c r="F20" s="1023"/>
    </row>
    <row r="21" spans="1:7" ht="24" customHeight="1">
      <c r="A21" s="1703"/>
      <c r="B21" s="1023"/>
      <c r="C21" s="2346"/>
      <c r="D21" s="2349" t="s">
        <v>841</v>
      </c>
      <c r="E21" s="1023">
        <f ca="1">IF(F21&lt;B2,"已过期",2011110090)</f>
        <v>2011110090</v>
      </c>
      <c r="F21" s="1031">
        <v>48302</v>
      </c>
    </row>
    <row r="22" spans="1:7" ht="24" customHeight="1">
      <c r="A22" s="1703" t="s">
        <v>842</v>
      </c>
      <c r="B22" s="1023">
        <f ca="1">IF(C22&lt;B2,"已过期",1120020033)</f>
        <v>1120020033</v>
      </c>
      <c r="C22" s="2940">
        <v>44339</v>
      </c>
      <c r="D22" s="2349" t="s">
        <v>842</v>
      </c>
      <c r="E22" s="1023">
        <f ca="1">IF(F22&lt;B2,"已过期",2000110137)</f>
        <v>2000110137</v>
      </c>
      <c r="F22" s="1031">
        <v>46387</v>
      </c>
    </row>
    <row r="23" spans="1:7" ht="24" customHeight="1">
      <c r="A23" s="1703"/>
      <c r="B23" s="1023"/>
      <c r="C23" s="2346"/>
      <c r="D23" s="2349"/>
      <c r="E23" s="1023"/>
      <c r="F23" s="1023"/>
    </row>
    <row r="24" spans="1:7" s="1025" customFormat="1" ht="24" customHeight="1">
      <c r="A24" s="1704" t="s">
        <v>1329</v>
      </c>
      <c r="B24" s="1704" t="s">
        <v>1329</v>
      </c>
      <c r="C24" s="2347" t="s">
        <v>1329</v>
      </c>
      <c r="D24" s="2350" t="s">
        <v>1329</v>
      </c>
      <c r="E24" s="1704" t="s">
        <v>1329</v>
      </c>
      <c r="F24" s="1704" t="s">
        <v>1329</v>
      </c>
    </row>
    <row r="25" spans="1:7" ht="24" customHeight="1">
      <c r="A25" s="3075" t="s">
        <v>843</v>
      </c>
      <c r="B25" s="3075"/>
      <c r="C25" s="3075"/>
      <c r="D25" s="3075"/>
      <c r="E25" s="3075"/>
      <c r="F25" s="3075"/>
      <c r="G25" s="3075"/>
    </row>
    <row r="26" spans="1:7" s="1026" customFormat="1" ht="24" customHeight="1">
      <c r="A26" s="3076" t="s">
        <v>844</v>
      </c>
      <c r="B26" s="3076"/>
      <c r="C26" s="3077"/>
      <c r="D26" s="3078" t="s">
        <v>845</v>
      </c>
      <c r="E26" s="3076"/>
      <c r="F26" s="3076"/>
    </row>
    <row r="27" spans="1:7" s="1028" customFormat="1" ht="24" customHeight="1">
      <c r="A27" s="1027" t="s">
        <v>846</v>
      </c>
      <c r="B27" s="1022" t="s">
        <v>847</v>
      </c>
      <c r="C27" s="2345" t="s">
        <v>848</v>
      </c>
      <c r="D27" s="2353" t="s">
        <v>846</v>
      </c>
      <c r="E27" s="1022" t="s">
        <v>847</v>
      </c>
      <c r="F27" s="1022" t="s">
        <v>848</v>
      </c>
    </row>
    <row r="28" spans="1:7" s="1028" customFormat="1" ht="24" customHeight="1">
      <c r="A28" s="1029" t="s">
        <v>849</v>
      </c>
      <c r="B28" s="1030" t="s">
        <v>850</v>
      </c>
      <c r="C28" s="2351">
        <v>43725</v>
      </c>
      <c r="D28" s="2354" t="s">
        <v>851</v>
      </c>
      <c r="E28" s="1029" t="s">
        <v>852</v>
      </c>
      <c r="F28" s="1059">
        <v>44377</v>
      </c>
    </row>
    <row r="29" spans="1:7" s="1028" customFormat="1" ht="24" customHeight="1">
      <c r="A29" s="1029"/>
      <c r="B29" s="1029"/>
      <c r="C29" s="2352"/>
      <c r="D29" s="2354" t="s">
        <v>853</v>
      </c>
      <c r="E29" s="1203" t="s">
        <v>1380</v>
      </c>
      <c r="F29" s="1204">
        <v>43281</v>
      </c>
    </row>
    <row r="30" spans="1:7" ht="24" customHeight="1">
      <c r="C30" s="1032"/>
      <c r="D30" s="1032"/>
    </row>
  </sheetData>
  <sheetProtection password="C66D" sheet="1" objects="1" scenarios="1"/>
  <mergeCells count="3">
    <mergeCell ref="A25:G25"/>
    <mergeCell ref="A26:C26"/>
    <mergeCell ref="D26:F26"/>
  </mergeCells>
  <phoneticPr fontId="86" type="noConversion"/>
  <conditionalFormatting sqref="C28">
    <cfRule type="expression" dxfId="253" priority="88">
      <formula>AND($C28-TODAY()&lt;30,TODAY()&lt;$C28)</formula>
    </cfRule>
  </conditionalFormatting>
  <conditionalFormatting sqref="C28 F4">
    <cfRule type="cellIs" dxfId="252" priority="90" stopIfTrue="1" operator="lessThan">
      <formula>$B$2</formula>
    </cfRule>
  </conditionalFormatting>
  <conditionalFormatting sqref="C5">
    <cfRule type="expression" dxfId="251" priority="85">
      <formula>AND($C5-TODAY()&lt;30,TODAY()&lt;$C5)</formula>
    </cfRule>
  </conditionalFormatting>
  <conditionalFormatting sqref="C5 F5">
    <cfRule type="cellIs" dxfId="250" priority="86" stopIfTrue="1" operator="lessThan">
      <formula>$B$2</formula>
    </cfRule>
  </conditionalFormatting>
  <conditionalFormatting sqref="F6 F8 F10">
    <cfRule type="cellIs" dxfId="249" priority="84" stopIfTrue="1" operator="lessThan">
      <formula>$B$2</formula>
    </cfRule>
  </conditionalFormatting>
  <conditionalFormatting sqref="C4:C11 C13 C23 C17:C21">
    <cfRule type="expression" dxfId="248" priority="82">
      <formula>AND($C4-TODAY()&lt;30,TODAY()&lt;$C4)</formula>
    </cfRule>
  </conditionalFormatting>
  <conditionalFormatting sqref="F7 F9 F11 C4:C11 C13 C23 C17:C21">
    <cfRule type="cellIs" dxfId="247" priority="83" stopIfTrue="1" operator="lessThan">
      <formula>$B$2</formula>
    </cfRule>
  </conditionalFormatting>
  <conditionalFormatting sqref="C18">
    <cfRule type="expression" dxfId="246" priority="72">
      <formula>AND($C18-TODAY()&lt;30,TODAY()&lt;$C18)</formula>
    </cfRule>
  </conditionalFormatting>
  <conditionalFormatting sqref="C18">
    <cfRule type="cellIs" dxfId="245" priority="73" stopIfTrue="1" operator="lessThan">
      <formula>$B$2</formula>
    </cfRule>
  </conditionalFormatting>
  <conditionalFormatting sqref="C20">
    <cfRule type="expression" dxfId="244" priority="70">
      <formula>AND($C20-TODAY()&lt;30,TODAY()&lt;$C20)</formula>
    </cfRule>
  </conditionalFormatting>
  <conditionalFormatting sqref="C20">
    <cfRule type="cellIs" dxfId="243" priority="71" stopIfTrue="1" operator="lessThan">
      <formula>$B$2</formula>
    </cfRule>
  </conditionalFormatting>
  <conditionalFormatting sqref="C17">
    <cfRule type="expression" dxfId="242" priority="64">
      <formula>AND($C17-TODAY()&lt;30,TODAY()&lt;$C17)</formula>
    </cfRule>
  </conditionalFormatting>
  <conditionalFormatting sqref="C17">
    <cfRule type="cellIs" dxfId="241" priority="65" stopIfTrue="1" operator="lessThan">
      <formula>$B$2</formula>
    </cfRule>
  </conditionalFormatting>
  <conditionalFormatting sqref="C19">
    <cfRule type="expression" dxfId="240" priority="62">
      <formula>AND($C19-TODAY()&lt;30,TODAY()&lt;$C19)</formula>
    </cfRule>
  </conditionalFormatting>
  <conditionalFormatting sqref="C19">
    <cfRule type="cellIs" dxfId="239" priority="63" stopIfTrue="1" operator="lessThan">
      <formula>$B$2</formula>
    </cfRule>
  </conditionalFormatting>
  <conditionalFormatting sqref="C21">
    <cfRule type="expression" dxfId="238" priority="60">
      <formula>AND($C21-TODAY()&lt;30,TODAY()&lt;$C21)</formula>
    </cfRule>
  </conditionalFormatting>
  <conditionalFormatting sqref="C21">
    <cfRule type="cellIs" dxfId="237" priority="61" stopIfTrue="1" operator="lessThan">
      <formula>$B$2</formula>
    </cfRule>
  </conditionalFormatting>
  <conditionalFormatting sqref="C23">
    <cfRule type="expression" dxfId="236" priority="58">
      <formula>AND($C23-TODAY()&lt;30,TODAY()&lt;$C23)</formula>
    </cfRule>
  </conditionalFormatting>
  <conditionalFormatting sqref="C23">
    <cfRule type="cellIs" dxfId="235" priority="59" stopIfTrue="1" operator="lessThan">
      <formula>$B$2</formula>
    </cfRule>
  </conditionalFormatting>
  <conditionalFormatting sqref="F18">
    <cfRule type="cellIs" dxfId="234" priority="55" stopIfTrue="1" operator="lessThan">
      <formula>$B$2</formula>
    </cfRule>
  </conditionalFormatting>
  <conditionalFormatting sqref="F22">
    <cfRule type="cellIs" dxfId="233" priority="54" stopIfTrue="1" operator="lessThan">
      <formula>$B$2</formula>
    </cfRule>
  </conditionalFormatting>
  <conditionalFormatting sqref="F21">
    <cfRule type="cellIs" dxfId="232" priority="53" stopIfTrue="1" operator="lessThan">
      <formula>$B$2</formula>
    </cfRule>
  </conditionalFormatting>
  <conditionalFormatting sqref="B4:B11 E4:E11 B17:B23 E18:E23 B13 E13">
    <cfRule type="cellIs" dxfId="231" priority="51" stopIfTrue="1" operator="equal">
      <formula>"已过期"</formula>
    </cfRule>
  </conditionalFormatting>
  <conditionalFormatting sqref="A24:F24">
    <cfRule type="cellIs" dxfId="230" priority="47" stopIfTrue="1" operator="equal">
      <formula>"已过期"</formula>
    </cfRule>
  </conditionalFormatting>
  <conditionalFormatting sqref="F28">
    <cfRule type="expression" dxfId="229" priority="45">
      <formula>AND($E28-TODAY()&lt;30,TODAY()&lt;$E28)</formula>
    </cfRule>
  </conditionalFormatting>
  <conditionalFormatting sqref="F28">
    <cfRule type="cellIs" dxfId="228" priority="46" stopIfTrue="1" operator="lessThan">
      <formula>$B$2</formula>
    </cfRule>
  </conditionalFormatting>
  <conditionalFormatting sqref="F29">
    <cfRule type="expression" dxfId="227" priority="41" stopIfTrue="1">
      <formula>AND($E29-TODAY()&lt;30,TODAY()&lt;$E29)</formula>
    </cfRule>
  </conditionalFormatting>
  <conditionalFormatting sqref="F29">
    <cfRule type="cellIs" dxfId="226" priority="42" stopIfTrue="1" operator="lessThan">
      <formula>$B$2</formula>
    </cfRule>
  </conditionalFormatting>
  <conditionalFormatting sqref="F13">
    <cfRule type="cellIs" dxfId="225" priority="34" stopIfTrue="1" operator="lessThan">
      <formula>$B$2</formula>
    </cfRule>
  </conditionalFormatting>
  <conditionalFormatting sqref="C12">
    <cfRule type="expression" dxfId="224" priority="32">
      <formula>AND($C12-TODAY()&lt;30,TODAY()&lt;$C12)</formula>
    </cfRule>
  </conditionalFormatting>
  <conditionalFormatting sqref="C12">
    <cfRule type="cellIs" dxfId="223" priority="33" stopIfTrue="1" operator="lessThan">
      <formula>$B$2</formula>
    </cfRule>
  </conditionalFormatting>
  <conditionalFormatting sqref="C12">
    <cfRule type="expression" dxfId="222" priority="30">
      <formula>AND($C12-TODAY()&lt;30,TODAY()&lt;$C12)</formula>
    </cfRule>
  </conditionalFormatting>
  <conditionalFormatting sqref="C12">
    <cfRule type="cellIs" dxfId="221" priority="31" stopIfTrue="1" operator="lessThan">
      <formula>$B$2</formula>
    </cfRule>
  </conditionalFormatting>
  <conditionalFormatting sqref="B12">
    <cfRule type="cellIs" dxfId="220" priority="29" stopIfTrue="1" operator="equal">
      <formula>"已过期"</formula>
    </cfRule>
  </conditionalFormatting>
  <conditionalFormatting sqref="E12">
    <cfRule type="cellIs" dxfId="219" priority="28" stopIfTrue="1" operator="equal">
      <formula>"已过期"</formula>
    </cfRule>
  </conditionalFormatting>
  <conditionalFormatting sqref="F12">
    <cfRule type="cellIs" dxfId="218" priority="27" stopIfTrue="1" operator="lessThan">
      <formula>$B$2</formula>
    </cfRule>
  </conditionalFormatting>
  <conditionalFormatting sqref="C22">
    <cfRule type="expression" dxfId="217" priority="25">
      <formula>AND($C22-TODAY()&lt;30,TODAY()&lt;$C22)</formula>
    </cfRule>
  </conditionalFormatting>
  <conditionalFormatting sqref="C22">
    <cfRule type="cellIs" dxfId="216" priority="26" stopIfTrue="1" operator="lessThan">
      <formula>$B$2</formula>
    </cfRule>
  </conditionalFormatting>
  <conditionalFormatting sqref="C22">
    <cfRule type="expression" dxfId="215" priority="23">
      <formula>AND($C22-TODAY()&lt;30,TODAY()&lt;$C22)</formula>
    </cfRule>
  </conditionalFormatting>
  <conditionalFormatting sqref="C22">
    <cfRule type="cellIs" dxfId="214" priority="24" stopIfTrue="1" operator="lessThan">
      <formula>$B$2</formula>
    </cfRule>
  </conditionalFormatting>
  <conditionalFormatting sqref="C16">
    <cfRule type="expression" dxfId="213" priority="21">
      <formula>AND($C16-TODAY()&lt;30,TODAY()&lt;$C16)</formula>
    </cfRule>
  </conditionalFormatting>
  <conditionalFormatting sqref="C16">
    <cfRule type="cellIs" dxfId="212" priority="22" stopIfTrue="1" operator="lessThan">
      <formula>$B$2</formula>
    </cfRule>
  </conditionalFormatting>
  <conditionalFormatting sqref="C16">
    <cfRule type="expression" dxfId="211" priority="19">
      <formula>AND($C16-TODAY()&lt;30,TODAY()&lt;$C16)</formula>
    </cfRule>
  </conditionalFormatting>
  <conditionalFormatting sqref="C16">
    <cfRule type="cellIs" dxfId="210" priority="20" stopIfTrue="1" operator="lessThan">
      <formula>$B$2</formula>
    </cfRule>
  </conditionalFormatting>
  <conditionalFormatting sqref="B16">
    <cfRule type="cellIs" dxfId="209" priority="18" stopIfTrue="1" operator="equal">
      <formula>"已过期"</formula>
    </cfRule>
  </conditionalFormatting>
  <conditionalFormatting sqref="C14:C15">
    <cfRule type="expression" dxfId="208" priority="16">
      <formula>AND($C14-TODAY()&lt;30,TODAY()&lt;$C14)</formula>
    </cfRule>
  </conditionalFormatting>
  <conditionalFormatting sqref="C14:C15">
    <cfRule type="cellIs" dxfId="207" priority="17" stopIfTrue="1" operator="lessThan">
      <formula>$B$2</formula>
    </cfRule>
  </conditionalFormatting>
  <conditionalFormatting sqref="C14">
    <cfRule type="expression" dxfId="206" priority="14">
      <formula>AND($C14-TODAY()&lt;30,TODAY()&lt;$C14)</formula>
    </cfRule>
  </conditionalFormatting>
  <conditionalFormatting sqref="C14">
    <cfRule type="cellIs" dxfId="205" priority="15" stopIfTrue="1" operator="lessThan">
      <formula>$B$2</formula>
    </cfRule>
  </conditionalFormatting>
  <conditionalFormatting sqref="C15">
    <cfRule type="expression" dxfId="204" priority="12">
      <formula>AND($C15-TODAY()&lt;30,TODAY()&lt;$C15)</formula>
    </cfRule>
  </conditionalFormatting>
  <conditionalFormatting sqref="C15">
    <cfRule type="cellIs" dxfId="203" priority="13" stopIfTrue="1" operator="lessThan">
      <formula>$B$2</formula>
    </cfRule>
  </conditionalFormatting>
  <conditionalFormatting sqref="B14">
    <cfRule type="cellIs" dxfId="202" priority="11" stopIfTrue="1" operator="equal">
      <formula>"已过期"</formula>
    </cfRule>
  </conditionalFormatting>
  <conditionalFormatting sqref="B15">
    <cfRule type="cellIs" dxfId="201" priority="10" stopIfTrue="1" operator="equal">
      <formula>"已过期"</formula>
    </cfRule>
  </conditionalFormatting>
  <conditionalFormatting sqref="A15">
    <cfRule type="cellIs" dxfId="200" priority="9" stopIfTrue="1" operator="equal">
      <formula>"已过期"</formula>
    </cfRule>
  </conditionalFormatting>
  <conditionalFormatting sqref="C15">
    <cfRule type="expression" dxfId="199" priority="8">
      <formula>AND($C15-TODAY()&lt;30,TODAY()&lt;$C15)</formula>
    </cfRule>
  </conditionalFormatting>
  <conditionalFormatting sqref="F16">
    <cfRule type="cellIs" dxfId="198" priority="7" stopIfTrue="1" operator="lessThan">
      <formula>$B$2</formula>
    </cfRule>
  </conditionalFormatting>
  <conditionalFormatting sqref="E16 E14">
    <cfRule type="cellIs" dxfId="197" priority="6" stopIfTrue="1" operator="equal">
      <formula>"已过期"</formula>
    </cfRule>
  </conditionalFormatting>
  <conditionalFormatting sqref="E15">
    <cfRule type="cellIs" dxfId="196" priority="5" stopIfTrue="1" operator="equal">
      <formula>"已过期"</formula>
    </cfRule>
  </conditionalFormatting>
  <conditionalFormatting sqref="D15">
    <cfRule type="cellIs" dxfId="195" priority="4" stopIfTrue="1" operator="equal">
      <formula>"已过期"</formula>
    </cfRule>
  </conditionalFormatting>
  <conditionalFormatting sqref="F17">
    <cfRule type="cellIs" dxfId="194" priority="3" stopIfTrue="1" operator="lessThan">
      <formula>$B$2</formula>
    </cfRule>
  </conditionalFormatting>
  <conditionalFormatting sqref="E17">
    <cfRule type="cellIs" dxfId="193" priority="2" stopIfTrue="1" operator="equal">
      <formula>"已过期"</formula>
    </cfRule>
  </conditionalFormatting>
  <conditionalFormatting sqref="F14">
    <cfRule type="cellIs" dxfId="19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149</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结果表-商业</vt:lpstr>
      <vt:lpstr>结果表-公寓</vt:lpstr>
      <vt:lpstr>比较法-商业</vt:lpstr>
      <vt:lpstr>典型户型修正</vt:lpstr>
      <vt:lpstr>收益法-商业</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收益法</vt:lpstr>
      <vt:lpstr>成本法（废）</vt:lpstr>
      <vt:lpstr>区片价</vt:lpstr>
      <vt:lpstr>因素修正幅度</vt:lpstr>
      <vt:lpstr>存贷款利率</vt:lpstr>
      <vt:lpstr>区片价（范围）</vt:lpstr>
      <vt:lpstr>比较法-公寓</vt:lpstr>
      <vt:lpstr>收益法-公寓</vt:lpstr>
      <vt:lpstr>面积</vt:lpstr>
      <vt:lpstr>Sheet3</vt:lpstr>
      <vt:lpstr>商业面积</vt:lpstr>
      <vt:lpstr>估价师及机构信息!Print_Area</vt:lpstr>
      <vt:lpstr>收益法!Print_Area</vt:lpstr>
      <vt:lpstr>'收益法 (元)'!Print_Area</vt:lpstr>
      <vt:lpstr>'收益法-公寓'!Print_Area</vt:lpstr>
      <vt:lpstr>'收益法-商业'!Print_Area</vt:lpstr>
      <vt:lpstr>'数据-汇总表'!Print_Area</vt:lpstr>
      <vt:lpstr>八级</vt:lpstr>
      <vt:lpstr>'比较法-公寓'!办公层高</vt:lpstr>
      <vt:lpstr>办公层高</vt:lpstr>
      <vt:lpstr>'比较法-公寓'!办公朝向</vt:lpstr>
      <vt:lpstr>办公朝向</vt:lpstr>
      <vt:lpstr>'比较法-公寓'!办公道路级别</vt:lpstr>
      <vt:lpstr>办公道路级别</vt:lpstr>
      <vt:lpstr>'比较法-公寓'!办公公共部分装修</vt:lpstr>
      <vt:lpstr>办公公共部分装修</vt:lpstr>
      <vt:lpstr>'比较法-公寓'!办公基础设施水平</vt:lpstr>
      <vt:lpstr>办公基础设施水平</vt:lpstr>
      <vt:lpstr>办公集聚程度</vt:lpstr>
      <vt:lpstr>'比较法-公寓'!办公建筑结构</vt:lpstr>
      <vt:lpstr>办公建筑结构</vt:lpstr>
      <vt:lpstr>'比较法-公寓'!办公建筑类型</vt:lpstr>
      <vt:lpstr>办公建筑类型</vt:lpstr>
      <vt:lpstr>'比较法-公寓'!办公交易情况</vt:lpstr>
      <vt:lpstr>办公交易情况</vt:lpstr>
      <vt:lpstr>'比较法-公寓'!办公楼层</vt:lpstr>
      <vt:lpstr>办公楼层</vt:lpstr>
      <vt:lpstr>'比较法-公寓'!办公内部装修</vt:lpstr>
      <vt:lpstr>办公内部装修</vt:lpstr>
      <vt:lpstr>'比较法-公寓'!办公物业管理</vt:lpstr>
      <vt:lpstr>办公物业管理</vt:lpstr>
      <vt:lpstr>'比较法-公寓'!办公用途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'比较法-公寓'!写字楼等级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2019-04-18T05:24:35Z</dcterms:modified>
</cp:coreProperties>
</file>