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21"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8" i="12" l="1"/>
  <c r="F6" i="12"/>
  <c r="C38" i="39"/>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F22" i="6" s="1"/>
  <c r="M15" i="3"/>
  <c r="I15" i="3"/>
  <c r="Q14" i="3"/>
  <c r="U14" i="3"/>
  <c r="M14" i="3"/>
  <c r="I14" i="3"/>
  <c r="U13" i="3"/>
  <c r="S13" i="3"/>
  <c r="G24" i="6" s="1"/>
  <c r="E57" i="39" s="1"/>
  <c r="Q13" i="3"/>
  <c r="F23" i="6" s="1"/>
  <c r="M13" i="3"/>
  <c r="I13" i="3"/>
  <c r="F21" i="6" l="1"/>
  <c r="F19" i="6"/>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8" i="76"/>
  <c r="E10" i="76"/>
  <c r="B9" i="76"/>
  <c r="B11" i="76"/>
  <c r="B7" i="76"/>
  <c r="B13" i="76"/>
  <c r="E11" i="76"/>
  <c r="E12" i="76"/>
  <c r="E13" i="76"/>
  <c r="E7" i="76"/>
  <c r="B12" i="76"/>
  <c r="B10"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D5" i="73"/>
  <c r="F5" i="73"/>
  <c r="F4" i="73"/>
  <c r="I1" i="73" l="1"/>
  <c r="B39" i="1" s="1"/>
  <c r="D3" i="73"/>
  <c r="D6" i="73"/>
  <c r="D7"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3" i="1"/>
  <c r="AE11" i="1"/>
  <c r="AE10"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6" i="15"/>
  <c r="F42" i="15"/>
  <c r="M29" i="15"/>
  <c r="M8" i="15"/>
  <c r="F38" i="15"/>
  <c r="F40" i="15"/>
  <c r="M26" i="67"/>
  <c r="F8" i="67"/>
  <c r="F43" i="81"/>
  <c r="M6" i="15"/>
  <c r="L47" i="67"/>
  <c r="F43" i="15"/>
  <c r="F43" i="67"/>
  <c r="M9" i="15"/>
  <c r="J15" i="15"/>
  <c r="F26" i="15"/>
  <c r="C76" i="67"/>
  <c r="M9" i="67"/>
  <c r="F36" i="67"/>
  <c r="M6" i="67"/>
  <c r="M24" i="67"/>
  <c r="F40" i="67"/>
  <c r="M28" i="67"/>
  <c r="M22" i="67"/>
  <c r="M23" i="15"/>
  <c r="F38" i="67"/>
  <c r="C76" i="15"/>
  <c r="F42" i="67"/>
  <c r="F7" i="81"/>
  <c r="F9" i="15"/>
  <c r="M24" i="15"/>
  <c r="L47" i="15"/>
  <c r="F7" i="67"/>
  <c r="M8" i="67"/>
  <c r="F36" i="15"/>
  <c r="M23" i="67"/>
  <c r="L48" i="15"/>
  <c r="F37" i="15"/>
  <c r="F37" i="67"/>
  <c r="F13" i="15"/>
  <c r="F6" i="15"/>
  <c r="L48" i="67"/>
  <c r="J15" i="67"/>
  <c r="F6" i="67"/>
  <c r="M29" i="67"/>
  <c r="F26" i="67"/>
  <c r="F8" i="15"/>
  <c r="M22" i="15"/>
  <c r="G1" i="73"/>
  <c r="F13" i="67"/>
  <c r="F9" i="67"/>
  <c r="F16" i="67"/>
  <c r="M29" i="81"/>
  <c r="M28" i="15"/>
  <c r="F16" i="15"/>
  <c r="F7" i="15"/>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1" i="6"/>
  <c r="B16" i="79" s="1"/>
  <c r="B17" i="79" s="1"/>
  <c r="A3" i="3" s="1"/>
  <c r="E388" i="3" s="1"/>
  <c r="K24" i="6"/>
  <c r="K14" i="1"/>
  <c r="M14" i="1" s="1"/>
  <c r="O14" i="1" s="1"/>
  <c r="P14" i="1" s="1"/>
  <c r="BL5" i="3"/>
  <c r="C19" i="43"/>
  <c r="J59" i="9"/>
  <c r="J61" i="9" s="1"/>
  <c r="K21" i="6"/>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K22" i="6"/>
  <c r="K19" i="6"/>
  <c r="S6" i="1" s="1"/>
  <c r="AQ6" i="1" s="1"/>
  <c r="K25" i="6"/>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M19" i="6"/>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C76" i="81"/>
  <c r="F42" i="81"/>
  <c r="F13" i="81"/>
  <c r="F9" i="81"/>
  <c r="M27" i="81"/>
  <c r="F38" i="81"/>
  <c r="M22" i="80"/>
  <c r="M27" i="80"/>
  <c r="F42" i="80"/>
  <c r="F9" i="80"/>
  <c r="M8" i="80"/>
  <c r="M24" i="80"/>
  <c r="F7" i="80"/>
  <c r="F43" i="82"/>
  <c r="C76" i="82"/>
  <c r="F36" i="82"/>
  <c r="L48" i="82"/>
  <c r="F37" i="82"/>
  <c r="M24" i="82"/>
  <c r="F36" i="81"/>
  <c r="M8" i="81"/>
  <c r="J15" i="81"/>
  <c r="M28" i="80"/>
  <c r="M9" i="80"/>
  <c r="F37" i="80"/>
  <c r="M29" i="80"/>
  <c r="M29" i="82"/>
  <c r="F40" i="82"/>
  <c r="F7" i="82"/>
  <c r="C17" i="15"/>
  <c r="C16" i="67"/>
  <c r="M28" i="81"/>
  <c r="M26" i="81"/>
  <c r="M9" i="81"/>
  <c r="M22" i="81"/>
  <c r="M23" i="81"/>
  <c r="L48" i="81"/>
  <c r="F38" i="80"/>
  <c r="F40" i="80"/>
  <c r="M6" i="80"/>
  <c r="M26" i="80"/>
  <c r="F16" i="80"/>
  <c r="L48" i="80"/>
  <c r="F16" i="82"/>
  <c r="F26" i="82"/>
  <c r="F9" i="82"/>
  <c r="M23" i="82"/>
  <c r="M22" i="82"/>
  <c r="M9" i="82"/>
  <c r="F38" i="82"/>
  <c r="F37" i="81"/>
  <c r="F40" i="81"/>
  <c r="M6" i="81"/>
  <c r="F26" i="81"/>
  <c r="F16" i="81"/>
  <c r="F8" i="81"/>
  <c r="C76" i="80"/>
  <c r="J15" i="80"/>
  <c r="F6" i="80"/>
  <c r="F36" i="80"/>
  <c r="F13" i="80"/>
  <c r="F8" i="80"/>
  <c r="F43" i="80"/>
  <c r="M28" i="82"/>
  <c r="J15" i="82"/>
  <c r="M26" i="82"/>
  <c r="F6" i="82"/>
  <c r="F8" i="82"/>
  <c r="L47" i="82"/>
  <c r="M27" i="82"/>
  <c r="F13" i="82"/>
  <c r="M24" i="81"/>
  <c r="F6" i="81"/>
  <c r="L47" i="81"/>
  <c r="F26" i="80"/>
  <c r="M23" i="80"/>
  <c r="L47" i="80"/>
  <c r="F42" i="82"/>
  <c r="M6" i="82"/>
  <c r="M8" i="82"/>
  <c r="C16" i="15"/>
  <c r="F50" i="82" l="1"/>
  <c r="M7" i="82"/>
  <c r="N59" i="82"/>
  <c r="L58" i="82"/>
  <c r="M59" i="82"/>
  <c r="L59" i="82" s="1"/>
  <c r="F51" i="82"/>
  <c r="C49" i="82" s="1"/>
  <c r="C48" i="82" s="1"/>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H6" i="3" s="1"/>
  <c r="E514" i="3"/>
  <c r="E533" i="3"/>
  <c r="E358" i="3"/>
  <c r="E390" i="3"/>
  <c r="E311" i="3"/>
  <c r="E270" i="3"/>
  <c r="E128" i="3"/>
  <c r="E293" i="3"/>
  <c r="E165" i="3"/>
  <c r="E124" i="3"/>
  <c r="E205" i="3"/>
  <c r="E246" i="3"/>
  <c r="E227" i="3"/>
  <c r="E280" i="3"/>
  <c r="E352" i="3"/>
  <c r="E336" i="3"/>
  <c r="E461" i="3"/>
  <c r="E399" i="3"/>
  <c r="E510" i="3"/>
  <c r="X6" i="3"/>
  <c r="E567" i="3"/>
  <c r="E555" i="3"/>
  <c r="O6" i="3"/>
  <c r="I4" i="6"/>
  <c r="G3" i="43" s="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151" i="3"/>
  <c r="E97" i="3"/>
  <c r="E201" i="3"/>
  <c r="E143" i="3"/>
  <c r="E229" i="3"/>
  <c r="E285" i="3"/>
  <c r="E247" i="3"/>
  <c r="E337" i="3"/>
  <c r="E396" i="3"/>
  <c r="E359" i="3"/>
  <c r="E431" i="3"/>
  <c r="E410" i="3"/>
  <c r="E569" i="3"/>
  <c r="E574" i="3"/>
  <c r="E579" i="3"/>
  <c r="E516" i="3"/>
  <c r="E509" i="3"/>
  <c r="E239" i="3"/>
  <c r="AY6" i="3"/>
  <c r="AY87" i="3" s="1"/>
  <c r="C24" i="82"/>
  <c r="E57" i="40"/>
  <c r="E62" i="39"/>
  <c r="E66" i="39" s="1"/>
  <c r="J6" i="81"/>
  <c r="J10" i="81"/>
  <c r="O12" i="1"/>
  <c r="P12" i="1" s="1"/>
  <c r="C49" i="81"/>
  <c r="C48" i="81" s="1"/>
  <c r="F24" i="80"/>
  <c r="F24" i="81"/>
  <c r="C24" i="80"/>
  <c r="O10" i="1"/>
  <c r="P10" i="1" s="1"/>
  <c r="M26" i="6"/>
  <c r="I26" i="6" s="1"/>
  <c r="S26" i="6" s="1"/>
  <c r="S13" i="1"/>
  <c r="E13" i="70" s="1"/>
  <c r="AQ7" i="1"/>
  <c r="M25" i="6"/>
  <c r="I25" i="6" s="1"/>
  <c r="S25" i="6" s="1"/>
  <c r="S12" i="1"/>
  <c r="M22" i="6"/>
  <c r="I22" i="6" s="1"/>
  <c r="S22" i="6" s="1"/>
  <c r="S9" i="1"/>
  <c r="E9" i="70" s="1"/>
  <c r="M21" i="6"/>
  <c r="I21" i="6" s="1"/>
  <c r="S21" i="6" s="1"/>
  <c r="S8" i="1"/>
  <c r="M23" i="6"/>
  <c r="I23" i="6" s="1"/>
  <c r="S23" i="6" s="1"/>
  <c r="S10" i="1"/>
  <c r="E10" i="70" s="1"/>
  <c r="M24" i="6"/>
  <c r="I24" i="6" s="1"/>
  <c r="S24" i="6" s="1"/>
  <c r="S11" i="1"/>
  <c r="E11" i="70" s="1"/>
  <c r="S5" i="43"/>
  <c r="T5" i="43" s="1"/>
  <c r="V5" i="43" s="1"/>
  <c r="S4" i="43"/>
  <c r="T4" i="43" s="1"/>
  <c r="V4" i="43" s="1"/>
  <c r="S3" i="43"/>
  <c r="T3" i="43" s="1"/>
  <c r="V3" i="43" s="1"/>
  <c r="S2" i="43"/>
  <c r="T2" i="43" s="1"/>
  <c r="V2" i="43"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AC6" i="3"/>
  <c r="C5" i="15"/>
  <c r="C32" i="15" s="1"/>
  <c r="E6" i="6"/>
  <c r="D19" i="11"/>
  <c r="C19" i="11" s="1"/>
  <c r="C20"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59" i="82"/>
  <c r="M17" i="80"/>
  <c r="M17" i="82"/>
  <c r="F59" i="81"/>
  <c r="F59" i="80"/>
  <c r="C16" i="81"/>
  <c r="C17" i="80"/>
  <c r="C16" i="82"/>
  <c r="C16" i="80"/>
  <c r="C17" i="81"/>
  <c r="C17" i="82"/>
  <c r="J10" i="80" l="1"/>
  <c r="C5" i="81"/>
  <c r="C32" i="81" s="1"/>
  <c r="J5" i="80"/>
  <c r="C5" i="80"/>
  <c r="C32" i="80" s="1"/>
  <c r="F22" i="43"/>
  <c r="D101" i="43"/>
  <c r="AD11" i="43"/>
  <c r="AD13" i="43" s="1"/>
  <c r="AA11" i="43"/>
  <c r="AA13" i="43" s="1"/>
  <c r="N104" i="46"/>
  <c r="G22" i="43"/>
  <c r="AI11" i="43"/>
  <c r="AI13" i="43" s="1"/>
  <c r="AE11" i="43"/>
  <c r="AE13" i="43" s="1"/>
  <c r="AH11" i="43"/>
  <c r="AH13" i="43" s="1"/>
  <c r="L101" i="43"/>
  <c r="AC11" i="43"/>
  <c r="AC13" i="43" s="1"/>
  <c r="Z7" i="43"/>
  <c r="AF11" i="43"/>
  <c r="AF13" i="43" s="1"/>
  <c r="E101" i="43"/>
  <c r="H101" i="43"/>
  <c r="C101" i="43"/>
  <c r="E22" i="43"/>
  <c r="J101" i="43"/>
  <c r="N101" i="43"/>
  <c r="Z11" i="43"/>
  <c r="Z13" i="43" s="1"/>
  <c r="I101" i="43"/>
  <c r="Y11" i="43"/>
  <c r="Y13" i="43" s="1"/>
  <c r="AG11" i="43"/>
  <c r="AG13" i="43" s="1"/>
  <c r="AB11" i="43"/>
  <c r="AB13" i="43" s="1"/>
  <c r="AJ11" i="43"/>
  <c r="AJ13" i="43" s="1"/>
  <c r="M101" i="43"/>
  <c r="H22" i="43"/>
  <c r="F101" i="43"/>
  <c r="B113" i="43"/>
  <c r="G101" i="43"/>
  <c r="K101" i="43"/>
  <c r="Q52" i="81"/>
  <c r="F1" i="81"/>
  <c r="Q66" i="81"/>
  <c r="Q57" i="81"/>
  <c r="Q57" i="80"/>
  <c r="Q66" i="80"/>
  <c r="Q52" i="82"/>
  <c r="F1" i="82"/>
  <c r="Q66" i="82"/>
  <c r="Q57" i="82"/>
  <c r="Q73" i="81"/>
  <c r="Q60" i="81"/>
  <c r="C49" i="80"/>
  <c r="C48" i="80" s="1"/>
  <c r="Q61" i="80"/>
  <c r="Q74" i="80"/>
  <c r="C60" i="82"/>
  <c r="C66" i="82"/>
  <c r="Q60" i="82"/>
  <c r="Q73" i="82"/>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C23" i="43"/>
  <c r="C21" i="43" s="1"/>
  <c r="C29" i="43" s="1"/>
  <c r="E29" i="43" s="1"/>
  <c r="S6" i="43"/>
  <c r="T6" i="43" s="1"/>
  <c r="V6" i="43" s="1"/>
  <c r="S7" i="43"/>
  <c r="T7" i="43" s="1"/>
  <c r="V7" i="43" s="1"/>
  <c r="F1" i="80"/>
  <c r="Q52" i="80"/>
  <c r="Q61" i="81"/>
  <c r="Q74" i="81"/>
  <c r="Q60" i="80"/>
  <c r="Q73" i="80"/>
  <c r="J10" i="82"/>
  <c r="J5" i="82" s="1"/>
  <c r="C5" i="82"/>
  <c r="Q61" i="82"/>
  <c r="Q74" i="82"/>
  <c r="O16" i="1"/>
  <c r="M27" i="6"/>
  <c r="J5" i="81"/>
  <c r="J18" i="81" s="1"/>
  <c r="E8" i="70"/>
  <c r="E12" i="70"/>
  <c r="J24" i="80"/>
  <c r="J26" i="80"/>
  <c r="J18" i="80"/>
  <c r="J26" i="81"/>
  <c r="C66" i="81"/>
  <c r="C60" i="81"/>
  <c r="C24" i="81"/>
  <c r="AR13" i="1"/>
  <c r="AQ13" i="1"/>
  <c r="T13" i="1"/>
  <c r="AQ11" i="1"/>
  <c r="T11" i="1"/>
  <c r="AR11" i="1"/>
  <c r="AQ10" i="1"/>
  <c r="AR10" i="1"/>
  <c r="T10" i="1"/>
  <c r="AQ8" i="1"/>
  <c r="AR8" i="1"/>
  <c r="T8" i="1"/>
  <c r="AR9" i="1"/>
  <c r="AQ9" i="1"/>
  <c r="T9" i="1"/>
  <c r="AR12" i="1"/>
  <c r="T12" i="1"/>
  <c r="AQ12" i="1"/>
  <c r="Q61" i="15"/>
  <c r="E37" i="43"/>
  <c r="AA7" i="36"/>
  <c r="R36" i="36" s="1"/>
  <c r="E36" i="36" s="1"/>
  <c r="E40" i="36" s="1"/>
  <c r="F40" i="36" s="1"/>
  <c r="AC11" i="37"/>
  <c r="W11" i="37"/>
  <c r="AB7" i="37"/>
  <c r="T42" i="37" s="1"/>
  <c r="G42" i="37" s="1"/>
  <c r="G46" i="37" s="1"/>
  <c r="H46" i="37" s="1"/>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2"/>
  <c r="AE12" i="1"/>
  <c r="C14" i="81"/>
  <c r="C14" i="80"/>
  <c r="AE9" i="1"/>
  <c r="C38" i="80" l="1"/>
  <c r="C38" i="81"/>
  <c r="C18" i="82"/>
  <c r="C15" i="82"/>
  <c r="C60" i="80"/>
  <c r="C66" i="80"/>
  <c r="C103" i="43"/>
  <c r="C109" i="43"/>
  <c r="C107" i="43"/>
  <c r="C104" i="43"/>
  <c r="C105" i="43"/>
  <c r="C106" i="43"/>
  <c r="C102" i="43"/>
  <c r="L109" i="43"/>
  <c r="L102" i="43"/>
  <c r="L105" i="43"/>
  <c r="L104" i="43"/>
  <c r="L106" i="43"/>
  <c r="L107" i="43"/>
  <c r="L103" i="43"/>
  <c r="C32" i="82"/>
  <c r="C38" i="82"/>
  <c r="G105" i="43"/>
  <c r="G104" i="43"/>
  <c r="G103" i="43"/>
  <c r="G102" i="43"/>
  <c r="G107" i="43"/>
  <c r="G106" i="43"/>
  <c r="G109" i="43"/>
  <c r="F103" i="43"/>
  <c r="F104" i="43"/>
  <c r="F105" i="43"/>
  <c r="F107" i="43"/>
  <c r="F102" i="43"/>
  <c r="F106" i="43"/>
  <c r="F109" i="43"/>
  <c r="M109" i="43"/>
  <c r="M104" i="43"/>
  <c r="M107" i="43"/>
  <c r="M105" i="43"/>
  <c r="M102" i="43"/>
  <c r="M106" i="43"/>
  <c r="M103" i="43"/>
  <c r="J104" i="43"/>
  <c r="J107" i="43"/>
  <c r="J106" i="43"/>
  <c r="J105" i="43"/>
  <c r="J103" i="43"/>
  <c r="J102" i="43"/>
  <c r="J109" i="43"/>
  <c r="E104" i="43"/>
  <c r="E107" i="43"/>
  <c r="E105" i="43"/>
  <c r="E109" i="43"/>
  <c r="E102" i="43"/>
  <c r="E106" i="43"/>
  <c r="E103" i="43"/>
  <c r="D109" i="43"/>
  <c r="D103" i="43"/>
  <c r="D104" i="43"/>
  <c r="D107" i="43"/>
  <c r="D105" i="43"/>
  <c r="D106" i="43"/>
  <c r="D102" i="43"/>
  <c r="J24" i="82"/>
  <c r="J26" i="82"/>
  <c r="J18" i="82"/>
  <c r="K102" i="43"/>
  <c r="K107" i="43"/>
  <c r="K106" i="43"/>
  <c r="K103" i="43"/>
  <c r="K105" i="43"/>
  <c r="K104" i="43"/>
  <c r="K109" i="43"/>
  <c r="B118" i="43"/>
  <c r="C118" i="43" s="1"/>
  <c r="D116" i="43"/>
  <c r="E116" i="43" s="1"/>
  <c r="F116" i="43" s="1"/>
  <c r="G116" i="43" s="1"/>
  <c r="H116" i="43" s="1"/>
  <c r="G118" i="43"/>
  <c r="H118" i="43" s="1"/>
  <c r="B115" i="43"/>
  <c r="C115" i="43" s="1"/>
  <c r="I117" i="43"/>
  <c r="J117" i="43" s="1"/>
  <c r="K117" i="43" s="1"/>
  <c r="L117" i="43" s="1"/>
  <c r="M117" i="43" s="1"/>
  <c r="I118" i="43"/>
  <c r="J118" i="43" s="1"/>
  <c r="K118" i="43" s="1"/>
  <c r="L118" i="43" s="1"/>
  <c r="M118" i="43" s="1"/>
  <c r="D115" i="43"/>
  <c r="E115" i="43" s="1"/>
  <c r="F115" i="43" s="1"/>
  <c r="G115" i="43" s="1"/>
  <c r="H115" i="43" s="1"/>
  <c r="I115" i="43"/>
  <c r="J115" i="43" s="1"/>
  <c r="K115" i="43" s="1"/>
  <c r="L115" i="43" s="1"/>
  <c r="M115" i="43" s="1"/>
  <c r="I116" i="43"/>
  <c r="J116" i="43" s="1"/>
  <c r="K116" i="43" s="1"/>
  <c r="L116" i="43" s="1"/>
  <c r="M116" i="43" s="1"/>
  <c r="D118" i="43"/>
  <c r="E118" i="43" s="1"/>
  <c r="F118" i="43" s="1"/>
  <c r="B117" i="43"/>
  <c r="C117" i="43" s="1"/>
  <c r="B116" i="43"/>
  <c r="C116" i="43" s="1"/>
  <c r="D117" i="43"/>
  <c r="E117" i="43" s="1"/>
  <c r="F117" i="43" s="1"/>
  <c r="G117" i="43" s="1"/>
  <c r="H117" i="43" s="1"/>
  <c r="I109" i="43"/>
  <c r="I102" i="43"/>
  <c r="I106" i="43"/>
  <c r="I103" i="43"/>
  <c r="I104" i="43"/>
  <c r="I107" i="43"/>
  <c r="I105" i="43"/>
  <c r="N103" i="43"/>
  <c r="N104" i="43"/>
  <c r="N105" i="43"/>
  <c r="N102" i="43"/>
  <c r="N106" i="43"/>
  <c r="N109" i="43"/>
  <c r="N107" i="43"/>
  <c r="D22" i="43"/>
  <c r="H107" i="43"/>
  <c r="H106" i="43"/>
  <c r="H105" i="43"/>
  <c r="H102" i="43"/>
  <c r="H103" i="43"/>
  <c r="H104" i="43"/>
  <c r="H109" i="43"/>
  <c r="J24" i="81"/>
  <c r="C18" i="81"/>
  <c r="C15" i="81"/>
  <c r="C15" i="80"/>
  <c r="C18" i="80"/>
  <c r="AA7" i="34"/>
  <c r="R20" i="6"/>
  <c r="R7" i="1" s="1"/>
  <c r="C36" i="11"/>
  <c r="J24" i="67"/>
  <c r="J18" i="67"/>
  <c r="J24" i="15"/>
  <c r="J18" i="15"/>
  <c r="G36" i="36"/>
  <c r="R37" i="36"/>
  <c r="AB7" i="34"/>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F35" i="81"/>
  <c r="M21" i="82"/>
  <c r="F35" i="82"/>
  <c r="M21" i="81"/>
  <c r="E6" i="76"/>
  <c r="C19" i="82" l="1"/>
  <c r="D113" i="43"/>
  <c r="J22" i="43" s="1"/>
  <c r="C20" i="82"/>
  <c r="C26" i="82" s="1"/>
  <c r="F63" i="82"/>
  <c r="C62" i="82" s="1"/>
  <c r="C34" i="82"/>
  <c r="J20" i="82"/>
  <c r="C19" i="80"/>
  <c r="C19" i="81"/>
  <c r="C20" i="81" s="1"/>
  <c r="C20" i="80"/>
  <c r="C26" i="80" s="1"/>
  <c r="J20" i="81"/>
  <c r="F63" i="81"/>
  <c r="C62" i="81" s="1"/>
  <c r="C34" i="81"/>
  <c r="R13" i="1"/>
  <c r="D31" i="6"/>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80"/>
  <c r="F35" i="15"/>
  <c r="F35" i="80"/>
  <c r="M21" i="67"/>
  <c r="B6" i="76"/>
  <c r="M21" i="15"/>
  <c r="F35" i="67"/>
  <c r="C23" i="82" l="1"/>
  <c r="C29" i="82" s="1"/>
  <c r="C26" i="81"/>
  <c r="C23" i="81"/>
  <c r="C23" i="80"/>
  <c r="C29" i="80" s="1"/>
  <c r="F63" i="80"/>
  <c r="C62" i="80" s="1"/>
  <c r="C34" i="80"/>
  <c r="J20" i="80"/>
  <c r="C11" i="39"/>
  <c r="F11" i="39" s="1"/>
  <c r="C11" i="33"/>
  <c r="C11" i="34"/>
  <c r="I5" i="6"/>
  <c r="B2" i="76"/>
  <c r="B3" i="76" s="1"/>
  <c r="B3" i="43"/>
  <c r="C49" i="21"/>
  <c r="F63" i="67"/>
  <c r="C62" i="67" s="1"/>
  <c r="C34" i="67"/>
  <c r="J20" i="67"/>
  <c r="C24" i="68"/>
  <c r="J20" i="15"/>
  <c r="F63" i="15"/>
  <c r="C62" i="15" s="1"/>
  <c r="C34" i="15"/>
  <c r="R16" i="1"/>
  <c r="C22" i="12"/>
  <c r="C33" i="68"/>
  <c r="I63" i="40"/>
  <c r="H65" i="40"/>
  <c r="C39" i="11"/>
  <c r="C43" i="11" s="1"/>
  <c r="C41" i="11" s="1"/>
  <c r="I70" i="39"/>
  <c r="C57" i="82" l="1"/>
  <c r="C33" i="82"/>
  <c r="C31" i="82" s="1"/>
  <c r="C13" i="82"/>
  <c r="J14" i="82"/>
  <c r="Q49" i="82"/>
  <c r="J19" i="82"/>
  <c r="J17" i="82" s="1"/>
  <c r="C36" i="82"/>
  <c r="J11" i="39"/>
  <c r="W11" i="39" s="1"/>
  <c r="C29" i="81"/>
  <c r="C57" i="81" s="1"/>
  <c r="C64" i="81" s="1"/>
  <c r="H11" i="39"/>
  <c r="U11" i="39" s="1"/>
  <c r="C57" i="80"/>
  <c r="J19" i="80"/>
  <c r="J17" i="80" s="1"/>
  <c r="C13" i="80"/>
  <c r="C33" i="80"/>
  <c r="C31" i="80" s="1"/>
  <c r="C36" i="80"/>
  <c r="J14" i="80"/>
  <c r="Q49" i="80"/>
  <c r="F11" i="33"/>
  <c r="J11" i="33"/>
  <c r="H11" i="33"/>
  <c r="F11" i="34"/>
  <c r="H11" i="34"/>
  <c r="J11" i="34"/>
  <c r="AC11" i="39"/>
  <c r="AA11" i="39"/>
  <c r="S11" i="39"/>
  <c r="C39" i="68"/>
  <c r="C43" i="68" s="1"/>
  <c r="C42" i="68"/>
  <c r="J63" i="40"/>
  <c r="I65" i="40"/>
  <c r="C46" i="11"/>
  <c r="C45" i="11" s="1"/>
  <c r="C49" i="11" s="1"/>
  <c r="C51" i="11" s="1"/>
  <c r="C52" i="11" s="1"/>
  <c r="B2" i="11" s="1"/>
  <c r="B3" i="11" s="1"/>
  <c r="J70" i="39"/>
  <c r="J22" i="82" l="1"/>
  <c r="J13" i="82"/>
  <c r="J23" i="82" s="1"/>
  <c r="C75" i="82"/>
  <c r="C56" i="82"/>
  <c r="C65" i="82" s="1"/>
  <c r="C37" i="82"/>
  <c r="C30" i="82" s="1"/>
  <c r="C39" i="82" s="1"/>
  <c r="Q70" i="82"/>
  <c r="C61" i="82"/>
  <c r="C59" i="82" s="1"/>
  <c r="C64" i="82"/>
  <c r="C61" i="81"/>
  <c r="C59" i="81" s="1"/>
  <c r="C36" i="81"/>
  <c r="C13" i="81"/>
  <c r="Q49" i="81"/>
  <c r="J19" i="81"/>
  <c r="J17" i="81" s="1"/>
  <c r="J14" i="81"/>
  <c r="C33" i="81"/>
  <c r="C31" i="81" s="1"/>
  <c r="AB11" i="39"/>
  <c r="C75" i="81"/>
  <c r="J22" i="80"/>
  <c r="J13" i="80"/>
  <c r="J23" i="80" s="1"/>
  <c r="Q70" i="80"/>
  <c r="C56" i="80"/>
  <c r="C65" i="80" s="1"/>
  <c r="C75" i="80"/>
  <c r="C37" i="80"/>
  <c r="C30" i="80" s="1"/>
  <c r="C39" i="80" s="1"/>
  <c r="C61" i="80"/>
  <c r="C59" i="80" s="1"/>
  <c r="C64" i="80"/>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L51" i="80"/>
  <c r="C58" i="82" l="1"/>
  <c r="C67" i="82" s="1"/>
  <c r="J16" i="82"/>
  <c r="J25" i="82" s="1"/>
  <c r="Q69" i="82"/>
  <c r="Q68" i="82" s="1"/>
  <c r="C80" i="82"/>
  <c r="C79" i="82" s="1"/>
  <c r="Q70" i="81"/>
  <c r="C37" i="81"/>
  <c r="C30" i="81" s="1"/>
  <c r="C39" i="81" s="1"/>
  <c r="C56" i="81"/>
  <c r="C65" i="81" s="1"/>
  <c r="C58" i="81" s="1"/>
  <c r="C67" i="81" s="1"/>
  <c r="J13" i="81"/>
  <c r="J23" i="81" s="1"/>
  <c r="J22" i="81"/>
  <c r="J16" i="80"/>
  <c r="J25" i="80" s="1"/>
  <c r="Q67" i="80"/>
  <c r="Q69" i="80"/>
  <c r="Q68" i="80" s="1"/>
  <c r="C58" i="80"/>
  <c r="C67" i="80" s="1"/>
  <c r="C80" i="80"/>
  <c r="C79" i="80" s="1"/>
  <c r="E49" i="34"/>
  <c r="I54" i="34" s="1"/>
  <c r="J54" i="34" s="1"/>
  <c r="R50" i="34"/>
  <c r="G53" i="34"/>
  <c r="H53" i="34" s="1"/>
  <c r="G54" i="34"/>
  <c r="H54" i="34" s="1"/>
  <c r="I53" i="34"/>
  <c r="J53" i="34" s="1"/>
  <c r="C49" i="68"/>
  <c r="C51" i="68" s="1"/>
  <c r="L63" i="40"/>
  <c r="K65" i="40"/>
  <c r="L70" i="39"/>
  <c r="E2" i="70"/>
  <c r="C34" i="69"/>
  <c r="L51" i="81"/>
  <c r="L51" i="82"/>
  <c r="C17" i="67"/>
  <c r="Q67" i="82" l="1"/>
  <c r="Q67" i="81"/>
  <c r="C80" i="81"/>
  <c r="C79" i="81" s="1"/>
  <c r="Q69" i="81"/>
  <c r="Q68" i="81" s="1"/>
  <c r="J16" i="81"/>
  <c r="J25" i="81" s="1"/>
  <c r="C49" i="34"/>
  <c r="C50" i="34"/>
  <c r="E54" i="34"/>
  <c r="F54" i="34" s="1"/>
  <c r="E53" i="34"/>
  <c r="F53"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2"/>
  <c r="F41" i="81"/>
  <c r="M27" i="67"/>
  <c r="F41" i="80"/>
  <c r="F41" i="67"/>
  <c r="M27" i="15"/>
  <c r="F41" i="15"/>
  <c r="J29" i="82" l="1"/>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Q65" i="81"/>
  <c r="Q75" i="81" s="1"/>
  <c r="Q47" i="80"/>
  <c r="Q53" i="80" s="1"/>
  <c r="Q65" i="80"/>
  <c r="Q75" i="80" s="1"/>
  <c r="Q47" i="81"/>
  <c r="Q53" i="81" s="1"/>
  <c r="C83" i="80"/>
  <c r="C82" i="80" s="1"/>
  <c r="Q56" i="80"/>
  <c r="Q62" i="80" s="1"/>
  <c r="C46" i="81"/>
  <c r="C83" i="81"/>
  <c r="C82" i="81" s="1"/>
  <c r="Q56" i="81"/>
  <c r="Q62" i="81" s="1"/>
  <c r="B2" i="81"/>
  <c r="B3" i="81" s="1"/>
  <c r="C46" i="80"/>
  <c r="B3" i="80"/>
  <c r="D6" i="12" s="1"/>
  <c r="E6" i="12" s="1"/>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E2" i="69"/>
  <c r="AO6" i="1"/>
  <c r="AO9" i="1"/>
  <c r="AO8" i="1"/>
  <c r="AO7" i="1"/>
  <c r="B9" i="70" l="1"/>
  <c r="B12" i="70"/>
  <c r="B3" i="15"/>
  <c r="B8" i="70"/>
  <c r="B7" i="70"/>
  <c r="B6" i="70"/>
  <c r="C46" i="15"/>
  <c r="B2" i="69"/>
  <c r="B3" i="69" s="1"/>
  <c r="B3" i="67"/>
  <c r="D2" i="33"/>
  <c r="D2" i="35"/>
  <c r="F20" i="31"/>
  <c r="E2" i="68"/>
  <c r="D2" i="36"/>
  <c r="D2" i="21"/>
  <c r="D2" i="34"/>
  <c r="D2" i="37"/>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G6" i="12" l="1"/>
  <c r="G8" i="12" s="1"/>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C102" i="9"/>
  <c r="C103" i="9"/>
  <c r="AD3" i="71" l="1"/>
  <c r="P21" i="43" s="1"/>
  <c r="P22" i="43" l="1"/>
  <c r="P23" i="43"/>
  <c r="B71" i="39" s="1"/>
  <c r="P24" i="43"/>
  <c r="B66" i="40" s="1"/>
  <c r="P25" i="43"/>
  <c r="H6" i="12" l="1"/>
  <c r="H8" i="12" s="1"/>
  <c r="C6" i="12" l="1"/>
  <c r="C8" i="12" s="1"/>
  <c r="C4" i="12" s="1"/>
  <c r="C31" i="12" l="1"/>
  <c r="C23" i="12"/>
  <c r="C27" i="12" l="1"/>
  <c r="C25" i="12" s="1"/>
  <c r="C30" i="12"/>
  <c r="C28" i="12" s="1"/>
  <c r="C32" i="12" l="1"/>
  <c r="B2" i="12" s="1"/>
  <c r="B3" i="12" s="1"/>
  <c r="D19" i="9"/>
  <c r="D20" i="9"/>
  <c r="D21" i="9" l="1"/>
  <c r="G19" i="9"/>
  <c r="D102" i="9"/>
  <c r="D22" i="9"/>
  <c r="D103" i="9"/>
  <c r="G20" i="9"/>
  <c r="C32" i="9"/>
  <c r="G21" i="9"/>
  <c r="H118" i="9" l="1"/>
  <c r="C35" i="9"/>
  <c r="F118" i="9" s="1"/>
  <c r="C34" i="9" l="1"/>
  <c r="D118" i="9" s="1"/>
  <c r="D4" i="52" s="1"/>
  <c r="B47" i="72" s="1"/>
  <c r="F119" i="9"/>
  <c r="F5" i="52" s="1"/>
  <c r="B53" i="72" s="1"/>
  <c r="G118" i="9"/>
  <c r="G4" i="52" s="1"/>
  <c r="B52" i="72" s="1"/>
  <c r="F4" i="52"/>
  <c r="B51" i="72" s="1"/>
  <c r="D119" i="9"/>
  <c r="D5" i="52" s="1"/>
  <c r="B49" i="72" s="1"/>
  <c r="H101" i="9"/>
  <c r="H4" i="52"/>
  <c r="D14" i="74"/>
  <c r="C104" i="9"/>
  <c r="H119" i="9"/>
  <c r="H5" i="52" s="1"/>
  <c r="I118" i="9"/>
  <c r="E14" i="74" l="1"/>
  <c r="B5" i="74"/>
  <c r="F14" i="74"/>
  <c r="H107" i="9"/>
  <c r="M48" i="9"/>
  <c r="D45" i="9"/>
  <c r="D5" i="53"/>
  <c r="C105" i="9"/>
  <c r="I4" i="52"/>
  <c r="E118" i="9"/>
  <c r="E4" i="52" s="1"/>
  <c r="B48" i="72" s="1"/>
  <c r="H102" i="9"/>
  <c r="D7" i="53" s="1"/>
  <c r="B21" i="72" s="1"/>
  <c r="C93" i="9" l="1"/>
  <c r="C86" i="9" s="1"/>
  <c r="C72" i="9"/>
  <c r="D52" i="9"/>
  <c r="D55" i="9"/>
  <c r="M53" i="9" s="1"/>
  <c r="D53" i="9"/>
  <c r="C78" i="9"/>
  <c r="C73" i="9" s="1"/>
  <c r="C64" i="9"/>
  <c r="C63" i="9" s="1"/>
  <c r="C67" i="9" s="1"/>
  <c r="C68" i="9" s="1"/>
  <c r="D54" i="9" s="1"/>
  <c r="C85" i="9"/>
  <c r="H108" i="9"/>
  <c r="D15" i="53" s="1"/>
  <c r="B31" i="72" s="1"/>
  <c r="D13" i="53"/>
  <c r="D122" i="9"/>
  <c r="C5" i="74"/>
  <c r="D5" i="74"/>
  <c r="D6" i="53"/>
  <c r="B22" i="72" s="1"/>
  <c r="B20" i="72"/>
  <c r="C95" i="9" l="1"/>
  <c r="C96" i="9" s="1"/>
  <c r="B30" i="72"/>
  <c r="D14" i="53"/>
  <c r="B32" i="72" s="1"/>
  <c r="C79" i="9"/>
  <c r="D8" i="52"/>
  <c r="G14" i="74"/>
  <c r="B6" i="74" s="1"/>
  <c r="D123" i="9"/>
  <c r="D9" i="52" s="1"/>
  <c r="E96" i="9" l="1"/>
  <c r="E97" i="9" s="1"/>
  <c r="C97" i="9"/>
  <c r="D58" i="9" s="1"/>
  <c r="D56" i="9" s="1"/>
  <c r="M54" i="9" s="1"/>
  <c r="N57" i="9" s="1"/>
  <c r="N59" i="9" s="1"/>
  <c r="C6" i="74"/>
  <c r="D6" i="74"/>
  <c r="C80" i="9"/>
  <c r="E80" i="9" s="1"/>
  <c r="E81" i="9" s="1"/>
  <c r="N58" i="9" l="1"/>
  <c r="P57"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<sst xmlns="http://schemas.openxmlformats.org/spreadsheetml/2006/main" count="10569" uniqueCount="3637">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</sst>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21077</v>
          </cell>
          <cell r="F6">
            <v>38814</v>
          </cell>
          <cell r="H6">
            <v>4492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191600</v>
      </c>
    </row>
    <row r="21" spans="1:2" s="1585" customFormat="1">
      <c r="A21" s="1583" t="s">
        <v>1235</v>
      </c>
      <c r="B21" s="1584">
        <f ca="1">'预评函-2'!D7</f>
        <v>18527</v>
      </c>
    </row>
    <row r="22" spans="1:2" s="1585" customFormat="1">
      <c r="A22" s="1583" t="s">
        <v>1236</v>
      </c>
      <c r="B22" s="1584" t="str">
        <f ca="1">'预评函-2'!D6</f>
        <v>壹拾玖亿壹仟陆佰万元整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191600</v>
      </c>
    </row>
    <row r="31" spans="1:2" s="1585" customFormat="1">
      <c r="A31" s="1583" t="s">
        <v>1274</v>
      </c>
      <c r="B31" s="1584">
        <f ca="1">'预评函-2'!D15</f>
        <v>18527</v>
      </c>
    </row>
    <row r="32" spans="1:2" s="1585" customFormat="1">
      <c r="A32" s="1583" t="s">
        <v>1241</v>
      </c>
      <c r="B32" s="1584" t="str">
        <f ca="1">'预评函-2'!D14</f>
        <v>壹拾玖亿壹仟陆佰万元整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3474</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3584</v>
      </c>
      <c r="C17" s="2007"/>
    </row>
    <row r="18" spans="1:3">
      <c r="A18" s="2006" t="s">
        <v>1767</v>
      </c>
      <c r="B18" s="2006" t="s">
        <v>3585</v>
      </c>
      <c r="C18" s="2007"/>
    </row>
    <row r="19" spans="1:3">
      <c r="A19" s="2006" t="s">
        <v>1768</v>
      </c>
      <c r="B19" s="2006" t="s">
        <v>3587</v>
      </c>
      <c r="C19" s="2007"/>
    </row>
    <row r="20" spans="1:3">
      <c r="A20" s="2006" t="s">
        <v>1769</v>
      </c>
      <c r="B20" s="2006" t="s">
        <v>3589</v>
      </c>
      <c r="C20" s="2007"/>
    </row>
    <row r="21" spans="1:3">
      <c r="A21" s="2006" t="s">
        <v>1770</v>
      </c>
      <c r="B21" s="2006" t="s">
        <v>3591</v>
      </c>
      <c r="C21" s="2007"/>
    </row>
    <row r="22" spans="1:3">
      <c r="A22" s="2006" t="s">
        <v>1771</v>
      </c>
      <c r="B22" s="2006" t="s">
        <v>3593</v>
      </c>
      <c r="C22" s="2007"/>
    </row>
    <row r="23" spans="1:3">
      <c r="A23" s="2006" t="s">
        <v>1772</v>
      </c>
      <c r="B23" s="2006" t="s">
        <v>3595</v>
      </c>
      <c r="C23" s="2007"/>
    </row>
    <row r="24" spans="1:3">
      <c r="A24" s="2006" t="s">
        <v>1773</v>
      </c>
      <c r="B24" s="2006" t="s">
        <v>3597</v>
      </c>
      <c r="C24" s="2007"/>
    </row>
    <row r="25" spans="1:3">
      <c r="A25" s="2006" t="s">
        <v>1774</v>
      </c>
      <c r="B25" s="2006" t="s">
        <v>757</v>
      </c>
      <c r="C25" s="2007"/>
    </row>
    <row r="26" spans="1:3">
      <c r="A26" s="2006" t="s">
        <v>1775</v>
      </c>
      <c r="B26" s="2006" t="s">
        <v>757</v>
      </c>
      <c r="C26" s="2007"/>
    </row>
    <row r="27" spans="1:3">
      <c r="A27" s="2968" t="s">
        <v>3460</v>
      </c>
      <c r="B27" s="2006" t="s">
        <v>757</v>
      </c>
      <c r="C27" s="2007"/>
    </row>
    <row r="28" spans="1:3">
      <c r="A28" s="2968" t="s">
        <v>3458</v>
      </c>
      <c r="B28" s="2006" t="s">
        <v>757</v>
      </c>
      <c r="C28" s="2007"/>
    </row>
    <row r="29" spans="1:3">
      <c r="A29" s="2968" t="s">
        <v>3461</v>
      </c>
      <c r="B29" s="2006" t="s">
        <v>757</v>
      </c>
      <c r="C29" s="2007"/>
    </row>
    <row r="30" spans="1:3">
      <c r="A30" s="2968" t="s">
        <v>3459</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6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2"/>
      <c r="D1" s="3062"/>
      <c r="E1" s="3062"/>
      <c r="F1" s="3062"/>
      <c r="G1" s="3062"/>
      <c r="H1" s="3062"/>
      <c r="I1" s="3063"/>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3625</v>
      </c>
      <c r="C4" s="1030">
        <f ca="1">SUMIF(注册房地产估价师,B4,估价师及机构信息!B3:B24)</f>
        <v>1120140022</v>
      </c>
      <c r="D4" s="2031" t="s">
        <v>3626</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3627</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64"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65"/>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3635</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71"/>
      <c r="C16" s="3072"/>
      <c r="D16" s="3073"/>
      <c r="E16" s="2077" t="s">
        <v>1802</v>
      </c>
      <c r="F16" s="3074" t="s">
        <v>3144</v>
      </c>
      <c r="G16" s="3075"/>
      <c r="H16" s="3075"/>
      <c r="I16" s="3076"/>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77" t="s">
        <v>1806</v>
      </c>
      <c r="F17" s="3078"/>
      <c r="G17" s="3078"/>
      <c r="H17" s="3078"/>
      <c r="I17" s="3079"/>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80" t="s">
        <v>1809</v>
      </c>
      <c r="F18" s="3081"/>
      <c r="G18" s="3081"/>
      <c r="H18" s="3081"/>
      <c r="I18" s="3082"/>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67" t="s">
        <v>1814</v>
      </c>
      <c r="C20" s="3068"/>
      <c r="D20" s="3069" t="s">
        <v>1815</v>
      </c>
      <c r="E20" s="3070"/>
      <c r="F20" s="2089" t="s">
        <v>1816</v>
      </c>
      <c r="G20" s="2034"/>
      <c r="H20" s="2034"/>
      <c r="I20" s="2034"/>
      <c r="J20" s="2034"/>
      <c r="K20" s="3066"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6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6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54"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54"/>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54"/>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55"/>
      <c r="B30" s="2027" t="s">
        <v>1833</v>
      </c>
      <c r="C30" s="3056"/>
      <c r="D30" s="3057"/>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58"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59"/>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59"/>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3628</v>
      </c>
      <c r="C34" s="2125" t="s">
        <v>3629</v>
      </c>
      <c r="D34" s="2125" t="s">
        <v>3630</v>
      </c>
      <c r="E34" s="2125" t="s">
        <v>3631</v>
      </c>
      <c r="F34" s="2125" t="s">
        <v>3632</v>
      </c>
      <c r="G34" s="2125" t="s">
        <v>3633</v>
      </c>
      <c r="H34" s="2125" t="s">
        <v>3634</v>
      </c>
      <c r="I34" s="2034"/>
      <c r="J34" s="2034"/>
      <c r="K34" s="1787">
        <f>COUNTIF(B34:H34,"——")</f>
        <v>0</v>
      </c>
      <c r="L34" s="2066" t="s">
        <v>1836</v>
      </c>
      <c r="M34" s="2066" t="s">
        <v>1837</v>
      </c>
      <c r="N34" s="2066" t="s">
        <v>1838</v>
      </c>
      <c r="O34" s="2066" t="s">
        <v>1839</v>
      </c>
      <c r="P34" s="2066" t="s">
        <v>1840</v>
      </c>
      <c r="Q34" s="2066" t="s">
        <v>1841</v>
      </c>
      <c r="R34" s="2066" t="s">
        <v>1842</v>
      </c>
      <c r="S34" s="3053" t="s">
        <v>1843</v>
      </c>
      <c r="T34" s="2126" t="str">
        <f>NUMBERSTRING(7-K34,1)&amp;"通"</f>
        <v>七通</v>
      </c>
      <c r="U34" s="2021"/>
      <c r="V34" s="2021"/>
    </row>
    <row r="35" spans="1:22" ht="18" customHeight="1">
      <c r="A35" s="2127"/>
      <c r="B35" s="3060" t="s">
        <v>1844</v>
      </c>
      <c r="C35" s="3060"/>
      <c r="D35" s="3060"/>
      <c r="E35" s="3060"/>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3204</v>
      </c>
      <c r="B1" s="3083" t="s">
        <v>3205</v>
      </c>
      <c r="C1" s="3083" t="s">
        <v>3206</v>
      </c>
      <c r="D1" s="3083" t="s">
        <v>3207</v>
      </c>
      <c r="E1" s="3083" t="s">
        <v>3208</v>
      </c>
      <c r="F1" s="3083" t="s">
        <v>3209</v>
      </c>
      <c r="G1" s="3083" t="s">
        <v>3210</v>
      </c>
      <c r="H1" s="3083" t="s">
        <v>3211</v>
      </c>
      <c r="I1" s="3083" t="s">
        <v>3212</v>
      </c>
      <c r="J1" s="3083" t="s">
        <v>3213</v>
      </c>
      <c r="K1" s="3083"/>
      <c r="L1" s="3083"/>
      <c r="M1" s="3083"/>
      <c r="N1" s="3083" t="s">
        <v>3214</v>
      </c>
      <c r="O1" s="3083"/>
      <c r="P1" s="3083"/>
      <c r="Q1" s="3083"/>
      <c r="R1" s="3083" t="s">
        <v>3215</v>
      </c>
      <c r="S1" s="3083"/>
      <c r="T1" s="3083"/>
      <c r="U1" s="3083"/>
      <c r="V1" s="3083" t="s">
        <v>3216</v>
      </c>
      <c r="W1" s="3083"/>
      <c r="X1" s="3083"/>
      <c r="Y1" s="3083"/>
      <c r="Z1" s="3083" t="s">
        <v>3217</v>
      </c>
      <c r="AA1" s="3083" t="s">
        <v>3218</v>
      </c>
      <c r="AB1" s="3083" t="s">
        <v>3219</v>
      </c>
      <c r="AC1" s="3083" t="s">
        <v>3220</v>
      </c>
      <c r="AD1" s="3083"/>
      <c r="AE1" s="3083"/>
      <c r="AF1" s="3083"/>
    </row>
    <row r="2" spans="1:32" ht="21.95" customHeight="1">
      <c r="A2" s="3083"/>
      <c r="B2" s="3083"/>
      <c r="C2" s="3083"/>
      <c r="D2" s="3083"/>
      <c r="E2" s="3083"/>
      <c r="F2" s="3083"/>
      <c r="G2" s="3083"/>
      <c r="H2" s="3083"/>
      <c r="I2" s="3083"/>
      <c r="J2" s="2963" t="s">
        <v>3221</v>
      </c>
      <c r="K2" s="2963" t="s">
        <v>3222</v>
      </c>
      <c r="L2" s="2963" t="s">
        <v>3223</v>
      </c>
      <c r="M2" s="2963" t="s">
        <v>3224</v>
      </c>
      <c r="N2" s="2963" t="s">
        <v>3221</v>
      </c>
      <c r="O2" s="2963" t="s">
        <v>3222</v>
      </c>
      <c r="P2" s="2963" t="s">
        <v>3223</v>
      </c>
      <c r="Q2" s="2963" t="s">
        <v>3224</v>
      </c>
      <c r="R2" s="2963" t="s">
        <v>3221</v>
      </c>
      <c r="S2" s="2963" t="s">
        <v>3222</v>
      </c>
      <c r="T2" s="2963" t="s">
        <v>3223</v>
      </c>
      <c r="U2" s="2963" t="s">
        <v>3224</v>
      </c>
      <c r="V2" s="2963" t="s">
        <v>3221</v>
      </c>
      <c r="W2" s="2963" t="s">
        <v>3222</v>
      </c>
      <c r="X2" s="2963" t="s">
        <v>3223</v>
      </c>
      <c r="Y2" s="2963" t="s">
        <v>3224</v>
      </c>
      <c r="Z2" s="3083"/>
      <c r="AA2" s="3083"/>
      <c r="AB2" s="3083"/>
      <c r="AC2" s="2963" t="s">
        <v>3221</v>
      </c>
      <c r="AD2" s="2963" t="s">
        <v>3222</v>
      </c>
      <c r="AE2" s="2963" t="s">
        <v>3223</v>
      </c>
      <c r="AF2" s="2963" t="s">
        <v>3224</v>
      </c>
    </row>
    <row r="3" spans="1:32" ht="14.1" customHeight="1">
      <c r="A3" s="2964" t="s">
        <v>3225</v>
      </c>
      <c r="B3" s="2964" t="s">
        <v>3226</v>
      </c>
      <c r="C3" s="2964" t="s">
        <v>3227</v>
      </c>
      <c r="D3" s="2964" t="s">
        <v>3228</v>
      </c>
      <c r="E3" s="2964" t="s">
        <v>3228</v>
      </c>
      <c r="F3" s="2964" t="s">
        <v>3229</v>
      </c>
      <c r="G3" s="2964" t="s">
        <v>3230</v>
      </c>
      <c r="H3" s="2964" t="s">
        <v>3231</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3232</v>
      </c>
      <c r="AA3" s="2964" t="s">
        <v>3233</v>
      </c>
      <c r="AB3" s="2964" t="s">
        <v>3234</v>
      </c>
      <c r="AC3" s="2965">
        <v>255</v>
      </c>
      <c r="AD3" s="2965">
        <v>9530.06</v>
      </c>
      <c r="AE3" s="2965">
        <v>27345.26</v>
      </c>
      <c r="AF3" s="2965">
        <v>26060.2</v>
      </c>
    </row>
    <row r="4" spans="1:32" ht="14.1" customHeight="1">
      <c r="A4" s="2964" t="s">
        <v>3225</v>
      </c>
      <c r="B4" s="2964" t="s">
        <v>3226</v>
      </c>
      <c r="C4" s="2964" t="s">
        <v>3227</v>
      </c>
      <c r="D4" s="2964" t="s">
        <v>3235</v>
      </c>
      <c r="E4" s="2964" t="s">
        <v>3235</v>
      </c>
      <c r="F4" s="2964" t="s">
        <v>3236</v>
      </c>
      <c r="G4" s="2964" t="s">
        <v>3230</v>
      </c>
      <c r="H4" s="2964" t="s">
        <v>3231</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3237</v>
      </c>
      <c r="AA4" s="2964" t="s">
        <v>3237</v>
      </c>
      <c r="AB4" s="2964" t="s">
        <v>3237</v>
      </c>
      <c r="AC4" s="2965">
        <v>9</v>
      </c>
      <c r="AD4" s="2965">
        <v>530.96</v>
      </c>
      <c r="AE4" s="2965">
        <v>26135.72</v>
      </c>
      <c r="AF4" s="2965">
        <v>1387.7</v>
      </c>
    </row>
    <row r="5" spans="1:32" ht="14.1" customHeight="1">
      <c r="A5" s="2964" t="s">
        <v>3225</v>
      </c>
      <c r="B5" s="2964" t="s">
        <v>3226</v>
      </c>
      <c r="C5" s="2964" t="s">
        <v>3227</v>
      </c>
      <c r="D5" s="2964" t="s">
        <v>3238</v>
      </c>
      <c r="E5" s="2964"/>
      <c r="F5" s="2964" t="s">
        <v>3239</v>
      </c>
      <c r="G5" s="2964" t="s">
        <v>3230</v>
      </c>
      <c r="H5" s="2964" t="s">
        <v>3231</v>
      </c>
      <c r="I5" s="2964"/>
      <c r="J5" s="2965"/>
      <c r="K5" s="2965"/>
      <c r="L5" s="2965"/>
      <c r="M5" s="2965"/>
      <c r="N5" s="2965"/>
      <c r="O5" s="2965"/>
      <c r="P5" s="2965"/>
      <c r="Q5" s="2965"/>
      <c r="R5" s="2965"/>
      <c r="S5" s="2965"/>
      <c r="T5" s="2965"/>
      <c r="U5" s="2965"/>
      <c r="V5" s="2965"/>
      <c r="W5" s="2965"/>
      <c r="X5" s="2965"/>
      <c r="Y5" s="2965"/>
      <c r="Z5" s="2964" t="s">
        <v>3237</v>
      </c>
      <c r="AA5" s="2964" t="s">
        <v>3237</v>
      </c>
      <c r="AB5" s="2964" t="s">
        <v>3237</v>
      </c>
      <c r="AC5" s="2965"/>
      <c r="AD5" s="2965"/>
      <c r="AE5" s="2965"/>
      <c r="AF5" s="2965"/>
    </row>
    <row r="6" spans="1:32" ht="14.1" customHeight="1">
      <c r="A6" s="2964" t="s">
        <v>3225</v>
      </c>
      <c r="B6" s="2964" t="s">
        <v>3226</v>
      </c>
      <c r="C6" s="2964" t="s">
        <v>3227</v>
      </c>
      <c r="D6" s="2964" t="s">
        <v>3240</v>
      </c>
      <c r="E6" s="2964"/>
      <c r="F6" s="2964" t="s">
        <v>3241</v>
      </c>
      <c r="G6" s="2964" t="s">
        <v>3230</v>
      </c>
      <c r="H6" s="2964" t="s">
        <v>3231</v>
      </c>
      <c r="I6" s="2964"/>
      <c r="J6" s="2965"/>
      <c r="K6" s="2965"/>
      <c r="L6" s="2965"/>
      <c r="M6" s="2965"/>
      <c r="N6" s="2965"/>
      <c r="O6" s="2965"/>
      <c r="P6" s="2965"/>
      <c r="Q6" s="2965"/>
      <c r="R6" s="2965"/>
      <c r="S6" s="2965"/>
      <c r="T6" s="2965"/>
      <c r="U6" s="2965"/>
      <c r="V6" s="2965"/>
      <c r="W6" s="2965"/>
      <c r="X6" s="2965"/>
      <c r="Y6" s="2965"/>
      <c r="Z6" s="2964" t="s">
        <v>3237</v>
      </c>
      <c r="AA6" s="2964" t="s">
        <v>3237</v>
      </c>
      <c r="AB6" s="2964" t="s">
        <v>3237</v>
      </c>
      <c r="AC6" s="2965"/>
      <c r="AD6" s="2965"/>
      <c r="AE6" s="2965"/>
      <c r="AF6" s="2965"/>
    </row>
    <row r="7" spans="1:32" ht="14.1" customHeight="1">
      <c r="A7" s="2964" t="s">
        <v>3225</v>
      </c>
      <c r="B7" s="2964" t="s">
        <v>3226</v>
      </c>
      <c r="C7" s="2964" t="s">
        <v>3227</v>
      </c>
      <c r="D7" s="2964" t="s">
        <v>3242</v>
      </c>
      <c r="E7" s="2964" t="s">
        <v>3242</v>
      </c>
      <c r="F7" s="2964" t="s">
        <v>3243</v>
      </c>
      <c r="G7" s="2964" t="s">
        <v>3244</v>
      </c>
      <c r="H7" s="2964" t="s">
        <v>3231</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3237</v>
      </c>
      <c r="AA7" s="2964" t="s">
        <v>3237</v>
      </c>
      <c r="AB7" s="2964" t="s">
        <v>3237</v>
      </c>
      <c r="AC7" s="2965">
        <v>10</v>
      </c>
      <c r="AD7" s="2965">
        <v>626.38</v>
      </c>
      <c r="AE7" s="2965">
        <v>15002.09</v>
      </c>
      <c r="AF7" s="2965">
        <v>939.7</v>
      </c>
    </row>
    <row r="8" spans="1:32" ht="14.1" customHeight="1">
      <c r="A8" s="2964" t="s">
        <v>3225</v>
      </c>
      <c r="B8" s="2964" t="s">
        <v>3226</v>
      </c>
      <c r="C8" s="2964" t="s">
        <v>3227</v>
      </c>
      <c r="D8" s="2964" t="s">
        <v>3245</v>
      </c>
      <c r="E8" s="2964" t="s">
        <v>3245</v>
      </c>
      <c r="F8" s="2964" t="s">
        <v>3246</v>
      </c>
      <c r="G8" s="2964" t="s">
        <v>3246</v>
      </c>
      <c r="H8" s="2964" t="s">
        <v>3231</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3237</v>
      </c>
      <c r="AA8" s="2964" t="s">
        <v>3237</v>
      </c>
      <c r="AB8" s="2964" t="s">
        <v>3237</v>
      </c>
      <c r="AC8" s="2965">
        <v>10</v>
      </c>
      <c r="AD8" s="2965">
        <v>513.55999999999995</v>
      </c>
      <c r="AE8" s="2965">
        <v>15000</v>
      </c>
      <c r="AF8" s="2965">
        <v>770.34</v>
      </c>
    </row>
    <row r="9" spans="1:32" ht="14.1" customHeight="1">
      <c r="A9" s="2964" t="s">
        <v>3225</v>
      </c>
      <c r="B9" s="2964" t="s">
        <v>3226</v>
      </c>
      <c r="C9" s="2964" t="s">
        <v>3227</v>
      </c>
      <c r="D9" s="2964" t="s">
        <v>3247</v>
      </c>
      <c r="E9" s="2964" t="s">
        <v>3247</v>
      </c>
      <c r="F9" s="2964" t="s">
        <v>3248</v>
      </c>
      <c r="G9" s="2964" t="s">
        <v>1377</v>
      </c>
      <c r="H9" s="2964" t="s">
        <v>3231</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3237</v>
      </c>
      <c r="AA9" s="2964" t="s">
        <v>3237</v>
      </c>
      <c r="AB9" s="2964" t="s">
        <v>3237</v>
      </c>
      <c r="AC9" s="2965">
        <v>11</v>
      </c>
      <c r="AD9" s="2965">
        <v>511.17</v>
      </c>
      <c r="AE9" s="2965">
        <v>46625.29</v>
      </c>
      <c r="AF9" s="2965">
        <v>2383.34</v>
      </c>
    </row>
    <row r="10" spans="1:32" ht="14.1" customHeight="1">
      <c r="A10" s="2964" t="s">
        <v>3225</v>
      </c>
      <c r="B10" s="2964" t="s">
        <v>3226</v>
      </c>
      <c r="C10" s="2964" t="s">
        <v>3227</v>
      </c>
      <c r="D10" s="2964" t="s">
        <v>3249</v>
      </c>
      <c r="E10" s="2964" t="s">
        <v>3249</v>
      </c>
      <c r="F10" s="2964" t="s">
        <v>3229</v>
      </c>
      <c r="G10" s="2964" t="s">
        <v>3230</v>
      </c>
      <c r="H10" s="2964" t="s">
        <v>3231</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3237</v>
      </c>
      <c r="AA10" s="2964" t="s">
        <v>3237</v>
      </c>
      <c r="AB10" s="2964" t="s">
        <v>3237</v>
      </c>
      <c r="AC10" s="2965">
        <v>159</v>
      </c>
      <c r="AD10" s="2965">
        <v>6352.86</v>
      </c>
      <c r="AE10" s="2965">
        <v>28643.74</v>
      </c>
      <c r="AF10" s="2965">
        <v>18196.97</v>
      </c>
    </row>
    <row r="11" spans="1:32" ht="14.1" customHeight="1">
      <c r="A11" s="2964" t="s">
        <v>3225</v>
      </c>
      <c r="B11" s="2964" t="s">
        <v>3226</v>
      </c>
      <c r="C11" s="2964" t="s">
        <v>3227</v>
      </c>
      <c r="D11" s="2964" t="s">
        <v>3250</v>
      </c>
      <c r="E11" s="2964"/>
      <c r="F11" s="2964" t="s">
        <v>3236</v>
      </c>
      <c r="G11" s="2964" t="s">
        <v>3230</v>
      </c>
      <c r="H11" s="2964" t="s">
        <v>3231</v>
      </c>
      <c r="I11" s="2964"/>
      <c r="J11" s="2965"/>
      <c r="K11" s="2965"/>
      <c r="L11" s="2965"/>
      <c r="M11" s="2965"/>
      <c r="N11" s="2965"/>
      <c r="O11" s="2965"/>
      <c r="P11" s="2965"/>
      <c r="Q11" s="2965"/>
      <c r="R11" s="2965"/>
      <c r="S11" s="2965"/>
      <c r="T11" s="2965"/>
      <c r="U11" s="2965"/>
      <c r="V11" s="2965"/>
      <c r="W11" s="2965"/>
      <c r="X11" s="2965"/>
      <c r="Y11" s="2965"/>
      <c r="Z11" s="2964" t="s">
        <v>3237</v>
      </c>
      <c r="AA11" s="2964" t="s">
        <v>3237</v>
      </c>
      <c r="AB11" s="2964" t="s">
        <v>3237</v>
      </c>
      <c r="AC11" s="2965"/>
      <c r="AD11" s="2965"/>
      <c r="AE11" s="2965"/>
      <c r="AF11" s="2965"/>
    </row>
    <row r="12" spans="1:32" ht="14.1" customHeight="1">
      <c r="A12" s="2964" t="s">
        <v>3225</v>
      </c>
      <c r="B12" s="2964" t="s">
        <v>3226</v>
      </c>
      <c r="C12" s="2964" t="s">
        <v>3227</v>
      </c>
      <c r="D12" s="2964" t="s">
        <v>3251</v>
      </c>
      <c r="E12" s="2964"/>
      <c r="F12" s="2964" t="s">
        <v>3239</v>
      </c>
      <c r="G12" s="2964" t="s">
        <v>3230</v>
      </c>
      <c r="H12" s="2964" t="s">
        <v>3231</v>
      </c>
      <c r="I12" s="2964"/>
      <c r="J12" s="2965"/>
      <c r="K12" s="2965"/>
      <c r="L12" s="2965"/>
      <c r="M12" s="2965"/>
      <c r="N12" s="2965"/>
      <c r="O12" s="2965"/>
      <c r="P12" s="2965"/>
      <c r="Q12" s="2965"/>
      <c r="R12" s="2965"/>
      <c r="S12" s="2965"/>
      <c r="T12" s="2965"/>
      <c r="U12" s="2965"/>
      <c r="V12" s="2965"/>
      <c r="W12" s="2965"/>
      <c r="X12" s="2965"/>
      <c r="Y12" s="2965"/>
      <c r="Z12" s="2964" t="s">
        <v>3237</v>
      </c>
      <c r="AA12" s="2964" t="s">
        <v>3237</v>
      </c>
      <c r="AB12" s="2964" t="s">
        <v>3237</v>
      </c>
      <c r="AC12" s="2965"/>
      <c r="AD12" s="2965"/>
      <c r="AE12" s="2965"/>
      <c r="AF12" s="2965"/>
    </row>
    <row r="13" spans="1:32" ht="14.1" customHeight="1">
      <c r="A13" s="2964" t="s">
        <v>3225</v>
      </c>
      <c r="B13" s="2964" t="s">
        <v>3226</v>
      </c>
      <c r="C13" s="2964" t="s">
        <v>3227</v>
      </c>
      <c r="D13" s="2964" t="s">
        <v>3252</v>
      </c>
      <c r="E13" s="2964" t="s">
        <v>3252</v>
      </c>
      <c r="F13" s="2964" t="s">
        <v>3241</v>
      </c>
      <c r="G13" s="2964" t="s">
        <v>3230</v>
      </c>
      <c r="H13" s="2964" t="s">
        <v>3231</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3237</v>
      </c>
      <c r="AA13" s="2964" t="s">
        <v>3237</v>
      </c>
      <c r="AB13" s="2964" t="s">
        <v>3237</v>
      </c>
      <c r="AC13" s="2965">
        <v>8</v>
      </c>
      <c r="AD13" s="2965">
        <v>249.92</v>
      </c>
      <c r="AE13" s="2965">
        <v>26547.94</v>
      </c>
      <c r="AF13" s="2965">
        <v>663.49</v>
      </c>
    </row>
    <row r="14" spans="1:32" ht="14.1" customHeight="1">
      <c r="A14" s="2964" t="s">
        <v>3225</v>
      </c>
      <c r="B14" s="2964" t="s">
        <v>3226</v>
      </c>
      <c r="C14" s="2964" t="s">
        <v>3227</v>
      </c>
      <c r="D14" s="2964" t="s">
        <v>3253</v>
      </c>
      <c r="E14" s="2964"/>
      <c r="F14" s="2964" t="s">
        <v>3243</v>
      </c>
      <c r="G14" s="2964" t="s">
        <v>3244</v>
      </c>
      <c r="H14" s="2964" t="s">
        <v>3231</v>
      </c>
      <c r="I14" s="2964"/>
      <c r="J14" s="2965"/>
      <c r="K14" s="2965"/>
      <c r="L14" s="2965"/>
      <c r="M14" s="2965"/>
      <c r="N14" s="2965"/>
      <c r="O14" s="2965"/>
      <c r="P14" s="2965"/>
      <c r="Q14" s="2965"/>
      <c r="R14" s="2965"/>
      <c r="S14" s="2965"/>
      <c r="T14" s="2965"/>
      <c r="U14" s="2965"/>
      <c r="V14" s="2965"/>
      <c r="W14" s="2965"/>
      <c r="X14" s="2965"/>
      <c r="Y14" s="2965"/>
      <c r="Z14" s="2964" t="s">
        <v>3237</v>
      </c>
      <c r="AA14" s="2964" t="s">
        <v>3237</v>
      </c>
      <c r="AB14" s="2964" t="s">
        <v>3237</v>
      </c>
      <c r="AC14" s="2965"/>
      <c r="AD14" s="2965"/>
      <c r="AE14" s="2965"/>
      <c r="AF14" s="2965"/>
    </row>
    <row r="15" spans="1:32" ht="14.1" customHeight="1">
      <c r="A15" s="2964" t="s">
        <v>3225</v>
      </c>
      <c r="B15" s="2964" t="s">
        <v>3226</v>
      </c>
      <c r="C15" s="2964" t="s">
        <v>3227</v>
      </c>
      <c r="D15" s="2964" t="s">
        <v>3254</v>
      </c>
      <c r="E15" s="2964"/>
      <c r="F15" s="2964" t="s">
        <v>3246</v>
      </c>
      <c r="G15" s="2964" t="s">
        <v>3246</v>
      </c>
      <c r="H15" s="2964" t="s">
        <v>3231</v>
      </c>
      <c r="I15" s="2964"/>
      <c r="J15" s="2965"/>
      <c r="K15" s="2965"/>
      <c r="L15" s="2965"/>
      <c r="M15" s="2965"/>
      <c r="N15" s="2965"/>
      <c r="O15" s="2965"/>
      <c r="P15" s="2965"/>
      <c r="Q15" s="2965"/>
      <c r="R15" s="2965"/>
      <c r="S15" s="2965"/>
      <c r="T15" s="2965"/>
      <c r="U15" s="2965"/>
      <c r="V15" s="2965"/>
      <c r="W15" s="2965"/>
      <c r="X15" s="2965"/>
      <c r="Y15" s="2965"/>
      <c r="Z15" s="2964" t="s">
        <v>3237</v>
      </c>
      <c r="AA15" s="2964" t="s">
        <v>3237</v>
      </c>
      <c r="AB15" s="2964" t="s">
        <v>3237</v>
      </c>
      <c r="AC15" s="2965"/>
      <c r="AD15" s="2965"/>
      <c r="AE15" s="2965"/>
      <c r="AF15" s="2965"/>
    </row>
    <row r="16" spans="1:32" ht="14.1" customHeight="1">
      <c r="A16" s="2964" t="s">
        <v>3225</v>
      </c>
      <c r="B16" s="2964" t="s">
        <v>3226</v>
      </c>
      <c r="C16" s="2964" t="s">
        <v>3227</v>
      </c>
      <c r="D16" s="2964" t="s">
        <v>3255</v>
      </c>
      <c r="E16" s="2964"/>
      <c r="F16" s="2964" t="s">
        <v>3248</v>
      </c>
      <c r="G16" s="2964" t="s">
        <v>1377</v>
      </c>
      <c r="H16" s="2964" t="s">
        <v>3231</v>
      </c>
      <c r="I16" s="2964"/>
      <c r="J16" s="2965"/>
      <c r="K16" s="2965"/>
      <c r="L16" s="2965"/>
      <c r="M16" s="2965"/>
      <c r="N16" s="2965"/>
      <c r="O16" s="2965"/>
      <c r="P16" s="2965"/>
      <c r="Q16" s="2965"/>
      <c r="R16" s="2965"/>
      <c r="S16" s="2965"/>
      <c r="T16" s="2965"/>
      <c r="U16" s="2965"/>
      <c r="V16" s="2965"/>
      <c r="W16" s="2965"/>
      <c r="X16" s="2965"/>
      <c r="Y16" s="2965"/>
      <c r="Z16" s="2964" t="s">
        <v>3237</v>
      </c>
      <c r="AA16" s="2964" t="s">
        <v>3237</v>
      </c>
      <c r="AB16" s="2964" t="s">
        <v>3237</v>
      </c>
      <c r="AC16" s="2965"/>
      <c r="AD16" s="2965"/>
      <c r="AE16" s="2965"/>
      <c r="AF16" s="2965"/>
    </row>
    <row r="17" spans="1:32" ht="14.1" customHeight="1">
      <c r="A17" s="2964" t="s">
        <v>3225</v>
      </c>
      <c r="B17" s="2964" t="s">
        <v>3226</v>
      </c>
      <c r="C17" s="2964" t="s">
        <v>3227</v>
      </c>
      <c r="D17" s="2964" t="s">
        <v>3256</v>
      </c>
      <c r="E17" s="2964" t="s">
        <v>3256</v>
      </c>
      <c r="F17" s="2964" t="s">
        <v>3229</v>
      </c>
      <c r="G17" s="2964" t="s">
        <v>3230</v>
      </c>
      <c r="H17" s="2964" t="s">
        <v>3231</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3237</v>
      </c>
      <c r="AA17" s="2964" t="s">
        <v>3237</v>
      </c>
      <c r="AB17" s="2964" t="s">
        <v>3237</v>
      </c>
      <c r="AC17" s="2965">
        <v>113</v>
      </c>
      <c r="AD17" s="2965">
        <v>4350.41</v>
      </c>
      <c r="AE17" s="2965">
        <v>27509.62</v>
      </c>
      <c r="AF17" s="2965">
        <v>11967.81</v>
      </c>
    </row>
    <row r="18" spans="1:32" ht="14.1" customHeight="1">
      <c r="A18" s="2964" t="s">
        <v>3225</v>
      </c>
      <c r="B18" s="2964" t="s">
        <v>3226</v>
      </c>
      <c r="C18" s="2964" t="s">
        <v>3227</v>
      </c>
      <c r="D18" s="2964" t="s">
        <v>3257</v>
      </c>
      <c r="E18" s="2964" t="s">
        <v>3257</v>
      </c>
      <c r="F18" s="2964" t="s">
        <v>3236</v>
      </c>
      <c r="G18" s="2964" t="s">
        <v>3230</v>
      </c>
      <c r="H18" s="2964" t="s">
        <v>3231</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3237</v>
      </c>
      <c r="AA18" s="2964" t="s">
        <v>3237</v>
      </c>
      <c r="AB18" s="2964" t="s">
        <v>3237</v>
      </c>
      <c r="AC18" s="2965">
        <v>5</v>
      </c>
      <c r="AD18" s="2965">
        <v>259.47000000000003</v>
      </c>
      <c r="AE18" s="2965">
        <v>25877.58</v>
      </c>
      <c r="AF18" s="2965">
        <v>671.45</v>
      </c>
    </row>
    <row r="19" spans="1:32" ht="14.1" customHeight="1">
      <c r="A19" s="2964" t="s">
        <v>3225</v>
      </c>
      <c r="B19" s="2964" t="s">
        <v>3226</v>
      </c>
      <c r="C19" s="2964" t="s">
        <v>3227</v>
      </c>
      <c r="D19" s="2964" t="s">
        <v>3258</v>
      </c>
      <c r="E19" s="2964"/>
      <c r="F19" s="2964" t="s">
        <v>3239</v>
      </c>
      <c r="G19" s="2964" t="s">
        <v>3230</v>
      </c>
      <c r="H19" s="2964" t="s">
        <v>3231</v>
      </c>
      <c r="I19" s="2964"/>
      <c r="J19" s="2965"/>
      <c r="K19" s="2965"/>
      <c r="L19" s="2965"/>
      <c r="M19" s="2965"/>
      <c r="N19" s="2965"/>
      <c r="O19" s="2965"/>
      <c r="P19" s="2965"/>
      <c r="Q19" s="2965"/>
      <c r="R19" s="2965"/>
      <c r="S19" s="2965"/>
      <c r="T19" s="2965"/>
      <c r="U19" s="2965"/>
      <c r="V19" s="2965"/>
      <c r="W19" s="2965"/>
      <c r="X19" s="2965"/>
      <c r="Y19" s="2965"/>
      <c r="Z19" s="2964" t="s">
        <v>3237</v>
      </c>
      <c r="AA19" s="2964" t="s">
        <v>3237</v>
      </c>
      <c r="AB19" s="2964" t="s">
        <v>3237</v>
      </c>
      <c r="AC19" s="2965"/>
      <c r="AD19" s="2965"/>
      <c r="AE19" s="2965"/>
      <c r="AF19" s="2965"/>
    </row>
    <row r="20" spans="1:32" ht="14.1" customHeight="1">
      <c r="A20" s="2964" t="s">
        <v>3225</v>
      </c>
      <c r="B20" s="2964" t="s">
        <v>3226</v>
      </c>
      <c r="C20" s="2964" t="s">
        <v>3227</v>
      </c>
      <c r="D20" s="2964" t="s">
        <v>3259</v>
      </c>
      <c r="E20" s="2964"/>
      <c r="F20" s="2964" t="s">
        <v>3241</v>
      </c>
      <c r="G20" s="2964" t="s">
        <v>3230</v>
      </c>
      <c r="H20" s="2964" t="s">
        <v>3231</v>
      </c>
      <c r="I20" s="2964"/>
      <c r="J20" s="2965"/>
      <c r="K20" s="2965"/>
      <c r="L20" s="2965"/>
      <c r="M20" s="2965"/>
      <c r="N20" s="2965"/>
      <c r="O20" s="2965"/>
      <c r="P20" s="2965"/>
      <c r="Q20" s="2965"/>
      <c r="R20" s="2965"/>
      <c r="S20" s="2965"/>
      <c r="T20" s="2965"/>
      <c r="U20" s="2965"/>
      <c r="V20" s="2965"/>
      <c r="W20" s="2965"/>
      <c r="X20" s="2965"/>
      <c r="Y20" s="2965"/>
      <c r="Z20" s="2964" t="s">
        <v>3237</v>
      </c>
      <c r="AA20" s="2964" t="s">
        <v>3237</v>
      </c>
      <c r="AB20" s="2964" t="s">
        <v>3237</v>
      </c>
      <c r="AC20" s="2965"/>
      <c r="AD20" s="2965"/>
      <c r="AE20" s="2965"/>
      <c r="AF20" s="2965"/>
    </row>
    <row r="21" spans="1:32" ht="14.1" customHeight="1">
      <c r="A21" s="2964" t="s">
        <v>3225</v>
      </c>
      <c r="B21" s="2964" t="s">
        <v>3226</v>
      </c>
      <c r="C21" s="2964" t="s">
        <v>3227</v>
      </c>
      <c r="D21" s="2964" t="s">
        <v>3260</v>
      </c>
      <c r="E21" s="2964" t="s">
        <v>3260</v>
      </c>
      <c r="F21" s="2964" t="s">
        <v>3243</v>
      </c>
      <c r="G21" s="2964" t="s">
        <v>3244</v>
      </c>
      <c r="H21" s="2964" t="s">
        <v>3231</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3237</v>
      </c>
      <c r="AA21" s="2964" t="s">
        <v>3237</v>
      </c>
      <c r="AB21" s="2964" t="s">
        <v>3237</v>
      </c>
      <c r="AC21" s="2965">
        <v>6</v>
      </c>
      <c r="AD21" s="2965">
        <v>355.7</v>
      </c>
      <c r="AE21" s="2965">
        <v>15000</v>
      </c>
      <c r="AF21" s="2965">
        <v>533.54999999999995</v>
      </c>
    </row>
    <row r="22" spans="1:32" ht="14.1" customHeight="1">
      <c r="A22" s="2964" t="s">
        <v>3225</v>
      </c>
      <c r="B22" s="2964" t="s">
        <v>3226</v>
      </c>
      <c r="C22" s="2964" t="s">
        <v>3227</v>
      </c>
      <c r="D22" s="2964" t="s">
        <v>3261</v>
      </c>
      <c r="E22" s="2964"/>
      <c r="F22" s="2964" t="s">
        <v>3246</v>
      </c>
      <c r="G22" s="2964" t="s">
        <v>3246</v>
      </c>
      <c r="H22" s="2964" t="s">
        <v>3231</v>
      </c>
      <c r="I22" s="2964"/>
      <c r="J22" s="2965"/>
      <c r="K22" s="2965"/>
      <c r="L22" s="2965"/>
      <c r="M22" s="2965"/>
      <c r="N22" s="2965"/>
      <c r="O22" s="2965"/>
      <c r="P22" s="2965"/>
      <c r="Q22" s="2965"/>
      <c r="R22" s="2965"/>
      <c r="S22" s="2965"/>
      <c r="T22" s="2965"/>
      <c r="U22" s="2965"/>
      <c r="V22" s="2965"/>
      <c r="W22" s="2965"/>
      <c r="X22" s="2965"/>
      <c r="Y22" s="2965"/>
      <c r="Z22" s="2964" t="s">
        <v>3237</v>
      </c>
      <c r="AA22" s="2964" t="s">
        <v>3237</v>
      </c>
      <c r="AB22" s="2964" t="s">
        <v>3237</v>
      </c>
      <c r="AC22" s="2965"/>
      <c r="AD22" s="2965"/>
      <c r="AE22" s="2965"/>
      <c r="AF22" s="2965"/>
    </row>
    <row r="23" spans="1:32" ht="14.1" customHeight="1">
      <c r="A23" s="2964" t="s">
        <v>3225</v>
      </c>
      <c r="B23" s="2964" t="s">
        <v>3226</v>
      </c>
      <c r="C23" s="2964" t="s">
        <v>3227</v>
      </c>
      <c r="D23" s="2964" t="s">
        <v>3262</v>
      </c>
      <c r="E23" s="2964"/>
      <c r="F23" s="2964" t="s">
        <v>3248</v>
      </c>
      <c r="G23" s="2964" t="s">
        <v>1377</v>
      </c>
      <c r="H23" s="2964" t="s">
        <v>3231</v>
      </c>
      <c r="I23" s="2964"/>
      <c r="J23" s="2965"/>
      <c r="K23" s="2965"/>
      <c r="L23" s="2965"/>
      <c r="M23" s="2965"/>
      <c r="N23" s="2965"/>
      <c r="O23" s="2965"/>
      <c r="P23" s="2965"/>
      <c r="Q23" s="2965"/>
      <c r="R23" s="2965"/>
      <c r="S23" s="2965"/>
      <c r="T23" s="2965"/>
      <c r="U23" s="2965"/>
      <c r="V23" s="2965"/>
      <c r="W23" s="2965"/>
      <c r="X23" s="2965"/>
      <c r="Y23" s="2965"/>
      <c r="Z23" s="2964" t="s">
        <v>3237</v>
      </c>
      <c r="AA23" s="2964" t="s">
        <v>3237</v>
      </c>
      <c r="AB23" s="2964" t="s">
        <v>3237</v>
      </c>
      <c r="AC23" s="2965"/>
      <c r="AD23" s="2965"/>
      <c r="AE23" s="2965"/>
      <c r="AF23" s="2965"/>
    </row>
    <row r="24" spans="1:32" ht="14.1" customHeight="1">
      <c r="A24" s="2964" t="s">
        <v>3225</v>
      </c>
      <c r="B24" s="2964" t="s">
        <v>3226</v>
      </c>
      <c r="C24" s="2964" t="s">
        <v>3227</v>
      </c>
      <c r="D24" s="2964" t="s">
        <v>3263</v>
      </c>
      <c r="E24" s="2964" t="s">
        <v>3263</v>
      </c>
      <c r="F24" s="2964" t="s">
        <v>3229</v>
      </c>
      <c r="G24" s="2964" t="s">
        <v>3230</v>
      </c>
      <c r="H24" s="2964" t="s">
        <v>3231</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3264</v>
      </c>
      <c r="AA24" s="2964" t="s">
        <v>3264</v>
      </c>
      <c r="AB24" s="2964" t="s">
        <v>3265</v>
      </c>
      <c r="AC24" s="2965">
        <v>154</v>
      </c>
      <c r="AD24" s="2965">
        <v>6185.75</v>
      </c>
      <c r="AE24" s="2965">
        <v>29051.59</v>
      </c>
      <c r="AF24" s="2965">
        <v>17970.59</v>
      </c>
    </row>
    <row r="25" spans="1:32" ht="14.1" customHeight="1">
      <c r="A25" s="2964" t="s">
        <v>3225</v>
      </c>
      <c r="B25" s="2964" t="s">
        <v>3226</v>
      </c>
      <c r="C25" s="2964" t="s">
        <v>3227</v>
      </c>
      <c r="D25" s="2964" t="s">
        <v>3266</v>
      </c>
      <c r="E25" s="2964"/>
      <c r="F25" s="2964" t="s">
        <v>3236</v>
      </c>
      <c r="G25" s="2964" t="s">
        <v>3230</v>
      </c>
      <c r="H25" s="2964" t="s">
        <v>3231</v>
      </c>
      <c r="I25" s="2964"/>
      <c r="J25" s="2965"/>
      <c r="K25" s="2965"/>
      <c r="L25" s="2965"/>
      <c r="M25" s="2965"/>
      <c r="N25" s="2965"/>
      <c r="O25" s="2965"/>
      <c r="P25" s="2965"/>
      <c r="Q25" s="2965"/>
      <c r="R25" s="2965"/>
      <c r="S25" s="2965"/>
      <c r="T25" s="2965"/>
      <c r="U25" s="2965"/>
      <c r="V25" s="2965"/>
      <c r="W25" s="2965"/>
      <c r="X25" s="2965"/>
      <c r="Y25" s="2965"/>
      <c r="Z25" s="2964" t="s">
        <v>3237</v>
      </c>
      <c r="AA25" s="2964" t="s">
        <v>3237</v>
      </c>
      <c r="AB25" s="2964" t="s">
        <v>3237</v>
      </c>
      <c r="AC25" s="2965"/>
      <c r="AD25" s="2965"/>
      <c r="AE25" s="2965"/>
      <c r="AF25" s="2965"/>
    </row>
    <row r="26" spans="1:32" ht="14.1" customHeight="1">
      <c r="A26" s="2964" t="s">
        <v>3225</v>
      </c>
      <c r="B26" s="2964" t="s">
        <v>3226</v>
      </c>
      <c r="C26" s="2964" t="s">
        <v>3227</v>
      </c>
      <c r="D26" s="2964" t="s">
        <v>3267</v>
      </c>
      <c r="E26" s="2964"/>
      <c r="F26" s="2964" t="s">
        <v>3239</v>
      </c>
      <c r="G26" s="2964" t="s">
        <v>3230</v>
      </c>
      <c r="H26" s="2964" t="s">
        <v>3231</v>
      </c>
      <c r="I26" s="2964"/>
      <c r="J26" s="2965"/>
      <c r="K26" s="2965"/>
      <c r="L26" s="2965"/>
      <c r="M26" s="2965"/>
      <c r="N26" s="2965"/>
      <c r="O26" s="2965"/>
      <c r="P26" s="2965"/>
      <c r="Q26" s="2965"/>
      <c r="R26" s="2965"/>
      <c r="S26" s="2965"/>
      <c r="T26" s="2965"/>
      <c r="U26" s="2965"/>
      <c r="V26" s="2965"/>
      <c r="W26" s="2965"/>
      <c r="X26" s="2965"/>
      <c r="Y26" s="2965"/>
      <c r="Z26" s="2964" t="s">
        <v>3237</v>
      </c>
      <c r="AA26" s="2964" t="s">
        <v>3237</v>
      </c>
      <c r="AB26" s="2964" t="s">
        <v>3237</v>
      </c>
      <c r="AC26" s="2965"/>
      <c r="AD26" s="2965"/>
      <c r="AE26" s="2965"/>
      <c r="AF26" s="2965"/>
    </row>
    <row r="27" spans="1:32" ht="14.1" customHeight="1">
      <c r="A27" s="2964" t="s">
        <v>3225</v>
      </c>
      <c r="B27" s="2964" t="s">
        <v>3226</v>
      </c>
      <c r="C27" s="2964" t="s">
        <v>3227</v>
      </c>
      <c r="D27" s="2964" t="s">
        <v>3268</v>
      </c>
      <c r="E27" s="2964" t="s">
        <v>3268</v>
      </c>
      <c r="F27" s="2964" t="s">
        <v>3241</v>
      </c>
      <c r="G27" s="2964" t="s">
        <v>3230</v>
      </c>
      <c r="H27" s="2964" t="s">
        <v>3231</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3237</v>
      </c>
      <c r="AA27" s="2964" t="s">
        <v>3237</v>
      </c>
      <c r="AB27" s="2964" t="s">
        <v>3237</v>
      </c>
      <c r="AC27" s="2965">
        <v>9</v>
      </c>
      <c r="AD27" s="2965">
        <v>281.25</v>
      </c>
      <c r="AE27" s="2965">
        <v>27497.9</v>
      </c>
      <c r="AF27" s="2965">
        <v>773.38</v>
      </c>
    </row>
    <row r="28" spans="1:32" ht="14.1" customHeight="1">
      <c r="A28" s="2964" t="s">
        <v>3225</v>
      </c>
      <c r="B28" s="2964" t="s">
        <v>3226</v>
      </c>
      <c r="C28" s="2964" t="s">
        <v>3227</v>
      </c>
      <c r="D28" s="2964" t="s">
        <v>3269</v>
      </c>
      <c r="E28" s="2964"/>
      <c r="F28" s="2964" t="s">
        <v>3243</v>
      </c>
      <c r="G28" s="2964" t="s">
        <v>3244</v>
      </c>
      <c r="H28" s="2964" t="s">
        <v>3231</v>
      </c>
      <c r="I28" s="2964"/>
      <c r="J28" s="2965"/>
      <c r="K28" s="2965"/>
      <c r="L28" s="2965"/>
      <c r="M28" s="2965"/>
      <c r="N28" s="2965"/>
      <c r="O28" s="2965"/>
      <c r="P28" s="2965"/>
      <c r="Q28" s="2965"/>
      <c r="R28" s="2965"/>
      <c r="S28" s="2965"/>
      <c r="T28" s="2965"/>
      <c r="U28" s="2965"/>
      <c r="V28" s="2965"/>
      <c r="W28" s="2965"/>
      <c r="X28" s="2965"/>
      <c r="Y28" s="2965"/>
      <c r="Z28" s="2964" t="s">
        <v>3237</v>
      </c>
      <c r="AA28" s="2964" t="s">
        <v>3237</v>
      </c>
      <c r="AB28" s="2964" t="s">
        <v>3237</v>
      </c>
      <c r="AC28" s="2965"/>
      <c r="AD28" s="2965"/>
      <c r="AE28" s="2965"/>
      <c r="AF28" s="2965"/>
    </row>
    <row r="29" spans="1:32" ht="14.1" customHeight="1">
      <c r="A29" s="2964" t="s">
        <v>3225</v>
      </c>
      <c r="B29" s="2964" t="s">
        <v>3226</v>
      </c>
      <c r="C29" s="2964" t="s">
        <v>3227</v>
      </c>
      <c r="D29" s="2964" t="s">
        <v>3270</v>
      </c>
      <c r="E29" s="2964"/>
      <c r="F29" s="2964" t="s">
        <v>3246</v>
      </c>
      <c r="G29" s="2964" t="s">
        <v>3246</v>
      </c>
      <c r="H29" s="2964" t="s">
        <v>3231</v>
      </c>
      <c r="I29" s="2964"/>
      <c r="J29" s="2965"/>
      <c r="K29" s="2965"/>
      <c r="L29" s="2965"/>
      <c r="M29" s="2965"/>
      <c r="N29" s="2965"/>
      <c r="O29" s="2965"/>
      <c r="P29" s="2965"/>
      <c r="Q29" s="2965"/>
      <c r="R29" s="2965"/>
      <c r="S29" s="2965"/>
      <c r="T29" s="2965"/>
      <c r="U29" s="2965"/>
      <c r="V29" s="2965"/>
      <c r="W29" s="2965"/>
      <c r="X29" s="2965"/>
      <c r="Y29" s="2965"/>
      <c r="Z29" s="2964" t="s">
        <v>3237</v>
      </c>
      <c r="AA29" s="2964" t="s">
        <v>3237</v>
      </c>
      <c r="AB29" s="2964" t="s">
        <v>3237</v>
      </c>
      <c r="AC29" s="2965"/>
      <c r="AD29" s="2965"/>
      <c r="AE29" s="2965"/>
      <c r="AF29" s="2965"/>
    </row>
    <row r="30" spans="1:32" ht="14.1" customHeight="1">
      <c r="A30" s="2964" t="s">
        <v>3225</v>
      </c>
      <c r="B30" s="2964" t="s">
        <v>3226</v>
      </c>
      <c r="C30" s="2964" t="s">
        <v>3227</v>
      </c>
      <c r="D30" s="2964" t="s">
        <v>3271</v>
      </c>
      <c r="E30" s="2964"/>
      <c r="F30" s="2964" t="s">
        <v>3248</v>
      </c>
      <c r="G30" s="2964" t="s">
        <v>1377</v>
      </c>
      <c r="H30" s="2964" t="s">
        <v>3231</v>
      </c>
      <c r="I30" s="2964"/>
      <c r="J30" s="2965"/>
      <c r="K30" s="2965"/>
      <c r="L30" s="2965"/>
      <c r="M30" s="2965"/>
      <c r="N30" s="2965"/>
      <c r="O30" s="2965"/>
      <c r="P30" s="2965"/>
      <c r="Q30" s="2965"/>
      <c r="R30" s="2965"/>
      <c r="S30" s="2965"/>
      <c r="T30" s="2965"/>
      <c r="U30" s="2965"/>
      <c r="V30" s="2965"/>
      <c r="W30" s="2965"/>
      <c r="X30" s="2965"/>
      <c r="Y30" s="2965"/>
      <c r="Z30" s="2964" t="s">
        <v>3237</v>
      </c>
      <c r="AA30" s="2964" t="s">
        <v>3237</v>
      </c>
      <c r="AB30" s="2964" t="s">
        <v>3237</v>
      </c>
      <c r="AC30" s="2965"/>
      <c r="AD30" s="2965"/>
      <c r="AE30" s="2965"/>
      <c r="AF30" s="2965"/>
    </row>
    <row r="31" spans="1:32" ht="14.1" customHeight="1">
      <c r="A31" s="2964" t="s">
        <v>3225</v>
      </c>
      <c r="B31" s="2964" t="s">
        <v>3226</v>
      </c>
      <c r="C31" s="2964" t="s">
        <v>3227</v>
      </c>
      <c r="D31" s="2964" t="s">
        <v>3272</v>
      </c>
      <c r="E31" s="2964" t="s">
        <v>3272</v>
      </c>
      <c r="F31" s="2964" t="s">
        <v>3229</v>
      </c>
      <c r="G31" s="2964" t="s">
        <v>3230</v>
      </c>
      <c r="H31" s="2964" t="s">
        <v>3231</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3273</v>
      </c>
      <c r="AA31" s="2964" t="s">
        <v>3274</v>
      </c>
      <c r="AB31" s="2964" t="s">
        <v>3234</v>
      </c>
      <c r="AC31" s="2965">
        <v>127</v>
      </c>
      <c r="AD31" s="2965">
        <v>4927.8900000000003</v>
      </c>
      <c r="AE31" s="2965">
        <v>27940.12</v>
      </c>
      <c r="AF31" s="2965">
        <v>13768.58</v>
      </c>
    </row>
    <row r="32" spans="1:32" ht="14.1" customHeight="1">
      <c r="A32" s="2964" t="s">
        <v>3225</v>
      </c>
      <c r="B32" s="2964" t="s">
        <v>3226</v>
      </c>
      <c r="C32" s="2964" t="s">
        <v>3227</v>
      </c>
      <c r="D32" s="2964" t="s">
        <v>3275</v>
      </c>
      <c r="E32" s="2964" t="s">
        <v>3275</v>
      </c>
      <c r="F32" s="2964" t="s">
        <v>3236</v>
      </c>
      <c r="G32" s="2964" t="s">
        <v>3230</v>
      </c>
      <c r="H32" s="2964" t="s">
        <v>3231</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3237</v>
      </c>
      <c r="AA32" s="2964" t="s">
        <v>3237</v>
      </c>
      <c r="AB32" s="2964" t="s">
        <v>3237</v>
      </c>
      <c r="AC32" s="2965">
        <v>6</v>
      </c>
      <c r="AD32" s="2965">
        <v>282.27999999999997</v>
      </c>
      <c r="AE32" s="2965">
        <v>22640.73</v>
      </c>
      <c r="AF32" s="2965">
        <v>639.1</v>
      </c>
    </row>
    <row r="33" spans="1:32" ht="14.1" customHeight="1">
      <c r="A33" s="2964" t="s">
        <v>3225</v>
      </c>
      <c r="B33" s="2964" t="s">
        <v>3226</v>
      </c>
      <c r="C33" s="2964" t="s">
        <v>3227</v>
      </c>
      <c r="D33" s="2964" t="s">
        <v>3276</v>
      </c>
      <c r="E33" s="2964"/>
      <c r="F33" s="2964" t="s">
        <v>3239</v>
      </c>
      <c r="G33" s="2964" t="s">
        <v>3230</v>
      </c>
      <c r="H33" s="2964" t="s">
        <v>3231</v>
      </c>
      <c r="I33" s="2964"/>
      <c r="J33" s="2965"/>
      <c r="K33" s="2965"/>
      <c r="L33" s="2965"/>
      <c r="M33" s="2965"/>
      <c r="N33" s="2965"/>
      <c r="O33" s="2965"/>
      <c r="P33" s="2965"/>
      <c r="Q33" s="2965"/>
      <c r="R33" s="2965"/>
      <c r="S33" s="2965"/>
      <c r="T33" s="2965"/>
      <c r="U33" s="2965"/>
      <c r="V33" s="2965"/>
      <c r="W33" s="2965"/>
      <c r="X33" s="2965"/>
      <c r="Y33" s="2965"/>
      <c r="Z33" s="2964" t="s">
        <v>3237</v>
      </c>
      <c r="AA33" s="2964" t="s">
        <v>3237</v>
      </c>
      <c r="AB33" s="2964" t="s">
        <v>3237</v>
      </c>
      <c r="AC33" s="2965"/>
      <c r="AD33" s="2965"/>
      <c r="AE33" s="2965"/>
      <c r="AF33" s="2965"/>
    </row>
    <row r="34" spans="1:32" ht="14.1" customHeight="1">
      <c r="A34" s="2964" t="s">
        <v>3225</v>
      </c>
      <c r="B34" s="2964" t="s">
        <v>3226</v>
      </c>
      <c r="C34" s="2964" t="s">
        <v>3227</v>
      </c>
      <c r="D34" s="2964" t="s">
        <v>3277</v>
      </c>
      <c r="E34" s="2964"/>
      <c r="F34" s="2964" t="s">
        <v>3241</v>
      </c>
      <c r="G34" s="2964" t="s">
        <v>3230</v>
      </c>
      <c r="H34" s="2964" t="s">
        <v>3231</v>
      </c>
      <c r="I34" s="2964"/>
      <c r="J34" s="2965"/>
      <c r="K34" s="2965"/>
      <c r="L34" s="2965"/>
      <c r="M34" s="2965"/>
      <c r="N34" s="2965"/>
      <c r="O34" s="2965"/>
      <c r="P34" s="2965"/>
      <c r="Q34" s="2965"/>
      <c r="R34" s="2965"/>
      <c r="S34" s="2965"/>
      <c r="T34" s="2965"/>
      <c r="U34" s="2965"/>
      <c r="V34" s="2965"/>
      <c r="W34" s="2965"/>
      <c r="X34" s="2965"/>
      <c r="Y34" s="2965"/>
      <c r="Z34" s="2964" t="s">
        <v>3237</v>
      </c>
      <c r="AA34" s="2964" t="s">
        <v>3237</v>
      </c>
      <c r="AB34" s="2964" t="s">
        <v>3237</v>
      </c>
      <c r="AC34" s="2965"/>
      <c r="AD34" s="2965"/>
      <c r="AE34" s="2965"/>
      <c r="AF34" s="2965"/>
    </row>
    <row r="35" spans="1:32" ht="14.1" customHeight="1">
      <c r="A35" s="2964" t="s">
        <v>3225</v>
      </c>
      <c r="B35" s="2964" t="s">
        <v>3226</v>
      </c>
      <c r="C35" s="2964" t="s">
        <v>3227</v>
      </c>
      <c r="D35" s="2964" t="s">
        <v>3278</v>
      </c>
      <c r="E35" s="2964" t="s">
        <v>3278</v>
      </c>
      <c r="F35" s="2964" t="s">
        <v>3243</v>
      </c>
      <c r="G35" s="2964" t="s">
        <v>3244</v>
      </c>
      <c r="H35" s="2964" t="s">
        <v>3231</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3237</v>
      </c>
      <c r="AA35" s="2964" t="s">
        <v>3237</v>
      </c>
      <c r="AB35" s="2964" t="s">
        <v>3237</v>
      </c>
      <c r="AC35" s="2965">
        <v>6</v>
      </c>
      <c r="AD35" s="2965">
        <v>387.67</v>
      </c>
      <c r="AE35" s="2965">
        <v>15000</v>
      </c>
      <c r="AF35" s="2965">
        <v>581.51</v>
      </c>
    </row>
    <row r="36" spans="1:32" ht="14.1" customHeight="1">
      <c r="A36" s="2964" t="s">
        <v>3225</v>
      </c>
      <c r="B36" s="2964" t="s">
        <v>3226</v>
      </c>
      <c r="C36" s="2964" t="s">
        <v>3227</v>
      </c>
      <c r="D36" s="2964" t="s">
        <v>3279</v>
      </c>
      <c r="E36" s="2964"/>
      <c r="F36" s="2964" t="s">
        <v>3246</v>
      </c>
      <c r="G36" s="2964" t="s">
        <v>3246</v>
      </c>
      <c r="H36" s="2964" t="s">
        <v>3231</v>
      </c>
      <c r="I36" s="2964"/>
      <c r="J36" s="2965"/>
      <c r="K36" s="2965"/>
      <c r="L36" s="2965"/>
      <c r="M36" s="2965"/>
      <c r="N36" s="2965"/>
      <c r="O36" s="2965"/>
      <c r="P36" s="2965"/>
      <c r="Q36" s="2965"/>
      <c r="R36" s="2965"/>
      <c r="S36" s="2965"/>
      <c r="T36" s="2965"/>
      <c r="U36" s="2965"/>
      <c r="V36" s="2965"/>
      <c r="W36" s="2965"/>
      <c r="X36" s="2965"/>
      <c r="Y36" s="2965"/>
      <c r="Z36" s="2964" t="s">
        <v>3237</v>
      </c>
      <c r="AA36" s="2964" t="s">
        <v>3237</v>
      </c>
      <c r="AB36" s="2964" t="s">
        <v>3237</v>
      </c>
      <c r="AC36" s="2965"/>
      <c r="AD36" s="2965"/>
      <c r="AE36" s="2965"/>
      <c r="AF36" s="2965"/>
    </row>
    <row r="37" spans="1:32" ht="14.1" customHeight="1">
      <c r="A37" s="2964" t="s">
        <v>3225</v>
      </c>
      <c r="B37" s="2964" t="s">
        <v>3226</v>
      </c>
      <c r="C37" s="2964" t="s">
        <v>3227</v>
      </c>
      <c r="D37" s="2964" t="s">
        <v>3280</v>
      </c>
      <c r="E37" s="2964"/>
      <c r="F37" s="2964" t="s">
        <v>3248</v>
      </c>
      <c r="G37" s="2964" t="s">
        <v>1377</v>
      </c>
      <c r="H37" s="2964" t="s">
        <v>3231</v>
      </c>
      <c r="I37" s="2964"/>
      <c r="J37" s="2965"/>
      <c r="K37" s="2965"/>
      <c r="L37" s="2965"/>
      <c r="M37" s="2965"/>
      <c r="N37" s="2965"/>
      <c r="O37" s="2965"/>
      <c r="P37" s="2965"/>
      <c r="Q37" s="2965"/>
      <c r="R37" s="2965"/>
      <c r="S37" s="2965"/>
      <c r="T37" s="2965"/>
      <c r="U37" s="2965"/>
      <c r="V37" s="2965"/>
      <c r="W37" s="2965"/>
      <c r="X37" s="2965"/>
      <c r="Y37" s="2965"/>
      <c r="Z37" s="2964" t="s">
        <v>3237</v>
      </c>
      <c r="AA37" s="2964" t="s">
        <v>3237</v>
      </c>
      <c r="AB37" s="2964" t="s">
        <v>3237</v>
      </c>
      <c r="AC37" s="2965"/>
      <c r="AD37" s="2965"/>
      <c r="AE37" s="2965"/>
      <c r="AF37" s="2965"/>
    </row>
    <row r="38" spans="1:32" ht="14.1" customHeight="1">
      <c r="A38" s="2966" t="s">
        <v>3225</v>
      </c>
      <c r="B38" s="2966" t="s">
        <v>3226</v>
      </c>
      <c r="C38" s="2966" t="s">
        <v>3281</v>
      </c>
      <c r="D38" s="2966" t="s">
        <v>3282</v>
      </c>
      <c r="E38" s="2966" t="s">
        <v>3282</v>
      </c>
      <c r="F38" s="2966" t="s">
        <v>3282</v>
      </c>
      <c r="G38" s="2966" t="s">
        <v>3282</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3283</v>
      </c>
      <c r="AA38" s="2966" t="s">
        <v>3284</v>
      </c>
      <c r="AB38" s="2966" t="s">
        <v>3285</v>
      </c>
      <c r="AC38" s="2967">
        <v>888</v>
      </c>
      <c r="AD38" s="2967">
        <v>35345.33</v>
      </c>
      <c r="AE38" s="2967">
        <v>27530.57</v>
      </c>
      <c r="AF38" s="2967">
        <v>97307.71</v>
      </c>
    </row>
    <row r="39" spans="1:32" ht="14.1" customHeight="1">
      <c r="A39" s="2964" t="s">
        <v>3225</v>
      </c>
      <c r="B39" s="2964" t="s">
        <v>3226</v>
      </c>
      <c r="C39" s="2964" t="s">
        <v>3286</v>
      </c>
      <c r="D39" s="2964" t="s">
        <v>3287</v>
      </c>
      <c r="E39" s="2964" t="s">
        <v>3287</v>
      </c>
      <c r="F39" s="2964" t="s">
        <v>3229</v>
      </c>
      <c r="G39" s="2964" t="s">
        <v>3230</v>
      </c>
      <c r="H39" s="2964" t="s">
        <v>3231</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3288</v>
      </c>
      <c r="AA39" s="2964" t="s">
        <v>3289</v>
      </c>
      <c r="AB39" s="2964" t="s">
        <v>3290</v>
      </c>
      <c r="AC39" s="2965">
        <v>440</v>
      </c>
      <c r="AD39" s="2965">
        <v>16787.009999999998</v>
      </c>
      <c r="AE39" s="2965">
        <v>33931.910000000003</v>
      </c>
      <c r="AF39" s="2965">
        <v>56961.53</v>
      </c>
    </row>
    <row r="40" spans="1:32" ht="14.1" customHeight="1">
      <c r="A40" s="2964" t="s">
        <v>3225</v>
      </c>
      <c r="B40" s="2964" t="s">
        <v>3226</v>
      </c>
      <c r="C40" s="2964" t="s">
        <v>3286</v>
      </c>
      <c r="D40" s="2964" t="s">
        <v>3291</v>
      </c>
      <c r="E40" s="2964"/>
      <c r="F40" s="2964" t="s">
        <v>3236</v>
      </c>
      <c r="G40" s="2964" t="s">
        <v>3230</v>
      </c>
      <c r="H40" s="2964" t="s">
        <v>3231</v>
      </c>
      <c r="I40" s="2964"/>
      <c r="J40" s="2965"/>
      <c r="K40" s="2965"/>
      <c r="L40" s="2965"/>
      <c r="M40" s="2965"/>
      <c r="N40" s="2965"/>
      <c r="O40" s="2965"/>
      <c r="P40" s="2965"/>
      <c r="Q40" s="2965"/>
      <c r="R40" s="2965"/>
      <c r="S40" s="2965"/>
      <c r="T40" s="2965"/>
      <c r="U40" s="2965"/>
      <c r="V40" s="2965"/>
      <c r="W40" s="2965"/>
      <c r="X40" s="2965"/>
      <c r="Y40" s="2965"/>
      <c r="Z40" s="2964" t="s">
        <v>3237</v>
      </c>
      <c r="AA40" s="2964" t="s">
        <v>3237</v>
      </c>
      <c r="AB40" s="2964" t="s">
        <v>3237</v>
      </c>
      <c r="AC40" s="2965"/>
      <c r="AD40" s="2965"/>
      <c r="AE40" s="2965"/>
      <c r="AF40" s="2965"/>
    </row>
    <row r="41" spans="1:32" ht="14.1" customHeight="1">
      <c r="A41" s="2964" t="s">
        <v>3225</v>
      </c>
      <c r="B41" s="2964" t="s">
        <v>3226</v>
      </c>
      <c r="C41" s="2964" t="s">
        <v>3286</v>
      </c>
      <c r="D41" s="2964" t="s">
        <v>3292</v>
      </c>
      <c r="E41" s="2964" t="s">
        <v>3292</v>
      </c>
      <c r="F41" s="2964" t="s">
        <v>3239</v>
      </c>
      <c r="G41" s="2964" t="s">
        <v>3230</v>
      </c>
      <c r="H41" s="2964" t="s">
        <v>3231</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3293</v>
      </c>
      <c r="AA41" s="2964" t="s">
        <v>3294</v>
      </c>
      <c r="AB41" s="2964" t="s">
        <v>3295</v>
      </c>
      <c r="AC41" s="2965">
        <v>62</v>
      </c>
      <c r="AD41" s="2965">
        <v>2746.57</v>
      </c>
      <c r="AE41" s="2965">
        <v>31944.19</v>
      </c>
      <c r="AF41" s="2965">
        <v>8773.7000000000007</v>
      </c>
    </row>
    <row r="42" spans="1:32" ht="14.1" customHeight="1">
      <c r="A42" s="2964" t="s">
        <v>3225</v>
      </c>
      <c r="B42" s="2964" t="s">
        <v>3226</v>
      </c>
      <c r="C42" s="2964" t="s">
        <v>3286</v>
      </c>
      <c r="D42" s="2964" t="s">
        <v>3296</v>
      </c>
      <c r="E42" s="2964" t="s">
        <v>3296</v>
      </c>
      <c r="F42" s="2964" t="s">
        <v>3241</v>
      </c>
      <c r="G42" s="2964" t="s">
        <v>3230</v>
      </c>
      <c r="H42" s="2964" t="s">
        <v>3231</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3297</v>
      </c>
      <c r="AA42" s="2964" t="s">
        <v>3298</v>
      </c>
      <c r="AB42" s="2964" t="s">
        <v>3299</v>
      </c>
      <c r="AC42" s="2965">
        <v>17</v>
      </c>
      <c r="AD42" s="2965">
        <v>1131.79</v>
      </c>
      <c r="AE42" s="2965">
        <v>33295.72</v>
      </c>
      <c r="AF42" s="2965">
        <v>3768.38</v>
      </c>
    </row>
    <row r="43" spans="1:32" ht="14.1" customHeight="1">
      <c r="A43" s="2964" t="s">
        <v>3225</v>
      </c>
      <c r="B43" s="2964" t="s">
        <v>3226</v>
      </c>
      <c r="C43" s="2964" t="s">
        <v>3286</v>
      </c>
      <c r="D43" s="2964" t="s">
        <v>3300</v>
      </c>
      <c r="E43" s="2964" t="s">
        <v>3300</v>
      </c>
      <c r="F43" s="2964" t="s">
        <v>3243</v>
      </c>
      <c r="G43" s="2964" t="s">
        <v>3244</v>
      </c>
      <c r="H43" s="2964" t="s">
        <v>3231</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3301</v>
      </c>
      <c r="AA43" s="2964" t="s">
        <v>3302</v>
      </c>
      <c r="AB43" s="2964" t="s">
        <v>3302</v>
      </c>
      <c r="AC43" s="2965">
        <v>15</v>
      </c>
      <c r="AD43" s="2965">
        <v>774.89</v>
      </c>
      <c r="AE43" s="2965">
        <v>15000</v>
      </c>
      <c r="AF43" s="2965">
        <v>1162.3399999999999</v>
      </c>
    </row>
    <row r="44" spans="1:32" ht="14.1" customHeight="1">
      <c r="A44" s="2964" t="s">
        <v>3225</v>
      </c>
      <c r="B44" s="2964" t="s">
        <v>3226</v>
      </c>
      <c r="C44" s="2964" t="s">
        <v>3286</v>
      </c>
      <c r="D44" s="2964" t="s">
        <v>3303</v>
      </c>
      <c r="E44" s="2964" t="s">
        <v>3303</v>
      </c>
      <c r="F44" s="2964" t="s">
        <v>3248</v>
      </c>
      <c r="G44" s="2964" t="s">
        <v>1377</v>
      </c>
      <c r="H44" s="2964" t="s">
        <v>3231</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3304</v>
      </c>
      <c r="AA44" s="2964" t="s">
        <v>3305</v>
      </c>
      <c r="AB44" s="2964" t="s">
        <v>3306</v>
      </c>
      <c r="AC44" s="2965">
        <v>22</v>
      </c>
      <c r="AD44" s="2965">
        <v>2090.77</v>
      </c>
      <c r="AE44" s="2965">
        <v>49151.03</v>
      </c>
      <c r="AF44" s="2965">
        <v>10276.35</v>
      </c>
    </row>
    <row r="45" spans="1:32" ht="14.1" customHeight="1">
      <c r="A45" s="2964" t="s">
        <v>3225</v>
      </c>
      <c r="B45" s="2964" t="s">
        <v>3226</v>
      </c>
      <c r="C45" s="2964" t="s">
        <v>3286</v>
      </c>
      <c r="D45" s="2964" t="s">
        <v>3307</v>
      </c>
      <c r="E45" s="2964" t="s">
        <v>3307</v>
      </c>
      <c r="F45" s="2964" t="s">
        <v>3229</v>
      </c>
      <c r="G45" s="2964" t="s">
        <v>3230</v>
      </c>
      <c r="H45" s="2964" t="s">
        <v>3231</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3308</v>
      </c>
      <c r="AA45" s="2964" t="s">
        <v>3309</v>
      </c>
      <c r="AB45" s="2964" t="s">
        <v>3310</v>
      </c>
      <c r="AC45" s="2965">
        <v>136</v>
      </c>
      <c r="AD45" s="2965">
        <v>5840.07</v>
      </c>
      <c r="AE45" s="2965">
        <v>33849.769999999997</v>
      </c>
      <c r="AF45" s="2965">
        <v>19768.5</v>
      </c>
    </row>
    <row r="46" spans="1:32" ht="14.1" customHeight="1">
      <c r="A46" s="2964" t="s">
        <v>3225</v>
      </c>
      <c r="B46" s="2964" t="s">
        <v>3226</v>
      </c>
      <c r="C46" s="2964" t="s">
        <v>3286</v>
      </c>
      <c r="D46" s="2964" t="s">
        <v>3311</v>
      </c>
      <c r="E46" s="2964"/>
      <c r="F46" s="2964" t="s">
        <v>3236</v>
      </c>
      <c r="G46" s="2964" t="s">
        <v>3230</v>
      </c>
      <c r="H46" s="2964" t="s">
        <v>3231</v>
      </c>
      <c r="I46" s="2964"/>
      <c r="J46" s="2965"/>
      <c r="K46" s="2965"/>
      <c r="L46" s="2965"/>
      <c r="M46" s="2965"/>
      <c r="N46" s="2965"/>
      <c r="O46" s="2965"/>
      <c r="P46" s="2965"/>
      <c r="Q46" s="2965"/>
      <c r="R46" s="2965"/>
      <c r="S46" s="2965"/>
      <c r="T46" s="2965"/>
      <c r="U46" s="2965"/>
      <c r="V46" s="2965"/>
      <c r="W46" s="2965"/>
      <c r="X46" s="2965"/>
      <c r="Y46" s="2965"/>
      <c r="Z46" s="2964" t="s">
        <v>3237</v>
      </c>
      <c r="AA46" s="2964" t="s">
        <v>3237</v>
      </c>
      <c r="AB46" s="2964" t="s">
        <v>3237</v>
      </c>
      <c r="AC46" s="2965"/>
      <c r="AD46" s="2965"/>
      <c r="AE46" s="2965"/>
      <c r="AF46" s="2965"/>
    </row>
    <row r="47" spans="1:32" ht="14.1" customHeight="1">
      <c r="A47" s="2964" t="s">
        <v>3225</v>
      </c>
      <c r="B47" s="2964" t="s">
        <v>3226</v>
      </c>
      <c r="C47" s="2964" t="s">
        <v>3286</v>
      </c>
      <c r="D47" s="2964" t="s">
        <v>3312</v>
      </c>
      <c r="E47" s="2964"/>
      <c r="F47" s="2964" t="s">
        <v>3239</v>
      </c>
      <c r="G47" s="2964" t="s">
        <v>3230</v>
      </c>
      <c r="H47" s="2964" t="s">
        <v>3231</v>
      </c>
      <c r="I47" s="2964"/>
      <c r="J47" s="2965"/>
      <c r="K47" s="2965"/>
      <c r="L47" s="2965"/>
      <c r="M47" s="2965"/>
      <c r="N47" s="2965"/>
      <c r="O47" s="2965"/>
      <c r="P47" s="2965"/>
      <c r="Q47" s="2965"/>
      <c r="R47" s="2965"/>
      <c r="S47" s="2965"/>
      <c r="T47" s="2965"/>
      <c r="U47" s="2965"/>
      <c r="V47" s="2965"/>
      <c r="W47" s="2965"/>
      <c r="X47" s="2965"/>
      <c r="Y47" s="2965"/>
      <c r="Z47" s="2964" t="s">
        <v>3237</v>
      </c>
      <c r="AA47" s="2964" t="s">
        <v>3237</v>
      </c>
      <c r="AB47" s="2964" t="s">
        <v>3237</v>
      </c>
      <c r="AC47" s="2965"/>
      <c r="AD47" s="2965"/>
      <c r="AE47" s="2965"/>
      <c r="AF47" s="2965"/>
    </row>
    <row r="48" spans="1:32" ht="14.1" customHeight="1">
      <c r="A48" s="2964" t="s">
        <v>3225</v>
      </c>
      <c r="B48" s="2964" t="s">
        <v>3226</v>
      </c>
      <c r="C48" s="2964" t="s">
        <v>3286</v>
      </c>
      <c r="D48" s="2964" t="s">
        <v>3313</v>
      </c>
      <c r="E48" s="2964" t="s">
        <v>3313</v>
      </c>
      <c r="F48" s="2964" t="s">
        <v>3241</v>
      </c>
      <c r="G48" s="2964" t="s">
        <v>3230</v>
      </c>
      <c r="H48" s="2964" t="s">
        <v>3231</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3237</v>
      </c>
      <c r="AA48" s="2964" t="s">
        <v>3237</v>
      </c>
      <c r="AB48" s="2964" t="s">
        <v>3237</v>
      </c>
      <c r="AC48" s="2965">
        <v>18</v>
      </c>
      <c r="AD48" s="2965">
        <v>891.45</v>
      </c>
      <c r="AE48" s="2965">
        <v>35613.68</v>
      </c>
      <c r="AF48" s="2965">
        <v>3174.78</v>
      </c>
    </row>
    <row r="49" spans="1:32" ht="14.1" customHeight="1">
      <c r="A49" s="2964" t="s">
        <v>3225</v>
      </c>
      <c r="B49" s="2964" t="s">
        <v>3226</v>
      </c>
      <c r="C49" s="2964" t="s">
        <v>3286</v>
      </c>
      <c r="D49" s="2964" t="s">
        <v>3314</v>
      </c>
      <c r="E49" s="2964" t="s">
        <v>3314</v>
      </c>
      <c r="F49" s="2964" t="s">
        <v>3243</v>
      </c>
      <c r="G49" s="2964" t="s">
        <v>3244</v>
      </c>
      <c r="H49" s="2964" t="s">
        <v>3231</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3315</v>
      </c>
      <c r="AA49" s="2964" t="s">
        <v>3316</v>
      </c>
      <c r="AB49" s="2964" t="s">
        <v>3316</v>
      </c>
      <c r="AC49" s="2965">
        <v>9</v>
      </c>
      <c r="AD49" s="2965">
        <v>583.5</v>
      </c>
      <c r="AE49" s="2965">
        <v>15000</v>
      </c>
      <c r="AF49" s="2965">
        <v>875.25</v>
      </c>
    </row>
    <row r="50" spans="1:32" ht="14.1" customHeight="1">
      <c r="A50" s="2964" t="s">
        <v>3225</v>
      </c>
      <c r="B50" s="2964" t="s">
        <v>3226</v>
      </c>
      <c r="C50" s="2964" t="s">
        <v>3286</v>
      </c>
      <c r="D50" s="2964" t="s">
        <v>3317</v>
      </c>
      <c r="E50" s="2964" t="s">
        <v>3317</v>
      </c>
      <c r="F50" s="2964" t="s">
        <v>3248</v>
      </c>
      <c r="G50" s="2964" t="s">
        <v>1377</v>
      </c>
      <c r="H50" s="2964" t="s">
        <v>3231</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3318</v>
      </c>
      <c r="AA50" s="2964" t="s">
        <v>3319</v>
      </c>
      <c r="AB50" s="2964" t="s">
        <v>3320</v>
      </c>
      <c r="AC50" s="2965">
        <v>11</v>
      </c>
      <c r="AD50" s="2965">
        <v>754.47</v>
      </c>
      <c r="AE50" s="2965">
        <v>50697.96</v>
      </c>
      <c r="AF50" s="2965">
        <v>3825.01</v>
      </c>
    </row>
    <row r="51" spans="1:32" ht="14.1" customHeight="1">
      <c r="A51" s="2966" t="s">
        <v>3225</v>
      </c>
      <c r="B51" s="2966" t="s">
        <v>3226</v>
      </c>
      <c r="C51" s="2966" t="s">
        <v>3321</v>
      </c>
      <c r="D51" s="2966" t="s">
        <v>3282</v>
      </c>
      <c r="E51" s="2966" t="s">
        <v>3282</v>
      </c>
      <c r="F51" s="2966" t="s">
        <v>3282</v>
      </c>
      <c r="G51" s="2966" t="s">
        <v>3282</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3322</v>
      </c>
      <c r="AA51" s="2966" t="s">
        <v>3323</v>
      </c>
      <c r="AB51" s="2966" t="s">
        <v>3324</v>
      </c>
      <c r="AC51" s="2967">
        <v>730</v>
      </c>
      <c r="AD51" s="2967">
        <v>31600.52</v>
      </c>
      <c r="AE51" s="2967">
        <v>34362.04</v>
      </c>
      <c r="AF51" s="2967">
        <v>108585.83</v>
      </c>
    </row>
    <row r="52" spans="1:32" ht="14.1" customHeight="1">
      <c r="A52" s="2964" t="s">
        <v>3225</v>
      </c>
      <c r="B52" s="2964" t="s">
        <v>3226</v>
      </c>
      <c r="C52" s="2964" t="s">
        <v>3325</v>
      </c>
      <c r="D52" s="2964" t="s">
        <v>3326</v>
      </c>
      <c r="E52" s="2964" t="s">
        <v>3326</v>
      </c>
      <c r="F52" s="2964" t="s">
        <v>3229</v>
      </c>
      <c r="G52" s="2964" t="s">
        <v>3230</v>
      </c>
      <c r="H52" s="2964" t="s">
        <v>3231</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3327</v>
      </c>
      <c r="AA52" s="2964" t="s">
        <v>3328</v>
      </c>
      <c r="AB52" s="2964" t="s">
        <v>3329</v>
      </c>
      <c r="AC52" s="2965">
        <v>195</v>
      </c>
      <c r="AD52" s="2965">
        <v>7295.23</v>
      </c>
      <c r="AE52" s="2965">
        <v>28342.01</v>
      </c>
      <c r="AF52" s="2965">
        <v>20676.150000000001</v>
      </c>
    </row>
    <row r="53" spans="1:32" ht="14.1" customHeight="1">
      <c r="A53" s="2964" t="s">
        <v>3225</v>
      </c>
      <c r="B53" s="2964" t="s">
        <v>3226</v>
      </c>
      <c r="C53" s="2964" t="s">
        <v>3325</v>
      </c>
      <c r="D53" s="2964" t="s">
        <v>3330</v>
      </c>
      <c r="E53" s="2964" t="s">
        <v>3330</v>
      </c>
      <c r="F53" s="2964" t="s">
        <v>3236</v>
      </c>
      <c r="G53" s="2964" t="s">
        <v>3230</v>
      </c>
      <c r="H53" s="2964" t="s">
        <v>3231</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3331</v>
      </c>
      <c r="AA53" s="2964" t="s">
        <v>3332</v>
      </c>
      <c r="AB53" s="2964" t="s">
        <v>3333</v>
      </c>
      <c r="AC53" s="2965">
        <v>12</v>
      </c>
      <c r="AD53" s="2965">
        <v>511.03</v>
      </c>
      <c r="AE53" s="2965">
        <v>24940.82</v>
      </c>
      <c r="AF53" s="2965">
        <v>1274.55</v>
      </c>
    </row>
    <row r="54" spans="1:32" ht="14.1" customHeight="1">
      <c r="A54" s="2964" t="s">
        <v>3225</v>
      </c>
      <c r="B54" s="2964" t="s">
        <v>3226</v>
      </c>
      <c r="C54" s="2964" t="s">
        <v>3325</v>
      </c>
      <c r="D54" s="2964" t="s">
        <v>3334</v>
      </c>
      <c r="E54" s="2964"/>
      <c r="F54" s="2964" t="s">
        <v>3239</v>
      </c>
      <c r="G54" s="2964" t="s">
        <v>3230</v>
      </c>
      <c r="H54" s="2964" t="s">
        <v>3231</v>
      </c>
      <c r="I54" s="2964"/>
      <c r="J54" s="2965"/>
      <c r="K54" s="2965"/>
      <c r="L54" s="2965"/>
      <c r="M54" s="2965"/>
      <c r="N54" s="2965"/>
      <c r="O54" s="2965"/>
      <c r="P54" s="2965"/>
      <c r="Q54" s="2965"/>
      <c r="R54" s="2965"/>
      <c r="S54" s="2965"/>
      <c r="T54" s="2965"/>
      <c r="U54" s="2965"/>
      <c r="V54" s="2965"/>
      <c r="W54" s="2965"/>
      <c r="X54" s="2965"/>
      <c r="Y54" s="2965"/>
      <c r="Z54" s="2964" t="s">
        <v>3237</v>
      </c>
      <c r="AA54" s="2964" t="s">
        <v>3237</v>
      </c>
      <c r="AB54" s="2964" t="s">
        <v>3237</v>
      </c>
      <c r="AC54" s="2965"/>
      <c r="AD54" s="2965"/>
      <c r="AE54" s="2965"/>
      <c r="AF54" s="2965"/>
    </row>
    <row r="55" spans="1:32" ht="14.1" customHeight="1">
      <c r="A55" s="2964" t="s">
        <v>3225</v>
      </c>
      <c r="B55" s="2964" t="s">
        <v>3226</v>
      </c>
      <c r="C55" s="2964" t="s">
        <v>3325</v>
      </c>
      <c r="D55" s="2964" t="s">
        <v>3335</v>
      </c>
      <c r="E55" s="2964"/>
      <c r="F55" s="2964" t="s">
        <v>3241</v>
      </c>
      <c r="G55" s="2964" t="s">
        <v>3230</v>
      </c>
      <c r="H55" s="2964" t="s">
        <v>3231</v>
      </c>
      <c r="I55" s="2964"/>
      <c r="J55" s="2965"/>
      <c r="K55" s="2965"/>
      <c r="L55" s="2965"/>
      <c r="M55" s="2965"/>
      <c r="N55" s="2965"/>
      <c r="O55" s="2965"/>
      <c r="P55" s="2965"/>
      <c r="Q55" s="2965"/>
      <c r="R55" s="2965"/>
      <c r="S55" s="2965"/>
      <c r="T55" s="2965"/>
      <c r="U55" s="2965"/>
      <c r="V55" s="2965"/>
      <c r="W55" s="2965"/>
      <c r="X55" s="2965"/>
      <c r="Y55" s="2965"/>
      <c r="Z55" s="2964" t="s">
        <v>3237</v>
      </c>
      <c r="AA55" s="2964" t="s">
        <v>3237</v>
      </c>
      <c r="AB55" s="2964" t="s">
        <v>3237</v>
      </c>
      <c r="AC55" s="2965"/>
      <c r="AD55" s="2965"/>
      <c r="AE55" s="2965"/>
      <c r="AF55" s="2965"/>
    </row>
    <row r="56" spans="1:32" ht="14.1" customHeight="1">
      <c r="A56" s="2964" t="s">
        <v>3225</v>
      </c>
      <c r="B56" s="2964" t="s">
        <v>3226</v>
      </c>
      <c r="C56" s="2964" t="s">
        <v>3325</v>
      </c>
      <c r="D56" s="2964" t="s">
        <v>3336</v>
      </c>
      <c r="E56" s="2964" t="s">
        <v>3336</v>
      </c>
      <c r="F56" s="2964" t="s">
        <v>3243</v>
      </c>
      <c r="G56" s="2964" t="s">
        <v>3244</v>
      </c>
      <c r="H56" s="2964" t="s">
        <v>3231</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3337</v>
      </c>
      <c r="AA56" s="2964" t="s">
        <v>3338</v>
      </c>
      <c r="AB56" s="2964" t="s">
        <v>3338</v>
      </c>
      <c r="AC56" s="2965">
        <v>15</v>
      </c>
      <c r="AD56" s="2965">
        <v>1127.45</v>
      </c>
      <c r="AE56" s="2965">
        <v>15000</v>
      </c>
      <c r="AF56" s="2965">
        <v>1691.18</v>
      </c>
    </row>
    <row r="57" spans="1:32" ht="14.1" customHeight="1">
      <c r="A57" s="2964" t="s">
        <v>3225</v>
      </c>
      <c r="B57" s="2964" t="s">
        <v>3226</v>
      </c>
      <c r="C57" s="2964" t="s">
        <v>3325</v>
      </c>
      <c r="D57" s="2964" t="s">
        <v>3339</v>
      </c>
      <c r="E57" s="2964" t="s">
        <v>3339</v>
      </c>
      <c r="F57" s="2964" t="s">
        <v>3246</v>
      </c>
      <c r="G57" s="2964" t="s">
        <v>3246</v>
      </c>
      <c r="H57" s="2964" t="s">
        <v>3231</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3340</v>
      </c>
      <c r="AA57" s="2964" t="s">
        <v>3341</v>
      </c>
      <c r="AB57" s="2964" t="s">
        <v>3342</v>
      </c>
      <c r="AC57" s="2965">
        <v>1</v>
      </c>
      <c r="AD57" s="2965">
        <v>43.84</v>
      </c>
      <c r="AE57" s="2965">
        <v>33302.92</v>
      </c>
      <c r="AF57" s="2965">
        <v>146</v>
      </c>
    </row>
    <row r="58" spans="1:32" ht="14.1" customHeight="1">
      <c r="A58" s="2964" t="s">
        <v>3225</v>
      </c>
      <c r="B58" s="2964" t="s">
        <v>3226</v>
      </c>
      <c r="C58" s="2964" t="s">
        <v>3325</v>
      </c>
      <c r="D58" s="2964" t="s">
        <v>3343</v>
      </c>
      <c r="E58" s="2964" t="s">
        <v>3343</v>
      </c>
      <c r="F58" s="2964" t="s">
        <v>3248</v>
      </c>
      <c r="G58" s="2964" t="s">
        <v>1377</v>
      </c>
      <c r="H58" s="2964" t="s">
        <v>3231</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3344</v>
      </c>
      <c r="AA58" s="2964" t="s">
        <v>3345</v>
      </c>
      <c r="AB58" s="2964" t="s">
        <v>3346</v>
      </c>
      <c r="AC58" s="2965">
        <v>29</v>
      </c>
      <c r="AD58" s="2965">
        <v>1203.75</v>
      </c>
      <c r="AE58" s="2965">
        <v>51634.11</v>
      </c>
      <c r="AF58" s="2965">
        <v>6215.46</v>
      </c>
    </row>
    <row r="59" spans="1:32" ht="14.1" customHeight="1">
      <c r="A59" s="2964" t="s">
        <v>3225</v>
      </c>
      <c r="B59" s="2964" t="s">
        <v>3226</v>
      </c>
      <c r="C59" s="2964" t="s">
        <v>3325</v>
      </c>
      <c r="D59" s="2964" t="s">
        <v>3347</v>
      </c>
      <c r="E59" s="2964" t="s">
        <v>3347</v>
      </c>
      <c r="F59" s="2964" t="s">
        <v>3229</v>
      </c>
      <c r="G59" s="2964" t="s">
        <v>3230</v>
      </c>
      <c r="H59" s="2964" t="s">
        <v>3231</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3348</v>
      </c>
      <c r="AA59" s="2964" t="s">
        <v>3233</v>
      </c>
      <c r="AB59" s="2964" t="s">
        <v>3274</v>
      </c>
      <c r="AC59" s="2965">
        <v>373</v>
      </c>
      <c r="AD59" s="2965">
        <v>13489.62</v>
      </c>
      <c r="AE59" s="2965">
        <v>28034.61</v>
      </c>
      <c r="AF59" s="2965">
        <v>37817.620000000003</v>
      </c>
    </row>
    <row r="60" spans="1:32" ht="14.1" customHeight="1">
      <c r="A60" s="2964" t="s">
        <v>3225</v>
      </c>
      <c r="B60" s="2964" t="s">
        <v>3226</v>
      </c>
      <c r="C60" s="2964" t="s">
        <v>3325</v>
      </c>
      <c r="D60" s="2964" t="s">
        <v>3349</v>
      </c>
      <c r="E60" s="2964" t="s">
        <v>3349</v>
      </c>
      <c r="F60" s="2964" t="s">
        <v>3236</v>
      </c>
      <c r="G60" s="2964" t="s">
        <v>3230</v>
      </c>
      <c r="H60" s="2964" t="s">
        <v>3231</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3237</v>
      </c>
      <c r="AA60" s="2964" t="s">
        <v>3237</v>
      </c>
      <c r="AB60" s="2964" t="s">
        <v>3237</v>
      </c>
      <c r="AC60" s="2965">
        <v>14</v>
      </c>
      <c r="AD60" s="2965">
        <v>675.4</v>
      </c>
      <c r="AE60" s="2965">
        <v>27698.99</v>
      </c>
      <c r="AF60" s="2965">
        <v>1870.79</v>
      </c>
    </row>
    <row r="61" spans="1:32" ht="14.1" customHeight="1">
      <c r="A61" s="2964" t="s">
        <v>3225</v>
      </c>
      <c r="B61" s="2964" t="s">
        <v>3226</v>
      </c>
      <c r="C61" s="2964" t="s">
        <v>3325</v>
      </c>
      <c r="D61" s="2964" t="s">
        <v>3350</v>
      </c>
      <c r="E61" s="2964"/>
      <c r="F61" s="2964" t="s">
        <v>3239</v>
      </c>
      <c r="G61" s="2964" t="s">
        <v>3230</v>
      </c>
      <c r="H61" s="2964" t="s">
        <v>3231</v>
      </c>
      <c r="I61" s="2964"/>
      <c r="J61" s="2965"/>
      <c r="K61" s="2965"/>
      <c r="L61" s="2965"/>
      <c r="M61" s="2965"/>
      <c r="N61" s="2965"/>
      <c r="O61" s="2965"/>
      <c r="P61" s="2965"/>
      <c r="Q61" s="2965"/>
      <c r="R61" s="2965"/>
      <c r="S61" s="2965"/>
      <c r="T61" s="2965"/>
      <c r="U61" s="2965"/>
      <c r="V61" s="2965"/>
      <c r="W61" s="2965"/>
      <c r="X61" s="2965"/>
      <c r="Y61" s="2965"/>
      <c r="Z61" s="2964" t="s">
        <v>3237</v>
      </c>
      <c r="AA61" s="2964" t="s">
        <v>3237</v>
      </c>
      <c r="AB61" s="2964" t="s">
        <v>3237</v>
      </c>
      <c r="AC61" s="2965"/>
      <c r="AD61" s="2965"/>
      <c r="AE61" s="2965"/>
      <c r="AF61" s="2965"/>
    </row>
    <row r="62" spans="1:32" ht="14.1" customHeight="1">
      <c r="A62" s="2964" t="s">
        <v>3225</v>
      </c>
      <c r="B62" s="2964" t="s">
        <v>3226</v>
      </c>
      <c r="C62" s="2964" t="s">
        <v>3325</v>
      </c>
      <c r="D62" s="2964" t="s">
        <v>3351</v>
      </c>
      <c r="E62" s="2964"/>
      <c r="F62" s="2964" t="s">
        <v>3241</v>
      </c>
      <c r="G62" s="2964" t="s">
        <v>3230</v>
      </c>
      <c r="H62" s="2964" t="s">
        <v>3231</v>
      </c>
      <c r="I62" s="2964"/>
      <c r="J62" s="2965"/>
      <c r="K62" s="2965"/>
      <c r="L62" s="2965"/>
      <c r="M62" s="2965"/>
      <c r="N62" s="2965"/>
      <c r="O62" s="2965"/>
      <c r="P62" s="2965"/>
      <c r="Q62" s="2965"/>
      <c r="R62" s="2965"/>
      <c r="S62" s="2965"/>
      <c r="T62" s="2965"/>
      <c r="U62" s="2965"/>
      <c r="V62" s="2965"/>
      <c r="W62" s="2965"/>
      <c r="X62" s="2965"/>
      <c r="Y62" s="2965"/>
      <c r="Z62" s="2964" t="s">
        <v>3237</v>
      </c>
      <c r="AA62" s="2964" t="s">
        <v>3237</v>
      </c>
      <c r="AB62" s="2964" t="s">
        <v>3237</v>
      </c>
      <c r="AC62" s="2965"/>
      <c r="AD62" s="2965"/>
      <c r="AE62" s="2965"/>
      <c r="AF62" s="2965"/>
    </row>
    <row r="63" spans="1:32" ht="14.1" customHeight="1">
      <c r="A63" s="2964" t="s">
        <v>3225</v>
      </c>
      <c r="B63" s="2964" t="s">
        <v>3226</v>
      </c>
      <c r="C63" s="2964" t="s">
        <v>3325</v>
      </c>
      <c r="D63" s="2964" t="s">
        <v>3352</v>
      </c>
      <c r="E63" s="2964" t="s">
        <v>3352</v>
      </c>
      <c r="F63" s="2964" t="s">
        <v>3243</v>
      </c>
      <c r="G63" s="2964" t="s">
        <v>3244</v>
      </c>
      <c r="H63" s="2964" t="s">
        <v>3231</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3237</v>
      </c>
      <c r="AA63" s="2964" t="s">
        <v>3237</v>
      </c>
      <c r="AB63" s="2964" t="s">
        <v>3237</v>
      </c>
      <c r="AC63" s="2965">
        <v>15</v>
      </c>
      <c r="AD63" s="2965">
        <v>869.54</v>
      </c>
      <c r="AE63" s="2965">
        <v>15000</v>
      </c>
      <c r="AF63" s="2965">
        <v>1304.31</v>
      </c>
    </row>
    <row r="64" spans="1:32" ht="14.1" customHeight="1">
      <c r="A64" s="2964" t="s">
        <v>3225</v>
      </c>
      <c r="B64" s="2964" t="s">
        <v>3226</v>
      </c>
      <c r="C64" s="2964" t="s">
        <v>3325</v>
      </c>
      <c r="D64" s="2964" t="s">
        <v>3353</v>
      </c>
      <c r="E64" s="2964"/>
      <c r="F64" s="2964" t="s">
        <v>3246</v>
      </c>
      <c r="G64" s="2964" t="s">
        <v>3246</v>
      </c>
      <c r="H64" s="2964" t="s">
        <v>3231</v>
      </c>
      <c r="I64" s="2964"/>
      <c r="J64" s="2965"/>
      <c r="K64" s="2965"/>
      <c r="L64" s="2965"/>
      <c r="M64" s="2965"/>
      <c r="N64" s="2965"/>
      <c r="O64" s="2965"/>
      <c r="P64" s="2965"/>
      <c r="Q64" s="2965"/>
      <c r="R64" s="2965"/>
      <c r="S64" s="2965"/>
      <c r="T64" s="2965"/>
      <c r="U64" s="2965"/>
      <c r="V64" s="2965"/>
      <c r="W64" s="2965"/>
      <c r="X64" s="2965"/>
      <c r="Y64" s="2965"/>
      <c r="Z64" s="2964" t="s">
        <v>3237</v>
      </c>
      <c r="AA64" s="2964" t="s">
        <v>3237</v>
      </c>
      <c r="AB64" s="2964" t="s">
        <v>3237</v>
      </c>
      <c r="AC64" s="2965"/>
      <c r="AD64" s="2965"/>
      <c r="AE64" s="2965"/>
      <c r="AF64" s="2965"/>
    </row>
    <row r="65" spans="1:32" ht="14.1" customHeight="1">
      <c r="A65" s="2964" t="s">
        <v>3225</v>
      </c>
      <c r="B65" s="2964" t="s">
        <v>3226</v>
      </c>
      <c r="C65" s="2964" t="s">
        <v>3325</v>
      </c>
      <c r="D65" s="2964" t="s">
        <v>3354</v>
      </c>
      <c r="E65" s="2964"/>
      <c r="F65" s="2964" t="s">
        <v>3248</v>
      </c>
      <c r="G65" s="2964" t="s">
        <v>1377</v>
      </c>
      <c r="H65" s="2964" t="s">
        <v>3231</v>
      </c>
      <c r="I65" s="2964"/>
      <c r="J65" s="2965"/>
      <c r="K65" s="2965"/>
      <c r="L65" s="2965"/>
      <c r="M65" s="2965"/>
      <c r="N65" s="2965"/>
      <c r="O65" s="2965"/>
      <c r="P65" s="2965"/>
      <c r="Q65" s="2965"/>
      <c r="R65" s="2965"/>
      <c r="S65" s="2965"/>
      <c r="T65" s="2965"/>
      <c r="U65" s="2965"/>
      <c r="V65" s="2965"/>
      <c r="W65" s="2965"/>
      <c r="X65" s="2965"/>
      <c r="Y65" s="2965"/>
      <c r="Z65" s="2964" t="s">
        <v>3237</v>
      </c>
      <c r="AA65" s="2964" t="s">
        <v>3237</v>
      </c>
      <c r="AB65" s="2964" t="s">
        <v>3237</v>
      </c>
      <c r="AC65" s="2965"/>
      <c r="AD65" s="2965"/>
      <c r="AE65" s="2965"/>
      <c r="AF65" s="2965"/>
    </row>
    <row r="66" spans="1:32" ht="14.1" customHeight="1">
      <c r="A66" s="2964" t="s">
        <v>3225</v>
      </c>
      <c r="B66" s="2964" t="s">
        <v>3226</v>
      </c>
      <c r="C66" s="2964" t="s">
        <v>3325</v>
      </c>
      <c r="D66" s="2964" t="s">
        <v>3355</v>
      </c>
      <c r="E66" s="2964" t="s">
        <v>3355</v>
      </c>
      <c r="F66" s="2964" t="s">
        <v>3229</v>
      </c>
      <c r="G66" s="2964" t="s">
        <v>3230</v>
      </c>
      <c r="H66" s="2964" t="s">
        <v>3231</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3237</v>
      </c>
      <c r="AA66" s="2964" t="s">
        <v>3237</v>
      </c>
      <c r="AB66" s="2964" t="s">
        <v>3237</v>
      </c>
      <c r="AC66" s="2965">
        <v>271</v>
      </c>
      <c r="AD66" s="2965">
        <v>9997.84</v>
      </c>
      <c r="AE66" s="2965">
        <v>28385.41</v>
      </c>
      <c r="AF66" s="2965">
        <v>28379.279999999999</v>
      </c>
    </row>
    <row r="67" spans="1:32" ht="14.1" customHeight="1">
      <c r="A67" s="2964" t="s">
        <v>3225</v>
      </c>
      <c r="B67" s="2964" t="s">
        <v>3226</v>
      </c>
      <c r="C67" s="2964" t="s">
        <v>3325</v>
      </c>
      <c r="D67" s="2964" t="s">
        <v>3356</v>
      </c>
      <c r="E67" s="2964" t="s">
        <v>3356</v>
      </c>
      <c r="F67" s="2964" t="s">
        <v>3236</v>
      </c>
      <c r="G67" s="2964" t="s">
        <v>3230</v>
      </c>
      <c r="H67" s="2964" t="s">
        <v>3231</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3357</v>
      </c>
      <c r="AA67" s="2964" t="s">
        <v>3358</v>
      </c>
      <c r="AB67" s="2964" t="s">
        <v>3359</v>
      </c>
      <c r="AC67" s="2965">
        <v>9</v>
      </c>
      <c r="AD67" s="2965">
        <v>431.32</v>
      </c>
      <c r="AE67" s="2965">
        <v>30869.85</v>
      </c>
      <c r="AF67" s="2965">
        <v>1331.48</v>
      </c>
    </row>
    <row r="68" spans="1:32" ht="14.1" customHeight="1">
      <c r="A68" s="2964" t="s">
        <v>3225</v>
      </c>
      <c r="B68" s="2964" t="s">
        <v>3226</v>
      </c>
      <c r="C68" s="2964" t="s">
        <v>3325</v>
      </c>
      <c r="D68" s="2964" t="s">
        <v>3360</v>
      </c>
      <c r="E68" s="2964"/>
      <c r="F68" s="2964" t="s">
        <v>3239</v>
      </c>
      <c r="G68" s="2964" t="s">
        <v>3230</v>
      </c>
      <c r="H68" s="2964" t="s">
        <v>3231</v>
      </c>
      <c r="I68" s="2964"/>
      <c r="J68" s="2965"/>
      <c r="K68" s="2965"/>
      <c r="L68" s="2965"/>
      <c r="M68" s="2965"/>
      <c r="N68" s="2965"/>
      <c r="O68" s="2965"/>
      <c r="P68" s="2965"/>
      <c r="Q68" s="2965"/>
      <c r="R68" s="2965"/>
      <c r="S68" s="2965"/>
      <c r="T68" s="2965"/>
      <c r="U68" s="2965"/>
      <c r="V68" s="2965"/>
      <c r="W68" s="2965"/>
      <c r="X68" s="2965"/>
      <c r="Y68" s="2965"/>
      <c r="Z68" s="2964" t="s">
        <v>3237</v>
      </c>
      <c r="AA68" s="2964" t="s">
        <v>3237</v>
      </c>
      <c r="AB68" s="2964" t="s">
        <v>3237</v>
      </c>
      <c r="AC68" s="2965"/>
      <c r="AD68" s="2965"/>
      <c r="AE68" s="2965"/>
      <c r="AF68" s="2965"/>
    </row>
    <row r="69" spans="1:32" ht="14.1" customHeight="1">
      <c r="A69" s="2964" t="s">
        <v>3225</v>
      </c>
      <c r="B69" s="2964" t="s">
        <v>3226</v>
      </c>
      <c r="C69" s="2964" t="s">
        <v>3325</v>
      </c>
      <c r="D69" s="2964" t="s">
        <v>3361</v>
      </c>
      <c r="E69" s="2964" t="s">
        <v>3361</v>
      </c>
      <c r="F69" s="2964" t="s">
        <v>3241</v>
      </c>
      <c r="G69" s="2964" t="s">
        <v>3230</v>
      </c>
      <c r="H69" s="2964" t="s">
        <v>3231</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3237</v>
      </c>
      <c r="AA69" s="2964" t="s">
        <v>3237</v>
      </c>
      <c r="AB69" s="2964" t="s">
        <v>3237</v>
      </c>
      <c r="AC69" s="2965">
        <v>3</v>
      </c>
      <c r="AD69" s="2965">
        <v>126.74</v>
      </c>
      <c r="AE69" s="2965">
        <v>35475.74</v>
      </c>
      <c r="AF69" s="2965">
        <v>449.62</v>
      </c>
    </row>
    <row r="70" spans="1:32" ht="14.1" customHeight="1">
      <c r="A70" s="2964" t="s">
        <v>3225</v>
      </c>
      <c r="B70" s="2964" t="s">
        <v>3226</v>
      </c>
      <c r="C70" s="2964" t="s">
        <v>3325</v>
      </c>
      <c r="D70" s="2964" t="s">
        <v>3362</v>
      </c>
      <c r="E70" s="2964" t="s">
        <v>3362</v>
      </c>
      <c r="F70" s="2964" t="s">
        <v>3243</v>
      </c>
      <c r="G70" s="2964" t="s">
        <v>3244</v>
      </c>
      <c r="H70" s="2964" t="s">
        <v>3231</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3318</v>
      </c>
      <c r="AA70" s="2964" t="s">
        <v>3363</v>
      </c>
      <c r="AB70" s="2964" t="s">
        <v>3363</v>
      </c>
      <c r="AC70" s="2965">
        <v>11</v>
      </c>
      <c r="AD70" s="2965">
        <v>607.91999999999996</v>
      </c>
      <c r="AE70" s="2965">
        <v>15000</v>
      </c>
      <c r="AF70" s="2965">
        <v>911.88</v>
      </c>
    </row>
    <row r="71" spans="1:32" ht="14.1" customHeight="1">
      <c r="A71" s="2964" t="s">
        <v>3225</v>
      </c>
      <c r="B71" s="2964" t="s">
        <v>3226</v>
      </c>
      <c r="C71" s="2964" t="s">
        <v>3325</v>
      </c>
      <c r="D71" s="2964" t="s">
        <v>3364</v>
      </c>
      <c r="E71" s="2964"/>
      <c r="F71" s="2964" t="s">
        <v>3246</v>
      </c>
      <c r="G71" s="2964" t="s">
        <v>3246</v>
      </c>
      <c r="H71" s="2964" t="s">
        <v>3231</v>
      </c>
      <c r="I71" s="2964"/>
      <c r="J71" s="2965"/>
      <c r="K71" s="2965"/>
      <c r="L71" s="2965"/>
      <c r="M71" s="2965"/>
      <c r="N71" s="2965"/>
      <c r="O71" s="2965"/>
      <c r="P71" s="2965"/>
      <c r="Q71" s="2965"/>
      <c r="R71" s="2965"/>
      <c r="S71" s="2965"/>
      <c r="T71" s="2965"/>
      <c r="U71" s="2965"/>
      <c r="V71" s="2965"/>
      <c r="W71" s="2965"/>
      <c r="X71" s="2965"/>
      <c r="Y71" s="2965"/>
      <c r="Z71" s="2964" t="s">
        <v>3237</v>
      </c>
      <c r="AA71" s="2964" t="s">
        <v>3237</v>
      </c>
      <c r="AB71" s="2964" t="s">
        <v>3237</v>
      </c>
      <c r="AC71" s="2965"/>
      <c r="AD71" s="2965"/>
      <c r="AE71" s="2965"/>
      <c r="AF71" s="2965"/>
    </row>
    <row r="72" spans="1:32" ht="14.1" customHeight="1">
      <c r="A72" s="2964" t="s">
        <v>3225</v>
      </c>
      <c r="B72" s="2964" t="s">
        <v>3226</v>
      </c>
      <c r="C72" s="2964" t="s">
        <v>3325</v>
      </c>
      <c r="D72" s="2964" t="s">
        <v>3365</v>
      </c>
      <c r="E72" s="2964"/>
      <c r="F72" s="2964" t="s">
        <v>3248</v>
      </c>
      <c r="G72" s="2964" t="s">
        <v>1377</v>
      </c>
      <c r="H72" s="2964" t="s">
        <v>3231</v>
      </c>
      <c r="I72" s="2964"/>
      <c r="J72" s="2965"/>
      <c r="K72" s="2965"/>
      <c r="L72" s="2965"/>
      <c r="M72" s="2965"/>
      <c r="N72" s="2965"/>
      <c r="O72" s="2965"/>
      <c r="P72" s="2965"/>
      <c r="Q72" s="2965"/>
      <c r="R72" s="2965"/>
      <c r="S72" s="2965"/>
      <c r="T72" s="2965"/>
      <c r="U72" s="2965"/>
      <c r="V72" s="2965"/>
      <c r="W72" s="2965"/>
      <c r="X72" s="2965"/>
      <c r="Y72" s="2965"/>
      <c r="Z72" s="2964" t="s">
        <v>3237</v>
      </c>
      <c r="AA72" s="2964" t="s">
        <v>3237</v>
      </c>
      <c r="AB72" s="2964" t="s">
        <v>3237</v>
      </c>
      <c r="AC72" s="2965"/>
      <c r="AD72" s="2965"/>
      <c r="AE72" s="2965"/>
      <c r="AF72" s="2965"/>
    </row>
    <row r="73" spans="1:32" ht="14.1" customHeight="1">
      <c r="A73" s="2964" t="s">
        <v>3225</v>
      </c>
      <c r="B73" s="2964" t="s">
        <v>3226</v>
      </c>
      <c r="C73" s="2964" t="s">
        <v>3325</v>
      </c>
      <c r="D73" s="2964" t="s">
        <v>3366</v>
      </c>
      <c r="E73" s="2964" t="s">
        <v>3366</v>
      </c>
      <c r="F73" s="2964" t="s">
        <v>3229</v>
      </c>
      <c r="G73" s="2964" t="s">
        <v>3230</v>
      </c>
      <c r="H73" s="2964" t="s">
        <v>3231</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3367</v>
      </c>
      <c r="AA73" s="2964" t="s">
        <v>3368</v>
      </c>
      <c r="AB73" s="2964" t="s">
        <v>3369</v>
      </c>
      <c r="AC73" s="2965">
        <v>74</v>
      </c>
      <c r="AD73" s="2965">
        <v>2939.09</v>
      </c>
      <c r="AE73" s="2965">
        <v>28810.93</v>
      </c>
      <c r="AF73" s="2965">
        <v>8467.7900000000009</v>
      </c>
    </row>
    <row r="74" spans="1:32" ht="14.1" customHeight="1">
      <c r="A74" s="2964" t="s">
        <v>3225</v>
      </c>
      <c r="B74" s="2964" t="s">
        <v>3226</v>
      </c>
      <c r="C74" s="2964" t="s">
        <v>3325</v>
      </c>
      <c r="D74" s="2964" t="s">
        <v>3370</v>
      </c>
      <c r="E74" s="2964" t="s">
        <v>3370</v>
      </c>
      <c r="F74" s="2964" t="s">
        <v>3236</v>
      </c>
      <c r="G74" s="2964" t="s">
        <v>3230</v>
      </c>
      <c r="H74" s="2964" t="s">
        <v>3231</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3237</v>
      </c>
      <c r="AA74" s="2964" t="s">
        <v>3237</v>
      </c>
      <c r="AB74" s="2964" t="s">
        <v>3237</v>
      </c>
      <c r="AC74" s="2965">
        <v>5</v>
      </c>
      <c r="AD74" s="2965">
        <v>238.51</v>
      </c>
      <c r="AE74" s="2965">
        <v>30153.94</v>
      </c>
      <c r="AF74" s="2965">
        <v>719.2</v>
      </c>
    </row>
    <row r="75" spans="1:32" ht="14.1" customHeight="1">
      <c r="A75" s="2964" t="s">
        <v>3225</v>
      </c>
      <c r="B75" s="2964" t="s">
        <v>3226</v>
      </c>
      <c r="C75" s="2964" t="s">
        <v>3325</v>
      </c>
      <c r="D75" s="2964" t="s">
        <v>3371</v>
      </c>
      <c r="E75" s="2964"/>
      <c r="F75" s="2964" t="s">
        <v>3239</v>
      </c>
      <c r="G75" s="2964" t="s">
        <v>3230</v>
      </c>
      <c r="H75" s="2964" t="s">
        <v>3231</v>
      </c>
      <c r="I75" s="2964"/>
      <c r="J75" s="2965"/>
      <c r="K75" s="2965"/>
      <c r="L75" s="2965"/>
      <c r="M75" s="2965"/>
      <c r="N75" s="2965"/>
      <c r="O75" s="2965"/>
      <c r="P75" s="2965"/>
      <c r="Q75" s="2965"/>
      <c r="R75" s="2965"/>
      <c r="S75" s="2965"/>
      <c r="T75" s="2965"/>
      <c r="U75" s="2965"/>
      <c r="V75" s="2965"/>
      <c r="W75" s="2965"/>
      <c r="X75" s="2965"/>
      <c r="Y75" s="2965"/>
      <c r="Z75" s="2964" t="s">
        <v>3237</v>
      </c>
      <c r="AA75" s="2964" t="s">
        <v>3237</v>
      </c>
      <c r="AB75" s="2964" t="s">
        <v>3237</v>
      </c>
      <c r="AC75" s="2965"/>
      <c r="AD75" s="2965"/>
      <c r="AE75" s="2965"/>
      <c r="AF75" s="2965"/>
    </row>
    <row r="76" spans="1:32" ht="14.1" customHeight="1">
      <c r="A76" s="2964" t="s">
        <v>3225</v>
      </c>
      <c r="B76" s="2964" t="s">
        <v>3226</v>
      </c>
      <c r="C76" s="2964" t="s">
        <v>3325</v>
      </c>
      <c r="D76" s="2964" t="s">
        <v>3372</v>
      </c>
      <c r="E76" s="2964" t="s">
        <v>3372</v>
      </c>
      <c r="F76" s="2964" t="s">
        <v>3241</v>
      </c>
      <c r="G76" s="2964" t="s">
        <v>3230</v>
      </c>
      <c r="H76" s="2964" t="s">
        <v>3231</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3237</v>
      </c>
      <c r="AA76" s="2964" t="s">
        <v>3237</v>
      </c>
      <c r="AB76" s="2964" t="s">
        <v>3237</v>
      </c>
      <c r="AC76" s="2965">
        <v>8</v>
      </c>
      <c r="AD76" s="2965">
        <v>319.91000000000003</v>
      </c>
      <c r="AE76" s="2965">
        <v>28158.639999999999</v>
      </c>
      <c r="AF76" s="2965">
        <v>900.82</v>
      </c>
    </row>
    <row r="77" spans="1:32" ht="14.1" customHeight="1">
      <c r="A77" s="2964" t="s">
        <v>3225</v>
      </c>
      <c r="B77" s="2964" t="s">
        <v>3226</v>
      </c>
      <c r="C77" s="2964" t="s">
        <v>3325</v>
      </c>
      <c r="D77" s="2964" t="s">
        <v>3373</v>
      </c>
      <c r="E77" s="2964" t="s">
        <v>3373</v>
      </c>
      <c r="F77" s="2964" t="s">
        <v>3243</v>
      </c>
      <c r="G77" s="2964" t="s">
        <v>3244</v>
      </c>
      <c r="H77" s="2964" t="s">
        <v>3231</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3237</v>
      </c>
      <c r="AA77" s="2964" t="s">
        <v>3237</v>
      </c>
      <c r="AB77" s="2964" t="s">
        <v>3237</v>
      </c>
      <c r="AC77" s="2965">
        <v>6</v>
      </c>
      <c r="AD77" s="2965">
        <v>387.62</v>
      </c>
      <c r="AE77" s="2965">
        <v>15000</v>
      </c>
      <c r="AF77" s="2965">
        <v>581.42999999999995</v>
      </c>
    </row>
    <row r="78" spans="1:32" ht="14.1" customHeight="1">
      <c r="A78" s="2964" t="s">
        <v>3225</v>
      </c>
      <c r="B78" s="2964" t="s">
        <v>3226</v>
      </c>
      <c r="C78" s="2964" t="s">
        <v>3325</v>
      </c>
      <c r="D78" s="2964" t="s">
        <v>3374</v>
      </c>
      <c r="E78" s="2964"/>
      <c r="F78" s="2964" t="s">
        <v>3246</v>
      </c>
      <c r="G78" s="2964" t="s">
        <v>3246</v>
      </c>
      <c r="H78" s="2964" t="s">
        <v>3231</v>
      </c>
      <c r="I78" s="2964"/>
      <c r="J78" s="2965"/>
      <c r="K78" s="2965"/>
      <c r="L78" s="2965"/>
      <c r="M78" s="2965"/>
      <c r="N78" s="2965"/>
      <c r="O78" s="2965"/>
      <c r="P78" s="2965"/>
      <c r="Q78" s="2965"/>
      <c r="R78" s="2965"/>
      <c r="S78" s="2965"/>
      <c r="T78" s="2965"/>
      <c r="U78" s="2965"/>
      <c r="V78" s="2965"/>
      <c r="W78" s="2965"/>
      <c r="X78" s="2965"/>
      <c r="Y78" s="2965"/>
      <c r="Z78" s="2964" t="s">
        <v>3237</v>
      </c>
      <c r="AA78" s="2964" t="s">
        <v>3237</v>
      </c>
      <c r="AB78" s="2964" t="s">
        <v>3237</v>
      </c>
      <c r="AC78" s="2965"/>
      <c r="AD78" s="2965"/>
      <c r="AE78" s="2965"/>
      <c r="AF78" s="2965"/>
    </row>
    <row r="79" spans="1:32" ht="14.1" customHeight="1">
      <c r="A79" s="2964" t="s">
        <v>3225</v>
      </c>
      <c r="B79" s="2964" t="s">
        <v>3226</v>
      </c>
      <c r="C79" s="2964" t="s">
        <v>3325</v>
      </c>
      <c r="D79" s="2964" t="s">
        <v>3375</v>
      </c>
      <c r="E79" s="2964"/>
      <c r="F79" s="2964" t="s">
        <v>3248</v>
      </c>
      <c r="G79" s="2964" t="s">
        <v>1377</v>
      </c>
      <c r="H79" s="2964" t="s">
        <v>3231</v>
      </c>
      <c r="I79" s="2964"/>
      <c r="J79" s="2965"/>
      <c r="K79" s="2965"/>
      <c r="L79" s="2965"/>
      <c r="M79" s="2965"/>
      <c r="N79" s="2965"/>
      <c r="O79" s="2965"/>
      <c r="P79" s="2965"/>
      <c r="Q79" s="2965"/>
      <c r="R79" s="2965"/>
      <c r="S79" s="2965"/>
      <c r="T79" s="2965"/>
      <c r="U79" s="2965"/>
      <c r="V79" s="2965"/>
      <c r="W79" s="2965"/>
      <c r="X79" s="2965"/>
      <c r="Y79" s="2965"/>
      <c r="Z79" s="2964" t="s">
        <v>3237</v>
      </c>
      <c r="AA79" s="2964" t="s">
        <v>3237</v>
      </c>
      <c r="AB79" s="2964" t="s">
        <v>3237</v>
      </c>
      <c r="AC79" s="2965"/>
      <c r="AD79" s="2965"/>
      <c r="AE79" s="2965"/>
      <c r="AF79" s="2965"/>
    </row>
    <row r="80" spans="1:32" ht="14.1" customHeight="1">
      <c r="A80" s="2964" t="s">
        <v>3225</v>
      </c>
      <c r="B80" s="2964" t="s">
        <v>3226</v>
      </c>
      <c r="C80" s="2964" t="s">
        <v>3325</v>
      </c>
      <c r="D80" s="2964" t="s">
        <v>3376</v>
      </c>
      <c r="E80" s="2964" t="s">
        <v>3376</v>
      </c>
      <c r="F80" s="2964" t="s">
        <v>3229</v>
      </c>
      <c r="G80" s="2964" t="s">
        <v>3230</v>
      </c>
      <c r="H80" s="2964" t="s">
        <v>3231</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3377</v>
      </c>
      <c r="AA80" s="2964" t="s">
        <v>3378</v>
      </c>
      <c r="AB80" s="2964" t="s">
        <v>3379</v>
      </c>
      <c r="AC80" s="2965">
        <v>156</v>
      </c>
      <c r="AD80" s="2965">
        <v>6241.11</v>
      </c>
      <c r="AE80" s="2965">
        <v>30511.55</v>
      </c>
      <c r="AF80" s="2965">
        <v>19042.59</v>
      </c>
    </row>
    <row r="81" spans="1:32" ht="14.1" customHeight="1">
      <c r="A81" s="2964" t="s">
        <v>3225</v>
      </c>
      <c r="B81" s="2964" t="s">
        <v>3226</v>
      </c>
      <c r="C81" s="2964" t="s">
        <v>3325</v>
      </c>
      <c r="D81" s="2964" t="s">
        <v>3380</v>
      </c>
      <c r="E81" s="2964"/>
      <c r="F81" s="2964" t="s">
        <v>3236</v>
      </c>
      <c r="G81" s="2964" t="s">
        <v>3230</v>
      </c>
      <c r="H81" s="2964" t="s">
        <v>3231</v>
      </c>
      <c r="I81" s="2964"/>
      <c r="J81" s="2965"/>
      <c r="K81" s="2965"/>
      <c r="L81" s="2965"/>
      <c r="M81" s="2965"/>
      <c r="N81" s="2965"/>
      <c r="O81" s="2965"/>
      <c r="P81" s="2965"/>
      <c r="Q81" s="2965"/>
      <c r="R81" s="2965"/>
      <c r="S81" s="2965"/>
      <c r="T81" s="2965"/>
      <c r="U81" s="2965"/>
      <c r="V81" s="2965"/>
      <c r="W81" s="2965"/>
      <c r="X81" s="2965"/>
      <c r="Y81" s="2965"/>
      <c r="Z81" s="2964" t="s">
        <v>3237</v>
      </c>
      <c r="AA81" s="2964" t="s">
        <v>3237</v>
      </c>
      <c r="AB81" s="2964" t="s">
        <v>3237</v>
      </c>
      <c r="AC81" s="2965"/>
      <c r="AD81" s="2965"/>
      <c r="AE81" s="2965"/>
      <c r="AF81" s="2965"/>
    </row>
    <row r="82" spans="1:32" ht="14.1" customHeight="1">
      <c r="A82" s="2964" t="s">
        <v>3225</v>
      </c>
      <c r="B82" s="2964" t="s">
        <v>3226</v>
      </c>
      <c r="C82" s="2964" t="s">
        <v>3325</v>
      </c>
      <c r="D82" s="2964" t="s">
        <v>3381</v>
      </c>
      <c r="E82" s="2964"/>
      <c r="F82" s="2964" t="s">
        <v>3239</v>
      </c>
      <c r="G82" s="2964" t="s">
        <v>3230</v>
      </c>
      <c r="H82" s="2964" t="s">
        <v>3231</v>
      </c>
      <c r="I82" s="2964"/>
      <c r="J82" s="2965"/>
      <c r="K82" s="2965"/>
      <c r="L82" s="2965"/>
      <c r="M82" s="2965"/>
      <c r="N82" s="2965"/>
      <c r="O82" s="2965"/>
      <c r="P82" s="2965"/>
      <c r="Q82" s="2965"/>
      <c r="R82" s="2965"/>
      <c r="S82" s="2965"/>
      <c r="T82" s="2965"/>
      <c r="U82" s="2965"/>
      <c r="V82" s="2965"/>
      <c r="W82" s="2965"/>
      <c r="X82" s="2965"/>
      <c r="Y82" s="2965"/>
      <c r="Z82" s="2964" t="s">
        <v>3237</v>
      </c>
      <c r="AA82" s="2964" t="s">
        <v>3237</v>
      </c>
      <c r="AB82" s="2964" t="s">
        <v>3237</v>
      </c>
      <c r="AC82" s="2965"/>
      <c r="AD82" s="2965"/>
      <c r="AE82" s="2965"/>
      <c r="AF82" s="2965"/>
    </row>
    <row r="83" spans="1:32" ht="14.1" customHeight="1">
      <c r="A83" s="2964" t="s">
        <v>3225</v>
      </c>
      <c r="B83" s="2964" t="s">
        <v>3226</v>
      </c>
      <c r="C83" s="2964" t="s">
        <v>3325</v>
      </c>
      <c r="D83" s="2964" t="s">
        <v>3382</v>
      </c>
      <c r="E83" s="2964" t="s">
        <v>3382</v>
      </c>
      <c r="F83" s="2964" t="s">
        <v>3241</v>
      </c>
      <c r="G83" s="2964" t="s">
        <v>3230</v>
      </c>
      <c r="H83" s="2964" t="s">
        <v>3231</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3237</v>
      </c>
      <c r="AA83" s="2964" t="s">
        <v>3237</v>
      </c>
      <c r="AB83" s="2964" t="s">
        <v>3237</v>
      </c>
      <c r="AC83" s="2965">
        <v>9</v>
      </c>
      <c r="AD83" s="2965">
        <v>281.2</v>
      </c>
      <c r="AE83" s="2965">
        <v>29791.11</v>
      </c>
      <c r="AF83" s="2965">
        <v>837.73</v>
      </c>
    </row>
    <row r="84" spans="1:32" ht="14.1" customHeight="1">
      <c r="A84" s="2964" t="s">
        <v>3225</v>
      </c>
      <c r="B84" s="2964" t="s">
        <v>3226</v>
      </c>
      <c r="C84" s="2964" t="s">
        <v>3325</v>
      </c>
      <c r="D84" s="2964" t="s">
        <v>3383</v>
      </c>
      <c r="E84" s="2964"/>
      <c r="F84" s="2964" t="s">
        <v>3243</v>
      </c>
      <c r="G84" s="2964" t="s">
        <v>3244</v>
      </c>
      <c r="H84" s="2964" t="s">
        <v>3231</v>
      </c>
      <c r="I84" s="2964"/>
      <c r="J84" s="2965"/>
      <c r="K84" s="2965"/>
      <c r="L84" s="2965"/>
      <c r="M84" s="2965"/>
      <c r="N84" s="2965"/>
      <c r="O84" s="2965"/>
      <c r="P84" s="2965"/>
      <c r="Q84" s="2965"/>
      <c r="R84" s="2965"/>
      <c r="S84" s="2965"/>
      <c r="T84" s="2965"/>
      <c r="U84" s="2965"/>
      <c r="V84" s="2965"/>
      <c r="W84" s="2965"/>
      <c r="X84" s="2965"/>
      <c r="Y84" s="2965"/>
      <c r="Z84" s="2964" t="s">
        <v>3237</v>
      </c>
      <c r="AA84" s="2964" t="s">
        <v>3237</v>
      </c>
      <c r="AB84" s="2964" t="s">
        <v>3237</v>
      </c>
      <c r="AC84" s="2965"/>
      <c r="AD84" s="2965"/>
      <c r="AE84" s="2965"/>
      <c r="AF84" s="2965"/>
    </row>
    <row r="85" spans="1:32" ht="14.1" customHeight="1">
      <c r="A85" s="2964" t="s">
        <v>3225</v>
      </c>
      <c r="B85" s="2964" t="s">
        <v>3226</v>
      </c>
      <c r="C85" s="2964" t="s">
        <v>3325</v>
      </c>
      <c r="D85" s="2964" t="s">
        <v>3384</v>
      </c>
      <c r="E85" s="2964"/>
      <c r="F85" s="2964" t="s">
        <v>3246</v>
      </c>
      <c r="G85" s="2964" t="s">
        <v>3246</v>
      </c>
      <c r="H85" s="2964" t="s">
        <v>3231</v>
      </c>
      <c r="I85" s="2964"/>
      <c r="J85" s="2965"/>
      <c r="K85" s="2965"/>
      <c r="L85" s="2965"/>
      <c r="M85" s="2965"/>
      <c r="N85" s="2965"/>
      <c r="O85" s="2965"/>
      <c r="P85" s="2965"/>
      <c r="Q85" s="2965"/>
      <c r="R85" s="2965"/>
      <c r="S85" s="2965"/>
      <c r="T85" s="2965"/>
      <c r="U85" s="2965"/>
      <c r="V85" s="2965"/>
      <c r="W85" s="2965"/>
      <c r="X85" s="2965"/>
      <c r="Y85" s="2965"/>
      <c r="Z85" s="2964" t="s">
        <v>3237</v>
      </c>
      <c r="AA85" s="2964" t="s">
        <v>3237</v>
      </c>
      <c r="AB85" s="2964" t="s">
        <v>3237</v>
      </c>
      <c r="AC85" s="2965"/>
      <c r="AD85" s="2965"/>
      <c r="AE85" s="2965"/>
      <c r="AF85" s="2965"/>
    </row>
    <row r="86" spans="1:32" ht="14.1" customHeight="1">
      <c r="A86" s="2964" t="s">
        <v>3225</v>
      </c>
      <c r="B86" s="2964" t="s">
        <v>3226</v>
      </c>
      <c r="C86" s="2964" t="s">
        <v>3325</v>
      </c>
      <c r="D86" s="2964" t="s">
        <v>3385</v>
      </c>
      <c r="E86" s="2964"/>
      <c r="F86" s="2964" t="s">
        <v>3248</v>
      </c>
      <c r="G86" s="2964" t="s">
        <v>1377</v>
      </c>
      <c r="H86" s="2964" t="s">
        <v>3231</v>
      </c>
      <c r="I86" s="2964"/>
      <c r="J86" s="2965"/>
      <c r="K86" s="2965"/>
      <c r="L86" s="2965"/>
      <c r="M86" s="2965"/>
      <c r="N86" s="2965"/>
      <c r="O86" s="2965"/>
      <c r="P86" s="2965"/>
      <c r="Q86" s="2965"/>
      <c r="R86" s="2965"/>
      <c r="S86" s="2965"/>
      <c r="T86" s="2965"/>
      <c r="U86" s="2965"/>
      <c r="V86" s="2965"/>
      <c r="W86" s="2965"/>
      <c r="X86" s="2965"/>
      <c r="Y86" s="2965"/>
      <c r="Z86" s="2964" t="s">
        <v>3237</v>
      </c>
      <c r="AA86" s="2964" t="s">
        <v>3237</v>
      </c>
      <c r="AB86" s="2964" t="s">
        <v>3237</v>
      </c>
      <c r="AC86" s="2965"/>
      <c r="AD86" s="2965"/>
      <c r="AE86" s="2965"/>
      <c r="AF86" s="2965"/>
    </row>
    <row r="87" spans="1:32" ht="14.1" customHeight="1">
      <c r="A87" s="2964" t="s">
        <v>3225</v>
      </c>
      <c r="B87" s="2964" t="s">
        <v>3226</v>
      </c>
      <c r="C87" s="2964" t="s">
        <v>3325</v>
      </c>
      <c r="D87" s="2964" t="s">
        <v>48</v>
      </c>
      <c r="E87" s="2964"/>
      <c r="F87" s="2964" t="s">
        <v>3386</v>
      </c>
      <c r="G87" s="2964" t="s">
        <v>3246</v>
      </c>
      <c r="H87" s="2964" t="s">
        <v>3231</v>
      </c>
      <c r="I87" s="2964"/>
      <c r="J87" s="2965"/>
      <c r="K87" s="2965"/>
      <c r="L87" s="2965"/>
      <c r="M87" s="2965"/>
      <c r="N87" s="2965"/>
      <c r="O87" s="2965"/>
      <c r="P87" s="2965"/>
      <c r="Q87" s="2965"/>
      <c r="R87" s="2965"/>
      <c r="S87" s="2965"/>
      <c r="T87" s="2965"/>
      <c r="U87" s="2965"/>
      <c r="V87" s="2965"/>
      <c r="W87" s="2965"/>
      <c r="X87" s="2965"/>
      <c r="Y87" s="2965"/>
      <c r="Z87" s="2964" t="s">
        <v>3237</v>
      </c>
      <c r="AA87" s="2964" t="s">
        <v>3237</v>
      </c>
      <c r="AB87" s="2964" t="s">
        <v>3237</v>
      </c>
      <c r="AC87" s="2965"/>
      <c r="AD87" s="2965"/>
      <c r="AE87" s="2965"/>
      <c r="AF87" s="2965"/>
    </row>
    <row r="88" spans="1:32" s="2991" customFormat="1" ht="14.1" customHeight="1">
      <c r="A88" s="2989" t="s">
        <v>3225</v>
      </c>
      <c r="B88" s="2989" t="s">
        <v>3226</v>
      </c>
      <c r="C88" s="2989" t="s">
        <v>3325</v>
      </c>
      <c r="D88" s="2989" t="s">
        <v>3387</v>
      </c>
      <c r="E88" s="2989" t="s">
        <v>3387</v>
      </c>
      <c r="F88" s="2989" t="s">
        <v>3388</v>
      </c>
      <c r="G88" s="2989" t="s">
        <v>3244</v>
      </c>
      <c r="H88" s="2989" t="s">
        <v>3231</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3283</v>
      </c>
      <c r="AA88" s="2989" t="s">
        <v>3389</v>
      </c>
      <c r="AB88" s="2989" t="s">
        <v>3390</v>
      </c>
      <c r="AC88" s="2990">
        <v>303</v>
      </c>
      <c r="AD88" s="2990">
        <v>8085.86</v>
      </c>
      <c r="AE88" s="2990">
        <v>115115.51</v>
      </c>
      <c r="AF88" s="2990">
        <v>3488</v>
      </c>
    </row>
    <row r="89" spans="1:32" ht="14.1" customHeight="1">
      <c r="A89" s="2966" t="s">
        <v>3225</v>
      </c>
      <c r="B89" s="2966" t="s">
        <v>3226</v>
      </c>
      <c r="C89" s="2966" t="s">
        <v>3391</v>
      </c>
      <c r="D89" s="2966" t="s">
        <v>3282</v>
      </c>
      <c r="E89" s="2966" t="s">
        <v>3282</v>
      </c>
      <c r="F89" s="2966" t="s">
        <v>3282</v>
      </c>
      <c r="G89" s="2966" t="s">
        <v>3282</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3392</v>
      </c>
      <c r="AA89" s="2966" t="s">
        <v>3393</v>
      </c>
      <c r="AB89" s="2966" t="s">
        <v>3394</v>
      </c>
      <c r="AC89" s="2967">
        <v>1509</v>
      </c>
      <c r="AD89" s="2967">
        <v>54872.98</v>
      </c>
      <c r="AE89" s="2967">
        <v>24803.81</v>
      </c>
      <c r="AF89" s="2967">
        <v>136105.88</v>
      </c>
    </row>
    <row r="90" spans="1:32" ht="14.1" customHeight="1">
      <c r="A90" s="2964" t="s">
        <v>3225</v>
      </c>
      <c r="B90" s="2964" t="s">
        <v>3226</v>
      </c>
      <c r="C90" s="2964" t="s">
        <v>3395</v>
      </c>
      <c r="D90" s="2964" t="s">
        <v>3396</v>
      </c>
      <c r="E90" s="2964" t="s">
        <v>3396</v>
      </c>
      <c r="F90" s="2964" t="s">
        <v>3229</v>
      </c>
      <c r="G90" s="2964" t="s">
        <v>3230</v>
      </c>
      <c r="H90" s="2964" t="s">
        <v>3231</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3397</v>
      </c>
      <c r="AA90" s="2964" t="s">
        <v>3397</v>
      </c>
      <c r="AB90" s="2964" t="s">
        <v>3397</v>
      </c>
      <c r="AC90" s="2965"/>
      <c r="AD90" s="2965"/>
      <c r="AE90" s="2965"/>
      <c r="AF90" s="2965"/>
    </row>
    <row r="91" spans="1:32" ht="14.1" customHeight="1">
      <c r="A91" s="2964" t="s">
        <v>3225</v>
      </c>
      <c r="B91" s="2964" t="s">
        <v>3226</v>
      </c>
      <c r="C91" s="2964" t="s">
        <v>3395</v>
      </c>
      <c r="D91" s="2964" t="s">
        <v>3398</v>
      </c>
      <c r="E91" s="2964"/>
      <c r="F91" s="2964" t="s">
        <v>3236</v>
      </c>
      <c r="G91" s="2964" t="s">
        <v>3230</v>
      </c>
      <c r="H91" s="2964" t="s">
        <v>3231</v>
      </c>
      <c r="I91" s="2964"/>
      <c r="J91" s="2965"/>
      <c r="K91" s="2965"/>
      <c r="L91" s="2965"/>
      <c r="M91" s="2965"/>
      <c r="N91" s="2965"/>
      <c r="O91" s="2965"/>
      <c r="P91" s="2965"/>
      <c r="Q91" s="2965"/>
      <c r="R91" s="2965"/>
      <c r="S91" s="2965"/>
      <c r="T91" s="2965"/>
      <c r="U91" s="2965"/>
      <c r="V91" s="2965"/>
      <c r="W91" s="2965"/>
      <c r="X91" s="2965"/>
      <c r="Y91" s="2965"/>
      <c r="Z91" s="2964" t="s">
        <v>3237</v>
      </c>
      <c r="AA91" s="2964" t="s">
        <v>3237</v>
      </c>
      <c r="AB91" s="2964" t="s">
        <v>3237</v>
      </c>
      <c r="AC91" s="2965"/>
      <c r="AD91" s="2965"/>
      <c r="AE91" s="2965"/>
      <c r="AF91" s="2965"/>
    </row>
    <row r="92" spans="1:32" ht="14.1" customHeight="1">
      <c r="A92" s="2964" t="s">
        <v>3225</v>
      </c>
      <c r="B92" s="2964" t="s">
        <v>3226</v>
      </c>
      <c r="C92" s="2964" t="s">
        <v>3395</v>
      </c>
      <c r="D92" s="2964" t="s">
        <v>3399</v>
      </c>
      <c r="E92" s="2964" t="s">
        <v>3399</v>
      </c>
      <c r="F92" s="2964" t="s">
        <v>3239</v>
      </c>
      <c r="G92" s="2964" t="s">
        <v>3230</v>
      </c>
      <c r="H92" s="2964" t="s">
        <v>3231</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3397</v>
      </c>
      <c r="AA92" s="2964" t="s">
        <v>3397</v>
      </c>
      <c r="AB92" s="2964" t="s">
        <v>3397</v>
      </c>
      <c r="AC92" s="2965"/>
      <c r="AD92" s="2965"/>
      <c r="AE92" s="2965"/>
      <c r="AF92" s="2965"/>
    </row>
    <row r="93" spans="1:32" ht="14.1" customHeight="1">
      <c r="A93" s="2964" t="s">
        <v>3225</v>
      </c>
      <c r="B93" s="2964" t="s">
        <v>3226</v>
      </c>
      <c r="C93" s="2964" t="s">
        <v>3395</v>
      </c>
      <c r="D93" s="2964" t="s">
        <v>3400</v>
      </c>
      <c r="E93" s="2964" t="s">
        <v>3400</v>
      </c>
      <c r="F93" s="2964" t="s">
        <v>3241</v>
      </c>
      <c r="G93" s="2964" t="s">
        <v>3230</v>
      </c>
      <c r="H93" s="2964" t="s">
        <v>3231</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3397</v>
      </c>
      <c r="AA93" s="2964" t="s">
        <v>3397</v>
      </c>
      <c r="AB93" s="2964" t="s">
        <v>3397</v>
      </c>
      <c r="AC93" s="2965"/>
      <c r="AD93" s="2965"/>
      <c r="AE93" s="2965"/>
      <c r="AF93" s="2965"/>
    </row>
    <row r="94" spans="1:32" ht="14.1" customHeight="1">
      <c r="A94" s="2964" t="s">
        <v>3225</v>
      </c>
      <c r="B94" s="2964" t="s">
        <v>3226</v>
      </c>
      <c r="C94" s="2964" t="s">
        <v>3395</v>
      </c>
      <c r="D94" s="2964" t="s">
        <v>3401</v>
      </c>
      <c r="E94" s="2964" t="s">
        <v>3401</v>
      </c>
      <c r="F94" s="2964" t="s">
        <v>3243</v>
      </c>
      <c r="G94" s="2964" t="s">
        <v>3244</v>
      </c>
      <c r="H94" s="2964" t="s">
        <v>3231</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3397</v>
      </c>
      <c r="AA94" s="2964" t="s">
        <v>3397</v>
      </c>
      <c r="AB94" s="2964" t="s">
        <v>3397</v>
      </c>
      <c r="AC94" s="2965"/>
      <c r="AD94" s="2965"/>
      <c r="AE94" s="2965"/>
      <c r="AF94" s="2965"/>
    </row>
    <row r="95" spans="1:32" ht="14.1" customHeight="1">
      <c r="A95" s="2964" t="s">
        <v>3225</v>
      </c>
      <c r="B95" s="2964" t="s">
        <v>3226</v>
      </c>
      <c r="C95" s="2964" t="s">
        <v>3395</v>
      </c>
      <c r="D95" s="2964" t="s">
        <v>3402</v>
      </c>
      <c r="E95" s="2964"/>
      <c r="F95" s="2964" t="s">
        <v>3246</v>
      </c>
      <c r="G95" s="2964" t="s">
        <v>3246</v>
      </c>
      <c r="H95" s="2964" t="s">
        <v>3231</v>
      </c>
      <c r="I95" s="2964"/>
      <c r="J95" s="2965"/>
      <c r="K95" s="2965"/>
      <c r="L95" s="2965"/>
      <c r="M95" s="2965"/>
      <c r="N95" s="2965"/>
      <c r="O95" s="2965"/>
      <c r="P95" s="2965"/>
      <c r="Q95" s="2965"/>
      <c r="R95" s="2965"/>
      <c r="S95" s="2965"/>
      <c r="T95" s="2965"/>
      <c r="U95" s="2965"/>
      <c r="V95" s="2965"/>
      <c r="W95" s="2965"/>
      <c r="X95" s="2965"/>
      <c r="Y95" s="2965"/>
      <c r="Z95" s="2964" t="s">
        <v>3237</v>
      </c>
      <c r="AA95" s="2964" t="s">
        <v>3237</v>
      </c>
      <c r="AB95" s="2964" t="s">
        <v>3237</v>
      </c>
      <c r="AC95" s="2965"/>
      <c r="AD95" s="2965"/>
      <c r="AE95" s="2965"/>
      <c r="AF95" s="2965"/>
    </row>
    <row r="96" spans="1:32" ht="14.1" customHeight="1">
      <c r="A96" s="2964" t="s">
        <v>3225</v>
      </c>
      <c r="B96" s="2964" t="s">
        <v>3226</v>
      </c>
      <c r="C96" s="2964" t="s">
        <v>3395</v>
      </c>
      <c r="D96" s="2964" t="s">
        <v>3403</v>
      </c>
      <c r="E96" s="2964" t="s">
        <v>3403</v>
      </c>
      <c r="F96" s="2964" t="s">
        <v>3248</v>
      </c>
      <c r="G96" s="2964" t="s">
        <v>1377</v>
      </c>
      <c r="H96" s="2964" t="s">
        <v>3231</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3397</v>
      </c>
      <c r="AA96" s="2964" t="s">
        <v>3397</v>
      </c>
      <c r="AB96" s="2964" t="s">
        <v>3397</v>
      </c>
      <c r="AC96" s="2965"/>
      <c r="AD96" s="2965"/>
      <c r="AE96" s="2965"/>
      <c r="AF96" s="2965"/>
    </row>
    <row r="97" spans="1:32" ht="14.1" customHeight="1">
      <c r="A97" s="2964" t="s">
        <v>3225</v>
      </c>
      <c r="B97" s="2964" t="s">
        <v>3226</v>
      </c>
      <c r="C97" s="2964" t="s">
        <v>3395</v>
      </c>
      <c r="D97" s="2964" t="s">
        <v>3404</v>
      </c>
      <c r="E97" s="2964" t="s">
        <v>3404</v>
      </c>
      <c r="F97" s="2964" t="s">
        <v>3229</v>
      </c>
      <c r="G97" s="2964" t="s">
        <v>3230</v>
      </c>
      <c r="H97" s="2964" t="s">
        <v>3231</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3397</v>
      </c>
      <c r="AA97" s="2964" t="s">
        <v>3397</v>
      </c>
      <c r="AB97" s="2964" t="s">
        <v>3397</v>
      </c>
      <c r="AC97" s="2965"/>
      <c r="AD97" s="2965"/>
      <c r="AE97" s="2965"/>
      <c r="AF97" s="2965"/>
    </row>
    <row r="98" spans="1:32" ht="14.1" customHeight="1">
      <c r="A98" s="2964" t="s">
        <v>3225</v>
      </c>
      <c r="B98" s="2964" t="s">
        <v>3226</v>
      </c>
      <c r="C98" s="2964" t="s">
        <v>3395</v>
      </c>
      <c r="D98" s="2964" t="s">
        <v>3405</v>
      </c>
      <c r="E98" s="2964"/>
      <c r="F98" s="2964" t="s">
        <v>3236</v>
      </c>
      <c r="G98" s="2964" t="s">
        <v>3230</v>
      </c>
      <c r="H98" s="2964" t="s">
        <v>3231</v>
      </c>
      <c r="I98" s="2964"/>
      <c r="J98" s="2965"/>
      <c r="K98" s="2965"/>
      <c r="L98" s="2965"/>
      <c r="M98" s="2965"/>
      <c r="N98" s="2965"/>
      <c r="O98" s="2965"/>
      <c r="P98" s="2965"/>
      <c r="Q98" s="2965"/>
      <c r="R98" s="2965"/>
      <c r="S98" s="2965"/>
      <c r="T98" s="2965"/>
      <c r="U98" s="2965"/>
      <c r="V98" s="2965"/>
      <c r="W98" s="2965"/>
      <c r="X98" s="2965"/>
      <c r="Y98" s="2965"/>
      <c r="Z98" s="2964" t="s">
        <v>3237</v>
      </c>
      <c r="AA98" s="2964" t="s">
        <v>3237</v>
      </c>
      <c r="AB98" s="2964" t="s">
        <v>3237</v>
      </c>
      <c r="AC98" s="2965"/>
      <c r="AD98" s="2965"/>
      <c r="AE98" s="2965"/>
      <c r="AF98" s="2965"/>
    </row>
    <row r="99" spans="1:32" ht="14.1" customHeight="1">
      <c r="A99" s="2964" t="s">
        <v>3225</v>
      </c>
      <c r="B99" s="2964" t="s">
        <v>3226</v>
      </c>
      <c r="C99" s="2964" t="s">
        <v>3395</v>
      </c>
      <c r="D99" s="2964" t="s">
        <v>3406</v>
      </c>
      <c r="E99" s="2964"/>
      <c r="F99" s="2964" t="s">
        <v>3239</v>
      </c>
      <c r="G99" s="2964" t="s">
        <v>3230</v>
      </c>
      <c r="H99" s="2964" t="s">
        <v>3231</v>
      </c>
      <c r="I99" s="2964"/>
      <c r="J99" s="2965"/>
      <c r="K99" s="2965"/>
      <c r="L99" s="2965"/>
      <c r="M99" s="2965"/>
      <c r="N99" s="2965"/>
      <c r="O99" s="2965"/>
      <c r="P99" s="2965"/>
      <c r="Q99" s="2965"/>
      <c r="R99" s="2965"/>
      <c r="S99" s="2965"/>
      <c r="T99" s="2965"/>
      <c r="U99" s="2965"/>
      <c r="V99" s="2965"/>
      <c r="W99" s="2965"/>
      <c r="X99" s="2965"/>
      <c r="Y99" s="2965"/>
      <c r="Z99" s="2964" t="s">
        <v>3237</v>
      </c>
      <c r="AA99" s="2964" t="s">
        <v>3237</v>
      </c>
      <c r="AB99" s="2964" t="s">
        <v>3237</v>
      </c>
      <c r="AC99" s="2965"/>
      <c r="AD99" s="2965"/>
      <c r="AE99" s="2965"/>
      <c r="AF99" s="2965"/>
    </row>
    <row r="100" spans="1:32" ht="14.1" customHeight="1">
      <c r="A100" s="2964" t="s">
        <v>3225</v>
      </c>
      <c r="B100" s="2964" t="s">
        <v>3226</v>
      </c>
      <c r="C100" s="2964" t="s">
        <v>3395</v>
      </c>
      <c r="D100" s="2964" t="s">
        <v>3407</v>
      </c>
      <c r="E100" s="2964" t="s">
        <v>3407</v>
      </c>
      <c r="F100" s="2964" t="s">
        <v>3241</v>
      </c>
      <c r="G100" s="2964" t="s">
        <v>3230</v>
      </c>
      <c r="H100" s="2964" t="s">
        <v>3231</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3397</v>
      </c>
      <c r="AA100" s="2964" t="s">
        <v>3397</v>
      </c>
      <c r="AB100" s="2964" t="s">
        <v>3397</v>
      </c>
      <c r="AC100" s="2965"/>
      <c r="AD100" s="2965"/>
      <c r="AE100" s="2965"/>
      <c r="AF100" s="2965"/>
    </row>
    <row r="101" spans="1:32" ht="14.1" customHeight="1">
      <c r="A101" s="2964" t="s">
        <v>3225</v>
      </c>
      <c r="B101" s="2964" t="s">
        <v>3226</v>
      </c>
      <c r="C101" s="2964" t="s">
        <v>3395</v>
      </c>
      <c r="D101" s="2964" t="s">
        <v>3408</v>
      </c>
      <c r="E101" s="2964" t="s">
        <v>3408</v>
      </c>
      <c r="F101" s="2964" t="s">
        <v>3243</v>
      </c>
      <c r="G101" s="2964" t="s">
        <v>3244</v>
      </c>
      <c r="H101" s="2964" t="s">
        <v>3231</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3397</v>
      </c>
      <c r="AA101" s="2964" t="s">
        <v>3397</v>
      </c>
      <c r="AB101" s="2964" t="s">
        <v>3397</v>
      </c>
      <c r="AC101" s="2965"/>
      <c r="AD101" s="2965"/>
      <c r="AE101" s="2965"/>
      <c r="AF101" s="2965"/>
    </row>
    <row r="102" spans="1:32" ht="14.1" customHeight="1">
      <c r="A102" s="2964" t="s">
        <v>3225</v>
      </c>
      <c r="B102" s="2964" t="s">
        <v>3226</v>
      </c>
      <c r="C102" s="2964" t="s">
        <v>3395</v>
      </c>
      <c r="D102" s="2964" t="s">
        <v>3409</v>
      </c>
      <c r="E102" s="2964"/>
      <c r="F102" s="2964" t="s">
        <v>3246</v>
      </c>
      <c r="G102" s="2964" t="s">
        <v>3246</v>
      </c>
      <c r="H102" s="2964" t="s">
        <v>3231</v>
      </c>
      <c r="I102" s="2964"/>
      <c r="J102" s="2965"/>
      <c r="K102" s="2965"/>
      <c r="L102" s="2965"/>
      <c r="M102" s="2965"/>
      <c r="N102" s="2965"/>
      <c r="O102" s="2965"/>
      <c r="P102" s="2965"/>
      <c r="Q102" s="2965"/>
      <c r="R102" s="2965"/>
      <c r="S102" s="2965"/>
      <c r="T102" s="2965"/>
      <c r="U102" s="2965"/>
      <c r="V102" s="2965"/>
      <c r="W102" s="2965"/>
      <c r="X102" s="2965"/>
      <c r="Y102" s="2965"/>
      <c r="Z102" s="2964" t="s">
        <v>3237</v>
      </c>
      <c r="AA102" s="2964" t="s">
        <v>3237</v>
      </c>
      <c r="AB102" s="2964" t="s">
        <v>3237</v>
      </c>
      <c r="AC102" s="2965"/>
      <c r="AD102" s="2965"/>
      <c r="AE102" s="2965"/>
      <c r="AF102" s="2965"/>
    </row>
    <row r="103" spans="1:32" ht="14.1" customHeight="1">
      <c r="A103" s="2964" t="s">
        <v>3225</v>
      </c>
      <c r="B103" s="2964" t="s">
        <v>3226</v>
      </c>
      <c r="C103" s="2964" t="s">
        <v>3395</v>
      </c>
      <c r="D103" s="2964" t="s">
        <v>3410</v>
      </c>
      <c r="E103" s="2964" t="s">
        <v>3410</v>
      </c>
      <c r="F103" s="2964" t="s">
        <v>3248</v>
      </c>
      <c r="G103" s="2964" t="s">
        <v>1377</v>
      </c>
      <c r="H103" s="2964" t="s">
        <v>3231</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3397</v>
      </c>
      <c r="AA103" s="2964" t="s">
        <v>3397</v>
      </c>
      <c r="AB103" s="2964" t="s">
        <v>3397</v>
      </c>
      <c r="AC103" s="2965"/>
      <c r="AD103" s="2965"/>
      <c r="AE103" s="2965"/>
      <c r="AF103" s="2965"/>
    </row>
    <row r="104" spans="1:32" ht="14.1" customHeight="1">
      <c r="A104" s="2964" t="s">
        <v>3225</v>
      </c>
      <c r="B104" s="2964" t="s">
        <v>3226</v>
      </c>
      <c r="C104" s="2964" t="s">
        <v>3395</v>
      </c>
      <c r="D104" s="2964" t="s">
        <v>3411</v>
      </c>
      <c r="E104" s="2964" t="s">
        <v>3411</v>
      </c>
      <c r="F104" s="2964" t="s">
        <v>3229</v>
      </c>
      <c r="G104" s="2964" t="s">
        <v>3230</v>
      </c>
      <c r="H104" s="2964" t="s">
        <v>3231</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3397</v>
      </c>
      <c r="AA104" s="2964" t="s">
        <v>3397</v>
      </c>
      <c r="AB104" s="2964" t="s">
        <v>3397</v>
      </c>
      <c r="AC104" s="2965"/>
      <c r="AD104" s="2965"/>
      <c r="AE104" s="2965"/>
      <c r="AF104" s="2965"/>
    </row>
    <row r="105" spans="1:32" ht="14.1" customHeight="1">
      <c r="A105" s="2964" t="s">
        <v>3225</v>
      </c>
      <c r="B105" s="2964" t="s">
        <v>3226</v>
      </c>
      <c r="C105" s="2964" t="s">
        <v>3395</v>
      </c>
      <c r="D105" s="2964" t="s">
        <v>3412</v>
      </c>
      <c r="E105" s="2964"/>
      <c r="F105" s="2964" t="s">
        <v>3236</v>
      </c>
      <c r="G105" s="2964" t="s">
        <v>3230</v>
      </c>
      <c r="H105" s="2964" t="s">
        <v>3231</v>
      </c>
      <c r="I105" s="2964"/>
      <c r="J105" s="2965"/>
      <c r="K105" s="2965"/>
      <c r="L105" s="2965"/>
      <c r="M105" s="2965"/>
      <c r="N105" s="2965"/>
      <c r="O105" s="2965"/>
      <c r="P105" s="2965"/>
      <c r="Q105" s="2965"/>
      <c r="R105" s="2965"/>
      <c r="S105" s="2965"/>
      <c r="T105" s="2965"/>
      <c r="U105" s="2965"/>
      <c r="V105" s="2965"/>
      <c r="W105" s="2965"/>
      <c r="X105" s="2965"/>
      <c r="Y105" s="2965"/>
      <c r="Z105" s="2964" t="s">
        <v>3237</v>
      </c>
      <c r="AA105" s="2964" t="s">
        <v>3237</v>
      </c>
      <c r="AB105" s="2964" t="s">
        <v>3237</v>
      </c>
      <c r="AC105" s="2965"/>
      <c r="AD105" s="2965"/>
      <c r="AE105" s="2965"/>
      <c r="AF105" s="2965"/>
    </row>
    <row r="106" spans="1:32" ht="14.1" customHeight="1">
      <c r="A106" s="2964" t="s">
        <v>3225</v>
      </c>
      <c r="B106" s="2964" t="s">
        <v>3226</v>
      </c>
      <c r="C106" s="2964" t="s">
        <v>3395</v>
      </c>
      <c r="D106" s="2964" t="s">
        <v>3413</v>
      </c>
      <c r="E106" s="2964" t="s">
        <v>3413</v>
      </c>
      <c r="F106" s="2964" t="s">
        <v>3239</v>
      </c>
      <c r="G106" s="2964" t="s">
        <v>3230</v>
      </c>
      <c r="H106" s="2964" t="s">
        <v>3231</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3397</v>
      </c>
      <c r="AA106" s="2964" t="s">
        <v>3397</v>
      </c>
      <c r="AB106" s="2964" t="s">
        <v>3397</v>
      </c>
      <c r="AC106" s="2965"/>
      <c r="AD106" s="2965"/>
      <c r="AE106" s="2965"/>
      <c r="AF106" s="2965"/>
    </row>
    <row r="107" spans="1:32" ht="14.1" customHeight="1">
      <c r="A107" s="2964" t="s">
        <v>3225</v>
      </c>
      <c r="B107" s="2964" t="s">
        <v>3226</v>
      </c>
      <c r="C107" s="2964" t="s">
        <v>3395</v>
      </c>
      <c r="D107" s="2964" t="s">
        <v>3414</v>
      </c>
      <c r="E107" s="2964" t="s">
        <v>3414</v>
      </c>
      <c r="F107" s="2964" t="s">
        <v>3241</v>
      </c>
      <c r="G107" s="2964" t="s">
        <v>3230</v>
      </c>
      <c r="H107" s="2964" t="s">
        <v>3231</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3397</v>
      </c>
      <c r="AA107" s="2964" t="s">
        <v>3397</v>
      </c>
      <c r="AB107" s="2964" t="s">
        <v>3397</v>
      </c>
      <c r="AC107" s="2965"/>
      <c r="AD107" s="2965"/>
      <c r="AE107" s="2965"/>
      <c r="AF107" s="2965"/>
    </row>
    <row r="108" spans="1:32" ht="14.1" customHeight="1">
      <c r="A108" s="2964" t="s">
        <v>3225</v>
      </c>
      <c r="B108" s="2964" t="s">
        <v>3226</v>
      </c>
      <c r="C108" s="2964" t="s">
        <v>3395</v>
      </c>
      <c r="D108" s="2964" t="s">
        <v>3415</v>
      </c>
      <c r="E108" s="2964"/>
      <c r="F108" s="2964" t="s">
        <v>3243</v>
      </c>
      <c r="G108" s="2964" t="s">
        <v>3244</v>
      </c>
      <c r="H108" s="2964" t="s">
        <v>3231</v>
      </c>
      <c r="I108" s="2964"/>
      <c r="J108" s="2965"/>
      <c r="K108" s="2965"/>
      <c r="L108" s="2965"/>
      <c r="M108" s="2965"/>
      <c r="N108" s="2965"/>
      <c r="O108" s="2965"/>
      <c r="P108" s="2965"/>
      <c r="Q108" s="2965"/>
      <c r="R108" s="2965"/>
      <c r="S108" s="2965"/>
      <c r="T108" s="2965"/>
      <c r="U108" s="2965"/>
      <c r="V108" s="2965"/>
      <c r="W108" s="2965"/>
      <c r="X108" s="2965"/>
      <c r="Y108" s="2965"/>
      <c r="Z108" s="2964" t="s">
        <v>3237</v>
      </c>
      <c r="AA108" s="2964" t="s">
        <v>3237</v>
      </c>
      <c r="AB108" s="2964" t="s">
        <v>3237</v>
      </c>
      <c r="AC108" s="2965"/>
      <c r="AD108" s="2965"/>
      <c r="AE108" s="2965"/>
      <c r="AF108" s="2965"/>
    </row>
    <row r="109" spans="1:32" ht="14.1" customHeight="1">
      <c r="A109" s="2964" t="s">
        <v>3225</v>
      </c>
      <c r="B109" s="2964" t="s">
        <v>3226</v>
      </c>
      <c r="C109" s="2964" t="s">
        <v>3395</v>
      </c>
      <c r="D109" s="2964" t="s">
        <v>3416</v>
      </c>
      <c r="E109" s="2964"/>
      <c r="F109" s="2964" t="s">
        <v>3246</v>
      </c>
      <c r="G109" s="2964" t="s">
        <v>3246</v>
      </c>
      <c r="H109" s="2964" t="s">
        <v>3231</v>
      </c>
      <c r="I109" s="2964"/>
      <c r="J109" s="2965"/>
      <c r="K109" s="2965"/>
      <c r="L109" s="2965"/>
      <c r="M109" s="2965"/>
      <c r="N109" s="2965"/>
      <c r="O109" s="2965"/>
      <c r="P109" s="2965"/>
      <c r="Q109" s="2965"/>
      <c r="R109" s="2965"/>
      <c r="S109" s="2965"/>
      <c r="T109" s="2965"/>
      <c r="U109" s="2965"/>
      <c r="V109" s="2965"/>
      <c r="W109" s="2965"/>
      <c r="X109" s="2965"/>
      <c r="Y109" s="2965"/>
      <c r="Z109" s="2964" t="s">
        <v>3237</v>
      </c>
      <c r="AA109" s="2964" t="s">
        <v>3237</v>
      </c>
      <c r="AB109" s="2964" t="s">
        <v>3237</v>
      </c>
      <c r="AC109" s="2965"/>
      <c r="AD109" s="2965"/>
      <c r="AE109" s="2965"/>
      <c r="AF109" s="2965"/>
    </row>
    <row r="110" spans="1:32" ht="14.1" customHeight="1">
      <c r="A110" s="2964" t="s">
        <v>3225</v>
      </c>
      <c r="B110" s="2964" t="s">
        <v>3226</v>
      </c>
      <c r="C110" s="2964" t="s">
        <v>3395</v>
      </c>
      <c r="D110" s="2964" t="s">
        <v>3417</v>
      </c>
      <c r="E110" s="2964" t="s">
        <v>3417</v>
      </c>
      <c r="F110" s="2964" t="s">
        <v>3248</v>
      </c>
      <c r="G110" s="2964" t="s">
        <v>1377</v>
      </c>
      <c r="H110" s="2964" t="s">
        <v>3231</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3397</v>
      </c>
      <c r="AA110" s="2964" t="s">
        <v>3397</v>
      </c>
      <c r="AB110" s="2964" t="s">
        <v>3397</v>
      </c>
      <c r="AC110" s="2965"/>
      <c r="AD110" s="2965"/>
      <c r="AE110" s="2965"/>
      <c r="AF110" s="2965"/>
    </row>
    <row r="111" spans="1:32" ht="14.1" customHeight="1">
      <c r="A111" s="2964" t="s">
        <v>3225</v>
      </c>
      <c r="B111" s="2964" t="s">
        <v>3226</v>
      </c>
      <c r="C111" s="2964" t="s">
        <v>3395</v>
      </c>
      <c r="D111" s="2964" t="s">
        <v>3418</v>
      </c>
      <c r="E111" s="2964" t="s">
        <v>3418</v>
      </c>
      <c r="F111" s="2964" t="s">
        <v>3229</v>
      </c>
      <c r="G111" s="2964" t="s">
        <v>3230</v>
      </c>
      <c r="H111" s="2964" t="s">
        <v>3231</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3397</v>
      </c>
      <c r="AA111" s="2964" t="s">
        <v>3397</v>
      </c>
      <c r="AB111" s="2964" t="s">
        <v>3397</v>
      </c>
      <c r="AC111" s="2965"/>
      <c r="AD111" s="2965"/>
      <c r="AE111" s="2965"/>
      <c r="AF111" s="2965"/>
    </row>
    <row r="112" spans="1:32" ht="14.1" customHeight="1">
      <c r="A112" s="2964" t="s">
        <v>3225</v>
      </c>
      <c r="B112" s="2964" t="s">
        <v>3226</v>
      </c>
      <c r="C112" s="2964" t="s">
        <v>3395</v>
      </c>
      <c r="D112" s="2964" t="s">
        <v>3419</v>
      </c>
      <c r="E112" s="2964"/>
      <c r="F112" s="2964" t="s">
        <v>3236</v>
      </c>
      <c r="G112" s="2964" t="s">
        <v>3230</v>
      </c>
      <c r="H112" s="2964" t="s">
        <v>3231</v>
      </c>
      <c r="I112" s="2964"/>
      <c r="J112" s="2965"/>
      <c r="K112" s="2965"/>
      <c r="L112" s="2965"/>
      <c r="M112" s="2965"/>
      <c r="N112" s="2965"/>
      <c r="O112" s="2965"/>
      <c r="P112" s="2965"/>
      <c r="Q112" s="2965"/>
      <c r="R112" s="2965"/>
      <c r="S112" s="2965"/>
      <c r="T112" s="2965"/>
      <c r="U112" s="2965"/>
      <c r="V112" s="2965"/>
      <c r="W112" s="2965"/>
      <c r="X112" s="2965"/>
      <c r="Y112" s="2965"/>
      <c r="Z112" s="2964" t="s">
        <v>3237</v>
      </c>
      <c r="AA112" s="2964" t="s">
        <v>3237</v>
      </c>
      <c r="AB112" s="2964" t="s">
        <v>3237</v>
      </c>
      <c r="AC112" s="2965"/>
      <c r="AD112" s="2965"/>
      <c r="AE112" s="2965"/>
      <c r="AF112" s="2965"/>
    </row>
    <row r="113" spans="1:32" ht="14.1" customHeight="1">
      <c r="A113" s="2964" t="s">
        <v>3225</v>
      </c>
      <c r="B113" s="2964" t="s">
        <v>3226</v>
      </c>
      <c r="C113" s="2964" t="s">
        <v>3395</v>
      </c>
      <c r="D113" s="2964" t="s">
        <v>3420</v>
      </c>
      <c r="E113" s="2964" t="s">
        <v>3420</v>
      </c>
      <c r="F113" s="2964" t="s">
        <v>3239</v>
      </c>
      <c r="G113" s="2964" t="s">
        <v>3230</v>
      </c>
      <c r="H113" s="2964" t="s">
        <v>3231</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3397</v>
      </c>
      <c r="AA113" s="2964" t="s">
        <v>3397</v>
      </c>
      <c r="AB113" s="2964" t="s">
        <v>3397</v>
      </c>
      <c r="AC113" s="2965"/>
      <c r="AD113" s="2965"/>
      <c r="AE113" s="2965"/>
      <c r="AF113" s="2965"/>
    </row>
    <row r="114" spans="1:32" ht="14.1" customHeight="1">
      <c r="A114" s="2964" t="s">
        <v>3225</v>
      </c>
      <c r="B114" s="2964" t="s">
        <v>3226</v>
      </c>
      <c r="C114" s="2964" t="s">
        <v>3395</v>
      </c>
      <c r="D114" s="2964" t="s">
        <v>3421</v>
      </c>
      <c r="E114" s="2964" t="s">
        <v>3421</v>
      </c>
      <c r="F114" s="2964" t="s">
        <v>3241</v>
      </c>
      <c r="G114" s="2964" t="s">
        <v>3230</v>
      </c>
      <c r="H114" s="2964" t="s">
        <v>3231</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3397</v>
      </c>
      <c r="AA114" s="2964" t="s">
        <v>3397</v>
      </c>
      <c r="AB114" s="2964" t="s">
        <v>3397</v>
      </c>
      <c r="AC114" s="2965"/>
      <c r="AD114" s="2965"/>
      <c r="AE114" s="2965"/>
      <c r="AF114" s="2965"/>
    </row>
    <row r="115" spans="1:32" ht="14.1" customHeight="1">
      <c r="A115" s="2964" t="s">
        <v>3225</v>
      </c>
      <c r="B115" s="2964" t="s">
        <v>3226</v>
      </c>
      <c r="C115" s="2964" t="s">
        <v>3395</v>
      </c>
      <c r="D115" s="2964" t="s">
        <v>3422</v>
      </c>
      <c r="E115" s="2964" t="s">
        <v>3422</v>
      </c>
      <c r="F115" s="2964" t="s">
        <v>3243</v>
      </c>
      <c r="G115" s="2964" t="s">
        <v>3244</v>
      </c>
      <c r="H115" s="2964" t="s">
        <v>3231</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3397</v>
      </c>
      <c r="AA115" s="2964" t="s">
        <v>3397</v>
      </c>
      <c r="AB115" s="2964" t="s">
        <v>3397</v>
      </c>
      <c r="AC115" s="2965"/>
      <c r="AD115" s="2965"/>
      <c r="AE115" s="2965"/>
      <c r="AF115" s="2965"/>
    </row>
    <row r="116" spans="1:32" ht="14.1" customHeight="1">
      <c r="A116" s="2964" t="s">
        <v>3225</v>
      </c>
      <c r="B116" s="2964" t="s">
        <v>3226</v>
      </c>
      <c r="C116" s="2964" t="s">
        <v>3395</v>
      </c>
      <c r="D116" s="2964" t="s">
        <v>3423</v>
      </c>
      <c r="E116" s="2964"/>
      <c r="F116" s="2964" t="s">
        <v>3246</v>
      </c>
      <c r="G116" s="2964" t="s">
        <v>3246</v>
      </c>
      <c r="H116" s="2964" t="s">
        <v>3231</v>
      </c>
      <c r="I116" s="2964"/>
      <c r="J116" s="2965"/>
      <c r="K116" s="2965"/>
      <c r="L116" s="2965"/>
      <c r="M116" s="2965"/>
      <c r="N116" s="2965"/>
      <c r="O116" s="2965"/>
      <c r="P116" s="2965"/>
      <c r="Q116" s="2965"/>
      <c r="R116" s="2965"/>
      <c r="S116" s="2965"/>
      <c r="T116" s="2965"/>
      <c r="U116" s="2965"/>
      <c r="V116" s="2965"/>
      <c r="W116" s="2965"/>
      <c r="X116" s="2965"/>
      <c r="Y116" s="2965"/>
      <c r="Z116" s="2964" t="s">
        <v>3237</v>
      </c>
      <c r="AA116" s="2964" t="s">
        <v>3237</v>
      </c>
      <c r="AB116" s="2964" t="s">
        <v>3237</v>
      </c>
      <c r="AC116" s="2965"/>
      <c r="AD116" s="2965"/>
      <c r="AE116" s="2965"/>
      <c r="AF116" s="2965"/>
    </row>
    <row r="117" spans="1:32" ht="14.1" customHeight="1">
      <c r="A117" s="2964" t="s">
        <v>3225</v>
      </c>
      <c r="B117" s="2964" t="s">
        <v>3226</v>
      </c>
      <c r="C117" s="2964" t="s">
        <v>3395</v>
      </c>
      <c r="D117" s="2964" t="s">
        <v>3424</v>
      </c>
      <c r="E117" s="2964" t="s">
        <v>3424</v>
      </c>
      <c r="F117" s="2964" t="s">
        <v>3248</v>
      </c>
      <c r="G117" s="2964" t="s">
        <v>1377</v>
      </c>
      <c r="H117" s="2964" t="s">
        <v>3231</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3397</v>
      </c>
      <c r="AA117" s="2964" t="s">
        <v>3397</v>
      </c>
      <c r="AB117" s="2964" t="s">
        <v>3397</v>
      </c>
      <c r="AC117" s="2965"/>
      <c r="AD117" s="2965"/>
      <c r="AE117" s="2965"/>
      <c r="AF117" s="2965"/>
    </row>
    <row r="118" spans="1:32" ht="14.1" customHeight="1">
      <c r="A118" s="2964" t="s">
        <v>3225</v>
      </c>
      <c r="B118" s="2964" t="s">
        <v>3226</v>
      </c>
      <c r="C118" s="2964" t="s">
        <v>3395</v>
      </c>
      <c r="D118" s="2964" t="s">
        <v>48</v>
      </c>
      <c r="E118" s="2964"/>
      <c r="F118" s="2964" t="s">
        <v>3386</v>
      </c>
      <c r="G118" s="2964" t="s">
        <v>3246</v>
      </c>
      <c r="H118" s="2964" t="s">
        <v>3231</v>
      </c>
      <c r="I118" s="2964"/>
      <c r="J118" s="2965"/>
      <c r="K118" s="2965"/>
      <c r="L118" s="2965"/>
      <c r="M118" s="2965"/>
      <c r="N118" s="2965"/>
      <c r="O118" s="2965"/>
      <c r="P118" s="2965"/>
      <c r="Q118" s="2965"/>
      <c r="R118" s="2965"/>
      <c r="S118" s="2965"/>
      <c r="T118" s="2965"/>
      <c r="U118" s="2965"/>
      <c r="V118" s="2965"/>
      <c r="W118" s="2965"/>
      <c r="X118" s="2965"/>
      <c r="Y118" s="2965"/>
      <c r="Z118" s="2964" t="s">
        <v>3237</v>
      </c>
      <c r="AA118" s="2964" t="s">
        <v>3237</v>
      </c>
      <c r="AB118" s="2964" t="s">
        <v>3237</v>
      </c>
      <c r="AC118" s="2965"/>
      <c r="AD118" s="2965"/>
      <c r="AE118" s="2965"/>
      <c r="AF118" s="2965"/>
    </row>
    <row r="119" spans="1:32" ht="14.1" customHeight="1">
      <c r="A119" s="2964" t="s">
        <v>3225</v>
      </c>
      <c r="B119" s="2964" t="s">
        <v>3226</v>
      </c>
      <c r="C119" s="2964" t="s">
        <v>3395</v>
      </c>
      <c r="D119" s="2964" t="s">
        <v>3387</v>
      </c>
      <c r="E119" s="2964"/>
      <c r="F119" s="2964" t="s">
        <v>3388</v>
      </c>
      <c r="G119" s="2964" t="s">
        <v>3244</v>
      </c>
      <c r="H119" s="2964" t="s">
        <v>3231</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3237</v>
      </c>
      <c r="AA119" s="2964" t="s">
        <v>3237</v>
      </c>
      <c r="AB119" s="2964" t="s">
        <v>3237</v>
      </c>
      <c r="AC119" s="2965"/>
      <c r="AD119" s="2965"/>
      <c r="AE119" s="2965"/>
      <c r="AF119" s="2965"/>
    </row>
    <row r="120" spans="1:32" ht="14.1" customHeight="1">
      <c r="A120" s="2966" t="s">
        <v>3225</v>
      </c>
      <c r="B120" s="2966" t="s">
        <v>3226</v>
      </c>
      <c r="C120" s="2966" t="s">
        <v>3425</v>
      </c>
      <c r="D120" s="2966" t="s">
        <v>3282</v>
      </c>
      <c r="E120" s="2966" t="s">
        <v>3282</v>
      </c>
      <c r="F120" s="2966" t="s">
        <v>3282</v>
      </c>
      <c r="G120" s="2966" t="s">
        <v>3282</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3397</v>
      </c>
      <c r="AA120" s="2966" t="s">
        <v>3397</v>
      </c>
      <c r="AB120" s="2966" t="s">
        <v>3397</v>
      </c>
      <c r="AC120" s="2967"/>
      <c r="AD120" s="2967"/>
      <c r="AE120" s="2967"/>
      <c r="AF120" s="2967"/>
    </row>
    <row r="121" spans="1:32" ht="14.1" customHeight="1">
      <c r="A121" s="2964" t="s">
        <v>3225</v>
      </c>
      <c r="B121" s="2964" t="s">
        <v>3226</v>
      </c>
      <c r="C121" s="2964" t="s">
        <v>3426</v>
      </c>
      <c r="D121" s="2964" t="s">
        <v>3427</v>
      </c>
      <c r="E121" s="2964" t="s">
        <v>3427</v>
      </c>
      <c r="F121" s="2964" t="s">
        <v>3229</v>
      </c>
      <c r="G121" s="2964" t="s">
        <v>3230</v>
      </c>
      <c r="H121" s="2964" t="s">
        <v>3231</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3397</v>
      </c>
      <c r="AA121" s="2964" t="s">
        <v>3397</v>
      </c>
      <c r="AB121" s="2964" t="s">
        <v>3397</v>
      </c>
      <c r="AC121" s="2965"/>
      <c r="AD121" s="2965"/>
      <c r="AE121" s="2965"/>
      <c r="AF121" s="2965"/>
    </row>
    <row r="122" spans="1:32" ht="14.1" customHeight="1">
      <c r="A122" s="2964" t="s">
        <v>3225</v>
      </c>
      <c r="B122" s="2964" t="s">
        <v>3226</v>
      </c>
      <c r="C122" s="2964" t="s">
        <v>3426</v>
      </c>
      <c r="D122" s="2964" t="s">
        <v>3428</v>
      </c>
      <c r="E122" s="2964"/>
      <c r="F122" s="2964" t="s">
        <v>3236</v>
      </c>
      <c r="G122" s="2964" t="s">
        <v>3230</v>
      </c>
      <c r="H122" s="2964" t="s">
        <v>3231</v>
      </c>
      <c r="I122" s="2964"/>
      <c r="J122" s="2965"/>
      <c r="K122" s="2965"/>
      <c r="L122" s="2965"/>
      <c r="M122" s="2965"/>
      <c r="N122" s="2965"/>
      <c r="O122" s="2965"/>
      <c r="P122" s="2965"/>
      <c r="Q122" s="2965"/>
      <c r="R122" s="2965"/>
      <c r="S122" s="2965"/>
      <c r="T122" s="2965"/>
      <c r="U122" s="2965"/>
      <c r="V122" s="2965"/>
      <c r="W122" s="2965"/>
      <c r="X122" s="2965"/>
      <c r="Y122" s="2965"/>
      <c r="Z122" s="2964" t="s">
        <v>3237</v>
      </c>
      <c r="AA122" s="2964" t="s">
        <v>3237</v>
      </c>
      <c r="AB122" s="2964" t="s">
        <v>3237</v>
      </c>
      <c r="AC122" s="2965"/>
      <c r="AD122" s="2965"/>
      <c r="AE122" s="2965"/>
      <c r="AF122" s="2965"/>
    </row>
    <row r="123" spans="1:32" ht="14.1" customHeight="1">
      <c r="A123" s="2964" t="s">
        <v>3225</v>
      </c>
      <c r="B123" s="2964" t="s">
        <v>3226</v>
      </c>
      <c r="C123" s="2964" t="s">
        <v>3426</v>
      </c>
      <c r="D123" s="2964" t="s">
        <v>3429</v>
      </c>
      <c r="E123" s="2964" t="s">
        <v>3429</v>
      </c>
      <c r="F123" s="2964" t="s">
        <v>3239</v>
      </c>
      <c r="G123" s="2964" t="s">
        <v>3230</v>
      </c>
      <c r="H123" s="2964" t="s">
        <v>3231</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3397</v>
      </c>
      <c r="AA123" s="2964" t="s">
        <v>3397</v>
      </c>
      <c r="AB123" s="2964" t="s">
        <v>3397</v>
      </c>
      <c r="AC123" s="2965"/>
      <c r="AD123" s="2965"/>
      <c r="AE123" s="2965"/>
      <c r="AF123" s="2965"/>
    </row>
    <row r="124" spans="1:32" ht="14.1" customHeight="1">
      <c r="A124" s="2964" t="s">
        <v>3225</v>
      </c>
      <c r="B124" s="2964" t="s">
        <v>3226</v>
      </c>
      <c r="C124" s="2964" t="s">
        <v>3426</v>
      </c>
      <c r="D124" s="2964" t="s">
        <v>3430</v>
      </c>
      <c r="E124" s="2964"/>
      <c r="F124" s="2964" t="s">
        <v>3241</v>
      </c>
      <c r="G124" s="2964" t="s">
        <v>3230</v>
      </c>
      <c r="H124" s="2964" t="s">
        <v>3231</v>
      </c>
      <c r="I124" s="2964"/>
      <c r="J124" s="2965"/>
      <c r="K124" s="2965"/>
      <c r="L124" s="2965"/>
      <c r="M124" s="2965"/>
      <c r="N124" s="2965"/>
      <c r="O124" s="2965"/>
      <c r="P124" s="2965"/>
      <c r="Q124" s="2965"/>
      <c r="R124" s="2965"/>
      <c r="S124" s="2965"/>
      <c r="T124" s="2965"/>
      <c r="U124" s="2965"/>
      <c r="V124" s="2965"/>
      <c r="W124" s="2965"/>
      <c r="X124" s="2965"/>
      <c r="Y124" s="2965"/>
      <c r="Z124" s="2964" t="s">
        <v>3237</v>
      </c>
      <c r="AA124" s="2964" t="s">
        <v>3237</v>
      </c>
      <c r="AB124" s="2964" t="s">
        <v>3237</v>
      </c>
      <c r="AC124" s="2965"/>
      <c r="AD124" s="2965"/>
      <c r="AE124" s="2965"/>
      <c r="AF124" s="2965"/>
    </row>
    <row r="125" spans="1:32" ht="14.1" customHeight="1">
      <c r="A125" s="2964" t="s">
        <v>3225</v>
      </c>
      <c r="B125" s="2964" t="s">
        <v>3226</v>
      </c>
      <c r="C125" s="2964" t="s">
        <v>3426</v>
      </c>
      <c r="D125" s="2964" t="s">
        <v>3431</v>
      </c>
      <c r="E125" s="2964" t="s">
        <v>3431</v>
      </c>
      <c r="F125" s="2964" t="s">
        <v>3243</v>
      </c>
      <c r="G125" s="2964" t="s">
        <v>3244</v>
      </c>
      <c r="H125" s="2964" t="s">
        <v>3231</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3397</v>
      </c>
      <c r="AA125" s="2964" t="s">
        <v>3397</v>
      </c>
      <c r="AB125" s="2964" t="s">
        <v>3397</v>
      </c>
      <c r="AC125" s="2965"/>
      <c r="AD125" s="2965"/>
      <c r="AE125" s="2965"/>
      <c r="AF125" s="2965"/>
    </row>
    <row r="126" spans="1:32" ht="14.1" customHeight="1">
      <c r="A126" s="2964" t="s">
        <v>3225</v>
      </c>
      <c r="B126" s="2964" t="s">
        <v>3226</v>
      </c>
      <c r="C126" s="2964" t="s">
        <v>3426</v>
      </c>
      <c r="D126" s="2964" t="s">
        <v>3432</v>
      </c>
      <c r="E126" s="2964" t="s">
        <v>3432</v>
      </c>
      <c r="F126" s="2964" t="s">
        <v>3246</v>
      </c>
      <c r="G126" s="2964" t="s">
        <v>3246</v>
      </c>
      <c r="H126" s="2964" t="s">
        <v>3231</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3397</v>
      </c>
      <c r="AA126" s="2964" t="s">
        <v>3397</v>
      </c>
      <c r="AB126" s="2964" t="s">
        <v>3397</v>
      </c>
      <c r="AC126" s="2965"/>
      <c r="AD126" s="2965"/>
      <c r="AE126" s="2965"/>
      <c r="AF126" s="2965"/>
    </row>
    <row r="127" spans="1:32" ht="14.1" customHeight="1">
      <c r="A127" s="2964" t="s">
        <v>3225</v>
      </c>
      <c r="B127" s="2964" t="s">
        <v>3226</v>
      </c>
      <c r="C127" s="2964" t="s">
        <v>3426</v>
      </c>
      <c r="D127" s="2964" t="s">
        <v>3433</v>
      </c>
      <c r="E127" s="2964" t="s">
        <v>3433</v>
      </c>
      <c r="F127" s="2964" t="s">
        <v>3248</v>
      </c>
      <c r="G127" s="2964" t="s">
        <v>1377</v>
      </c>
      <c r="H127" s="2964" t="s">
        <v>3231</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3397</v>
      </c>
      <c r="AA127" s="2964" t="s">
        <v>3397</v>
      </c>
      <c r="AB127" s="2964" t="s">
        <v>3397</v>
      </c>
      <c r="AC127" s="2965"/>
      <c r="AD127" s="2965"/>
      <c r="AE127" s="2965"/>
      <c r="AF127" s="2965"/>
    </row>
    <row r="128" spans="1:32" ht="14.1" customHeight="1">
      <c r="A128" s="2964" t="s">
        <v>3225</v>
      </c>
      <c r="B128" s="2964" t="s">
        <v>3226</v>
      </c>
      <c r="C128" s="2964" t="s">
        <v>3426</v>
      </c>
      <c r="D128" s="2964" t="s">
        <v>3434</v>
      </c>
      <c r="E128" s="2964" t="s">
        <v>3434</v>
      </c>
      <c r="F128" s="2964" t="s">
        <v>3229</v>
      </c>
      <c r="G128" s="2964" t="s">
        <v>3230</v>
      </c>
      <c r="H128" s="2964" t="s">
        <v>3231</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3435</v>
      </c>
      <c r="AA128" s="2964" t="s">
        <v>3436</v>
      </c>
      <c r="AB128" s="2964" t="s">
        <v>3437</v>
      </c>
      <c r="AC128" s="2965">
        <v>16</v>
      </c>
      <c r="AD128" s="2965">
        <v>506.08</v>
      </c>
      <c r="AE128" s="2965">
        <v>35868.26</v>
      </c>
      <c r="AF128" s="2965">
        <v>1815.22</v>
      </c>
    </row>
    <row r="129" spans="1:32" ht="14.1" customHeight="1">
      <c r="A129" s="2964" t="s">
        <v>3225</v>
      </c>
      <c r="B129" s="2964" t="s">
        <v>3226</v>
      </c>
      <c r="C129" s="2964" t="s">
        <v>3426</v>
      </c>
      <c r="D129" s="2964" t="s">
        <v>3438</v>
      </c>
      <c r="E129" s="2964"/>
      <c r="F129" s="2964" t="s">
        <v>3236</v>
      </c>
      <c r="G129" s="2964" t="s">
        <v>3230</v>
      </c>
      <c r="H129" s="2964" t="s">
        <v>3231</v>
      </c>
      <c r="I129" s="2964"/>
      <c r="J129" s="2965"/>
      <c r="K129" s="2965"/>
      <c r="L129" s="2965"/>
      <c r="M129" s="2965"/>
      <c r="N129" s="2965"/>
      <c r="O129" s="2965"/>
      <c r="P129" s="2965"/>
      <c r="Q129" s="2965"/>
      <c r="R129" s="2965"/>
      <c r="S129" s="2965"/>
      <c r="T129" s="2965"/>
      <c r="U129" s="2965"/>
      <c r="V129" s="2965"/>
      <c r="W129" s="2965"/>
      <c r="X129" s="2965"/>
      <c r="Y129" s="2965"/>
      <c r="Z129" s="2964" t="s">
        <v>3237</v>
      </c>
      <c r="AA129" s="2964" t="s">
        <v>3237</v>
      </c>
      <c r="AB129" s="2964" t="s">
        <v>3237</v>
      </c>
      <c r="AC129" s="2965"/>
      <c r="AD129" s="2965"/>
      <c r="AE129" s="2965"/>
      <c r="AF129" s="2965"/>
    </row>
    <row r="130" spans="1:32" ht="14.1" customHeight="1">
      <c r="A130" s="2964" t="s">
        <v>3225</v>
      </c>
      <c r="B130" s="2964" t="s">
        <v>3226</v>
      </c>
      <c r="C130" s="2964" t="s">
        <v>3426</v>
      </c>
      <c r="D130" s="2964" t="s">
        <v>3439</v>
      </c>
      <c r="E130" s="2964" t="s">
        <v>3439</v>
      </c>
      <c r="F130" s="2964" t="s">
        <v>3239</v>
      </c>
      <c r="G130" s="2964" t="s">
        <v>3230</v>
      </c>
      <c r="H130" s="2964" t="s">
        <v>3231</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3440</v>
      </c>
      <c r="AA130" s="2964" t="s">
        <v>3441</v>
      </c>
      <c r="AB130" s="2964" t="s">
        <v>3442</v>
      </c>
      <c r="AC130" s="2965">
        <v>7</v>
      </c>
      <c r="AD130" s="2965">
        <v>191.57</v>
      </c>
      <c r="AE130" s="2965">
        <v>31041.78</v>
      </c>
      <c r="AF130" s="2965">
        <v>594.66999999999996</v>
      </c>
    </row>
    <row r="131" spans="1:32" ht="14.1" customHeight="1">
      <c r="A131" s="2964" t="s">
        <v>3225</v>
      </c>
      <c r="B131" s="2964" t="s">
        <v>3226</v>
      </c>
      <c r="C131" s="2964" t="s">
        <v>3426</v>
      </c>
      <c r="D131" s="2964" t="s">
        <v>3443</v>
      </c>
      <c r="E131" s="2964"/>
      <c r="F131" s="2964" t="s">
        <v>3241</v>
      </c>
      <c r="G131" s="2964" t="s">
        <v>3230</v>
      </c>
      <c r="H131" s="2964" t="s">
        <v>3231</v>
      </c>
      <c r="I131" s="2964"/>
      <c r="J131" s="2965"/>
      <c r="K131" s="2965"/>
      <c r="L131" s="2965"/>
      <c r="M131" s="2965"/>
      <c r="N131" s="2965"/>
      <c r="O131" s="2965"/>
      <c r="P131" s="2965"/>
      <c r="Q131" s="2965"/>
      <c r="R131" s="2965"/>
      <c r="S131" s="2965"/>
      <c r="T131" s="2965"/>
      <c r="U131" s="2965"/>
      <c r="V131" s="2965"/>
      <c r="W131" s="2965"/>
      <c r="X131" s="2965"/>
      <c r="Y131" s="2965"/>
      <c r="Z131" s="2964" t="s">
        <v>3237</v>
      </c>
      <c r="AA131" s="2964" t="s">
        <v>3237</v>
      </c>
      <c r="AB131" s="2964" t="s">
        <v>3237</v>
      </c>
      <c r="AC131" s="2965"/>
      <c r="AD131" s="2965"/>
      <c r="AE131" s="2965"/>
      <c r="AF131" s="2965"/>
    </row>
    <row r="132" spans="1:32" ht="14.1" customHeight="1">
      <c r="A132" s="2964" t="s">
        <v>3225</v>
      </c>
      <c r="B132" s="2964" t="s">
        <v>3226</v>
      </c>
      <c r="C132" s="2964" t="s">
        <v>3426</v>
      </c>
      <c r="D132" s="2964" t="s">
        <v>3444</v>
      </c>
      <c r="E132" s="2964" t="s">
        <v>3444</v>
      </c>
      <c r="F132" s="2964" t="s">
        <v>3243</v>
      </c>
      <c r="G132" s="2964" t="s">
        <v>3244</v>
      </c>
      <c r="H132" s="2964" t="s">
        <v>3231</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3397</v>
      </c>
      <c r="AA132" s="2964" t="s">
        <v>3397</v>
      </c>
      <c r="AB132" s="2964" t="s">
        <v>3397</v>
      </c>
      <c r="AC132" s="2965"/>
      <c r="AD132" s="2965"/>
      <c r="AE132" s="2965"/>
      <c r="AF132" s="2965"/>
    </row>
    <row r="133" spans="1:32" ht="14.1" customHeight="1">
      <c r="A133" s="2964" t="s">
        <v>3225</v>
      </c>
      <c r="B133" s="2964" t="s">
        <v>3226</v>
      </c>
      <c r="C133" s="2964" t="s">
        <v>3426</v>
      </c>
      <c r="D133" s="2964" t="s">
        <v>3445</v>
      </c>
      <c r="E133" s="2964"/>
      <c r="F133" s="2964" t="s">
        <v>3246</v>
      </c>
      <c r="G133" s="2964" t="s">
        <v>3246</v>
      </c>
      <c r="H133" s="2964" t="s">
        <v>3231</v>
      </c>
      <c r="I133" s="2964"/>
      <c r="J133" s="2965"/>
      <c r="K133" s="2965"/>
      <c r="L133" s="2965"/>
      <c r="M133" s="2965"/>
      <c r="N133" s="2965"/>
      <c r="O133" s="2965"/>
      <c r="P133" s="2965"/>
      <c r="Q133" s="2965"/>
      <c r="R133" s="2965"/>
      <c r="S133" s="2965"/>
      <c r="T133" s="2965"/>
      <c r="U133" s="2965"/>
      <c r="V133" s="2965"/>
      <c r="W133" s="2965"/>
      <c r="X133" s="2965"/>
      <c r="Y133" s="2965"/>
      <c r="Z133" s="2964" t="s">
        <v>3237</v>
      </c>
      <c r="AA133" s="2964" t="s">
        <v>3237</v>
      </c>
      <c r="AB133" s="2964" t="s">
        <v>3237</v>
      </c>
      <c r="AC133" s="2965"/>
      <c r="AD133" s="2965"/>
      <c r="AE133" s="2965"/>
      <c r="AF133" s="2965"/>
    </row>
    <row r="134" spans="1:32" ht="14.1" customHeight="1">
      <c r="A134" s="2964" t="s">
        <v>3225</v>
      </c>
      <c r="B134" s="2964" t="s">
        <v>3226</v>
      </c>
      <c r="C134" s="2964" t="s">
        <v>3426</v>
      </c>
      <c r="D134" s="2964" t="s">
        <v>3446</v>
      </c>
      <c r="E134" s="2964" t="s">
        <v>3446</v>
      </c>
      <c r="F134" s="2964" t="s">
        <v>3248</v>
      </c>
      <c r="G134" s="2964" t="s">
        <v>1377</v>
      </c>
      <c r="H134" s="2964" t="s">
        <v>3231</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3447</v>
      </c>
      <c r="AA134" s="2964" t="s">
        <v>3448</v>
      </c>
      <c r="AB134" s="2964" t="s">
        <v>3449</v>
      </c>
      <c r="AC134" s="2965">
        <v>33</v>
      </c>
      <c r="AD134" s="2965">
        <v>2612.96</v>
      </c>
      <c r="AE134" s="2965">
        <v>42777.279999999999</v>
      </c>
      <c r="AF134" s="2965">
        <v>11177.53</v>
      </c>
    </row>
    <row r="135" spans="1:32" ht="14.1" customHeight="1">
      <c r="A135" s="2966" t="s">
        <v>3225</v>
      </c>
      <c r="B135" s="2966" t="s">
        <v>3226</v>
      </c>
      <c r="C135" s="2966" t="s">
        <v>3450</v>
      </c>
      <c r="D135" s="2966" t="s">
        <v>3282</v>
      </c>
      <c r="E135" s="2966" t="s">
        <v>3282</v>
      </c>
      <c r="F135" s="2966" t="s">
        <v>3282</v>
      </c>
      <c r="G135" s="2966" t="s">
        <v>3282</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3451</v>
      </c>
      <c r="AA135" s="2966" t="s">
        <v>3452</v>
      </c>
      <c r="AB135" s="2966" t="s">
        <v>3453</v>
      </c>
      <c r="AC135" s="2967">
        <v>56</v>
      </c>
      <c r="AD135" s="2967">
        <v>3310.61</v>
      </c>
      <c r="AE135" s="2967">
        <v>41042.04</v>
      </c>
      <c r="AF135" s="2967">
        <v>13587.42</v>
      </c>
    </row>
    <row r="136" spans="1:32" ht="14.1" customHeight="1">
      <c r="A136" s="2966" t="s">
        <v>3225</v>
      </c>
      <c r="B136" s="2966" t="s">
        <v>3454</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3455</v>
      </c>
      <c r="AA136" s="2966" t="s">
        <v>3456</v>
      </c>
      <c r="AB136" s="2966" t="s">
        <v>3457</v>
      </c>
      <c r="AC136" s="2967">
        <v>3183</v>
      </c>
      <c r="AD136" s="2967">
        <v>125129.44</v>
      </c>
      <c r="AE136" s="2967">
        <v>28417.52</v>
      </c>
      <c r="AF136" s="2967">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3203</v>
      </c>
      <c r="J9" s="974"/>
      <c r="K9" s="2969" t="s">
        <v>3463</v>
      </c>
      <c r="L9" s="974"/>
      <c r="M9" s="2969" t="s">
        <v>3463</v>
      </c>
      <c r="N9" s="974"/>
      <c r="O9" s="2969" t="s">
        <v>3463</v>
      </c>
      <c r="P9" s="974"/>
      <c r="Q9" s="2969" t="s">
        <v>3463</v>
      </c>
      <c r="R9" s="974"/>
      <c r="S9" s="2969" t="s">
        <v>3470</v>
      </c>
      <c r="T9" s="974"/>
      <c r="U9" s="2969" t="s">
        <v>3470</v>
      </c>
      <c r="V9" s="974"/>
      <c r="W9" s="2969" t="s">
        <v>3470</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3464</v>
      </c>
      <c r="L10" s="974"/>
      <c r="M10" s="2970" t="s">
        <v>3466</v>
      </c>
      <c r="N10" s="974"/>
      <c r="O10" s="2970" t="s">
        <v>3466</v>
      </c>
      <c r="P10" s="974"/>
      <c r="Q10" s="2970" t="s">
        <v>3466</v>
      </c>
      <c r="R10" s="974"/>
      <c r="S10" s="2970" t="s">
        <v>3466</v>
      </c>
      <c r="T10" s="974"/>
      <c r="U10" s="2189" t="s">
        <v>3471</v>
      </c>
      <c r="V10" s="974"/>
      <c r="W10" s="2970" t="s">
        <v>3492</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3462</v>
      </c>
      <c r="J11" s="2195"/>
      <c r="K11" s="2194" t="s">
        <v>3465</v>
      </c>
      <c r="L11" s="2195"/>
      <c r="M11" s="2194" t="s">
        <v>3467</v>
      </c>
      <c r="N11" s="2195"/>
      <c r="O11" s="2194" t="s">
        <v>3468</v>
      </c>
      <c r="P11" s="2195"/>
      <c r="Q11" s="2194" t="s">
        <v>3473</v>
      </c>
      <c r="R11" s="2195"/>
      <c r="S11" s="2194" t="s">
        <v>3469</v>
      </c>
      <c r="T11" s="2195"/>
      <c r="U11" s="2194"/>
      <c r="V11" s="2195"/>
      <c r="W11" s="2194" t="s">
        <v>3472</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3195</v>
      </c>
      <c r="D13" s="2973" t="s">
        <v>3477</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3196</v>
      </c>
      <c r="D14" s="2973" t="s">
        <v>3477</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3197</v>
      </c>
      <c r="D15" s="2973" t="s">
        <v>3477</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3198</v>
      </c>
      <c r="D16" s="2973" t="s">
        <v>3477</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3199</v>
      </c>
      <c r="D17" s="2973" t="s">
        <v>3477</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3200</v>
      </c>
      <c r="D18" s="2973" t="s">
        <v>3477</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3201</v>
      </c>
      <c r="D19" s="2973" t="s">
        <v>3477</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3202</v>
      </c>
      <c r="D20" s="2973" t="s">
        <v>3477</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3460</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3461</v>
      </c>
      <c r="D21" s="48">
        <f t="shared" si="6"/>
        <v>2836.62</v>
      </c>
      <c r="E21" s="56">
        <f t="shared" si="1"/>
        <v>7561.02</v>
      </c>
      <c r="F21" s="57">
        <f>SUM('数据-基础表'!M13:M20)</f>
        <v>7561.02</v>
      </c>
      <c r="G21" s="58"/>
      <c r="H21" s="716">
        <f t="shared" si="7"/>
        <v>0</v>
      </c>
      <c r="I21" s="51">
        <f t="shared" si="2"/>
        <v>0</v>
      </c>
      <c r="J21" s="1385"/>
      <c r="K21" s="1384">
        <f t="shared" si="3"/>
        <v>0</v>
      </c>
      <c r="L21" s="1240">
        <f t="shared" si="4"/>
        <v>0</v>
      </c>
      <c r="M21" s="1396">
        <f t="shared" si="8"/>
        <v>0</v>
      </c>
      <c r="N21" s="2251"/>
      <c r="O21" s="2252"/>
      <c r="P21" s="1396">
        <f t="shared" si="9"/>
        <v>0</v>
      </c>
      <c r="R21" s="1240">
        <f t="shared" si="5"/>
        <v>2836.62</v>
      </c>
      <c r="S21" s="1241">
        <f t="shared" si="5"/>
        <v>7561.02</v>
      </c>
    </row>
    <row r="22" spans="1:19">
      <c r="A22" s="2253"/>
      <c r="B22" s="50" t="s">
        <v>1962</v>
      </c>
      <c r="C22" s="2968" t="s">
        <v>3459</v>
      </c>
      <c r="D22" s="48">
        <f t="shared" si="6"/>
        <v>1977.27</v>
      </c>
      <c r="E22" s="56">
        <f t="shared" si="1"/>
        <v>5270.42</v>
      </c>
      <c r="F22" s="60">
        <f>SUM('数据-基础表'!O13:O20)</f>
        <v>5270.42</v>
      </c>
      <c r="G22" s="61"/>
      <c r="H22" s="716">
        <f t="shared" si="7"/>
        <v>0</v>
      </c>
      <c r="I22" s="51">
        <f t="shared" si="2"/>
        <v>0</v>
      </c>
      <c r="J22" s="1385"/>
      <c r="K22" s="1384">
        <f t="shared" si="3"/>
        <v>0</v>
      </c>
      <c r="L22" s="1240">
        <f t="shared" si="4"/>
        <v>0</v>
      </c>
      <c r="M22" s="1396">
        <f t="shared" si="8"/>
        <v>0</v>
      </c>
      <c r="N22" s="2251"/>
      <c r="O22" s="2252"/>
      <c r="P22" s="1396">
        <f t="shared" si="9"/>
        <v>0</v>
      </c>
      <c r="R22" s="1240">
        <f t="shared" si="5"/>
        <v>1977.27</v>
      </c>
      <c r="S22" s="1241">
        <f t="shared" si="5"/>
        <v>5270.42</v>
      </c>
    </row>
    <row r="23" spans="1:19">
      <c r="A23" s="2253"/>
      <c r="B23" s="50" t="s">
        <v>1962</v>
      </c>
      <c r="C23" s="2972" t="s">
        <v>3475</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3479</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3480</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38798.119999999995</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38798.119999999995</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I12" sqref="I1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5.5E-2</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3583</v>
      </c>
      <c r="AO6" s="55">
        <f ca="1">SUMIF(INDIRECT("'"&amp;AN6&amp;"'"&amp;"!A:A"),"总价",INDIRECT("'"&amp;AN6&amp;"'"&amp;"!B:B"))</f>
        <v>160018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5.5E-2</v>
      </c>
      <c r="J8" s="72">
        <v>8.5000000000000006E-2</v>
      </c>
      <c r="K8" s="1244">
        <f>SUMIF('数据-汇总表'!C$19:C$33,A8,'数据-汇总表'!E$19:E$33)</f>
        <v>7561.02</v>
      </c>
      <c r="L8" s="796">
        <v>3200</v>
      </c>
      <c r="M8" s="73">
        <f>ROUND(K8*L8/10000,0)</f>
        <v>2420</v>
      </c>
      <c r="N8" s="794">
        <v>0.7</v>
      </c>
      <c r="O8" s="73">
        <f t="shared" si="3"/>
        <v>1694</v>
      </c>
      <c r="P8" s="74">
        <f t="shared" si="4"/>
        <v>726</v>
      </c>
      <c r="Q8" s="797">
        <v>0.2</v>
      </c>
      <c r="R8" s="75">
        <f ca="1">SUMIF('数据-汇总表'!C$19:C$33,A8,'数据-汇总表'!R$19:R$27)</f>
        <v>2836.62</v>
      </c>
      <c r="S8" s="54">
        <f>IF('数据-汇总表'!$I$17="按面积比例",SUMIF('数据-汇总表'!C$19:C$33,A8,'数据-汇总表'!K$19:K$33),SUMIF('数据-汇总表'!C$19:C$33,A8,'数据-汇总表'!N$19:N$33))</f>
        <v>0</v>
      </c>
      <c r="T8" s="1436">
        <f t="shared" si="5"/>
        <v>0</v>
      </c>
      <c r="U8" s="798">
        <v>4.5</v>
      </c>
      <c r="V8" s="799">
        <v>0</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3586</v>
      </c>
      <c r="AO8" s="55">
        <f t="shared" ca="1" si="8"/>
        <v>14938</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2">
        <v>5.5E-2</v>
      </c>
      <c r="J9" s="72">
        <v>8.5000000000000006E-2</v>
      </c>
      <c r="K9" s="1244">
        <f>SUMIF('数据-汇总表'!C$19:C$33,A9,'数据-汇总表'!E$19:E$33)</f>
        <v>5270.42</v>
      </c>
      <c r="L9" s="796">
        <v>2500</v>
      </c>
      <c r="M9" s="73">
        <f t="shared" si="0"/>
        <v>1318</v>
      </c>
      <c r="N9" s="794">
        <v>0.7</v>
      </c>
      <c r="O9" s="73">
        <f t="shared" si="3"/>
        <v>923</v>
      </c>
      <c r="P9" s="74">
        <f t="shared" si="4"/>
        <v>395</v>
      </c>
      <c r="Q9" s="88">
        <v>0.2</v>
      </c>
      <c r="R9" s="75">
        <f ca="1">SUMIF('数据-汇总表'!C$19:C$33,A9,'数据-汇总表'!R$19:R$27)</f>
        <v>1977.27</v>
      </c>
      <c r="S9" s="54">
        <f>IF('数据-汇总表'!$I$17="按面积比例",SUMIF('数据-汇总表'!C$19:C$33,A9,'数据-汇总表'!K$19:K$33),SUMIF('数据-汇总表'!C$19:C$33,A9,'数据-汇总表'!N$19:N$33))</f>
        <v>0</v>
      </c>
      <c r="T9" s="1436">
        <f t="shared" si="5"/>
        <v>0</v>
      </c>
      <c r="U9" s="76">
        <v>4.3</v>
      </c>
      <c r="V9" s="77">
        <v>0</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3588</v>
      </c>
      <c r="AO9" s="55">
        <f t="shared" ca="1" si="8"/>
        <v>10094</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3590</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3596</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3471</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3594</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3592</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3045</v>
      </c>
      <c r="M16" s="96">
        <f>SUM(M6:M14)</f>
        <v>31491</v>
      </c>
      <c r="N16" s="97">
        <f>ROUND(SUMPRODUCT(M6:M14,N6:N14)/M16,3)</f>
        <v>0.7</v>
      </c>
      <c r="O16" s="96">
        <f>SUM(O6:O14)</f>
        <v>22044</v>
      </c>
      <c r="P16" s="96">
        <f>SUM(P6:P14)</f>
        <v>9447</v>
      </c>
      <c r="Q16" s="98">
        <f>ROUND(SUMPRODUCT(Q6:Q13,K6:K13)/SUMPRODUCT((Q6:Q13&gt;0)*(K6:K13)),2)</f>
        <v>0.19</v>
      </c>
      <c r="R16" s="1248">
        <f ca="1">SUM(R6:R13)</f>
        <v>38798.119999999995</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3166</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191600</v>
      </c>
      <c r="C5" s="1735">
        <f ca="1">ROUND(B5*10000/$B$1,0)</f>
        <v>18527</v>
      </c>
      <c r="D5" s="1735">
        <f ca="1">ROUND(B5*10000/$B$2,0)</f>
        <v>49384</v>
      </c>
      <c r="E5" s="1734"/>
      <c r="F5" s="1732"/>
      <c r="G5" s="1732"/>
    </row>
    <row r="6" spans="1:10" ht="16.5">
      <c r="A6" s="1735" t="s">
        <v>1356</v>
      </c>
      <c r="B6" s="1735">
        <f ca="1">SUM(G14:G23)</f>
        <v>191600</v>
      </c>
      <c r="C6" s="1735">
        <f ca="1">ROUND(B6*10000/$B$1,0)</f>
        <v>18527</v>
      </c>
      <c r="D6" s="1735">
        <f ca="1">ROUND(B6*10000/$B$2,0)</f>
        <v>49384</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191600</v>
      </c>
      <c r="E14" s="1733">
        <f ca="1">ROUND(D14*10000/B14,0)</f>
        <v>18527</v>
      </c>
      <c r="F14" s="1733">
        <f ca="1">ROUND(D14*10000/C14,0)</f>
        <v>49384</v>
      </c>
      <c r="G14" s="1733">
        <f ca="1">结果表!D122</f>
        <v>191600</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36" t="str">
        <f>项目基本情况!S2</f>
        <v>北京市出让国有建设用地使用权及在建建筑物房地产</v>
      </c>
      <c r="B2" s="3137"/>
      <c r="C2" s="3137"/>
      <c r="D2" s="3137"/>
      <c r="E2" s="3137"/>
      <c r="F2" s="3137"/>
      <c r="G2" s="3137"/>
      <c r="H2" s="3137"/>
      <c r="I2" s="3138"/>
    </row>
    <row r="3" spans="1:12" ht="12.75">
      <c r="A3" s="3140" t="s">
        <v>2122</v>
      </c>
      <c r="B3" s="3141"/>
      <c r="C3" s="3141"/>
      <c r="D3" s="3141"/>
      <c r="E3" s="3141"/>
      <c r="F3" s="3141"/>
      <c r="G3" s="3141"/>
      <c r="H3" s="3141"/>
      <c r="I3" s="3141"/>
    </row>
    <row r="4" spans="1:12" ht="14.25">
      <c r="A4" s="2414" t="s">
        <v>2123</v>
      </c>
      <c r="B4" s="2415" t="s">
        <v>2124</v>
      </c>
      <c r="C4" s="2416" t="s">
        <v>3494</v>
      </c>
      <c r="D4" s="2416" t="s">
        <v>3495</v>
      </c>
      <c r="E4" s="3133" t="s">
        <v>2125</v>
      </c>
      <c r="F4" s="3134"/>
      <c r="G4" s="3134"/>
      <c r="H4" s="3134"/>
      <c r="I4" s="314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53">
        <v>25</v>
      </c>
      <c r="C5" s="3119"/>
      <c r="D5" s="3139"/>
      <c r="E5" s="133" t="s">
        <v>2127</v>
      </c>
      <c r="F5" s="2418"/>
      <c r="G5" s="2418"/>
      <c r="H5" s="2418"/>
      <c r="I5" s="1823"/>
    </row>
    <row r="6" spans="1:12" ht="12.75">
      <c r="A6" s="3116"/>
      <c r="B6" s="3053"/>
      <c r="C6" s="3120"/>
      <c r="D6" s="3139"/>
      <c r="E6" s="133" t="s">
        <v>2128</v>
      </c>
      <c r="F6" s="2418"/>
      <c r="G6" s="2418"/>
      <c r="H6" s="2418"/>
      <c r="I6" s="1823"/>
    </row>
    <row r="7" spans="1:12" ht="12.75">
      <c r="A7" s="3116"/>
      <c r="B7" s="3053"/>
      <c r="C7" s="3121"/>
      <c r="D7" s="3139"/>
      <c r="E7" s="133" t="s">
        <v>2129</v>
      </c>
      <c r="F7" s="2418"/>
      <c r="G7" s="2418"/>
      <c r="H7" s="2418"/>
      <c r="I7" s="1823"/>
    </row>
    <row r="8" spans="1:12" ht="12.75">
      <c r="A8" s="3116" t="s">
        <v>2130</v>
      </c>
      <c r="B8" s="3053">
        <v>15</v>
      </c>
      <c r="C8" s="3119"/>
      <c r="D8" s="3139"/>
      <c r="E8" s="133" t="s">
        <v>2131</v>
      </c>
      <c r="F8" s="2418"/>
      <c r="G8" s="2418"/>
      <c r="H8" s="2418"/>
      <c r="I8" s="1823"/>
    </row>
    <row r="9" spans="1:12" ht="12.75">
      <c r="A9" s="3116"/>
      <c r="B9" s="3053"/>
      <c r="C9" s="3121"/>
      <c r="D9" s="3139"/>
      <c r="E9" s="133" t="s">
        <v>2132</v>
      </c>
      <c r="F9" s="2418"/>
      <c r="G9" s="2418"/>
      <c r="H9" s="2418"/>
      <c r="I9" s="1823"/>
    </row>
    <row r="10" spans="1:12" ht="12.75">
      <c r="A10" s="3116" t="s">
        <v>2133</v>
      </c>
      <c r="B10" s="3053">
        <v>15</v>
      </c>
      <c r="C10" s="3119"/>
      <c r="D10" s="3139"/>
      <c r="E10" s="133" t="s">
        <v>2134</v>
      </c>
      <c r="F10" s="2418"/>
      <c r="G10" s="2418"/>
      <c r="H10" s="2418"/>
      <c r="I10" s="1823"/>
    </row>
    <row r="11" spans="1:12" ht="12.75">
      <c r="A11" s="3116"/>
      <c r="B11" s="3053"/>
      <c r="C11" s="3121"/>
      <c r="D11" s="3139"/>
      <c r="E11" s="133" t="s">
        <v>2135</v>
      </c>
      <c r="F11" s="2418"/>
      <c r="G11" s="2418"/>
      <c r="H11" s="2418"/>
      <c r="I11" s="1823"/>
    </row>
    <row r="12" spans="1:12" ht="12.75">
      <c r="A12" s="3116" t="s">
        <v>2136</v>
      </c>
      <c r="B12" s="3053">
        <v>15</v>
      </c>
      <c r="C12" s="3119"/>
      <c r="D12" s="3139"/>
      <c r="E12" s="133" t="s">
        <v>2137</v>
      </c>
      <c r="F12" s="2418"/>
      <c r="G12" s="2418"/>
      <c r="H12" s="2418"/>
      <c r="I12" s="1823"/>
    </row>
    <row r="13" spans="1:12" ht="12.75">
      <c r="A13" s="3116"/>
      <c r="B13" s="3053"/>
      <c r="C13" s="3121"/>
      <c r="D13" s="3139"/>
      <c r="E13" s="133" t="s">
        <v>2138</v>
      </c>
      <c r="F13" s="2418"/>
      <c r="G13" s="2418"/>
      <c r="H13" s="2418"/>
      <c r="I13" s="1823"/>
    </row>
    <row r="14" spans="1:12" ht="12.75">
      <c r="A14" s="3116" t="s">
        <v>2139</v>
      </c>
      <c r="B14" s="3053">
        <v>30</v>
      </c>
      <c r="C14" s="3119">
        <v>5</v>
      </c>
      <c r="D14" s="3139">
        <v>5</v>
      </c>
      <c r="E14" s="133" t="s">
        <v>2140</v>
      </c>
      <c r="F14" s="2418"/>
      <c r="G14" s="2418"/>
      <c r="H14" s="2418"/>
      <c r="I14" s="1823"/>
    </row>
    <row r="15" spans="1:12" ht="12.75">
      <c r="A15" s="3116"/>
      <c r="B15" s="3053"/>
      <c r="C15" s="3120"/>
      <c r="D15" s="3139"/>
      <c r="E15" s="133" t="s">
        <v>2141</v>
      </c>
      <c r="F15" s="2418"/>
      <c r="G15" s="2418"/>
      <c r="H15" s="2418"/>
      <c r="I15" s="1823"/>
    </row>
    <row r="16" spans="1:12" ht="12.75">
      <c r="A16" s="3116"/>
      <c r="B16" s="3053"/>
      <c r="C16" s="3121"/>
      <c r="D16" s="3139"/>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203763</v>
      </c>
      <c r="D19" s="137">
        <f ca="1">SUMIF(INDIRECT("'"&amp;D4&amp;"'"&amp;"!A:A"),结果表!B19,INDIRECT("'"&amp;D4&amp;"'"&amp;"!B:B"))</f>
        <v>179437</v>
      </c>
      <c r="E19" s="2423" t="s">
        <v>2150</v>
      </c>
      <c r="F19" s="2424" t="s">
        <v>2149</v>
      </c>
      <c r="G19" s="138">
        <f ca="1">ROUND(C19*$C$18+D19*$D$18,0)</f>
        <v>191600</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19703</v>
      </c>
      <c r="D20" s="140">
        <f ca="1">SUMIF(INDIRECT("'"&amp;D4&amp;"'"&amp;"!A:A"),结果表!B20,INDIRECT("'"&amp;D4&amp;"'"&amp;"!B:B"))</f>
        <v>17351</v>
      </c>
      <c r="E20" s="2426"/>
      <c r="F20" s="1240" t="s">
        <v>2153</v>
      </c>
      <c r="G20" s="141">
        <f ca="1">ROUND(C20*$C$18+D20*$D$18,0)</f>
        <v>18527</v>
      </c>
      <c r="H20" s="973" t="s">
        <v>2154</v>
      </c>
      <c r="I20" s="131"/>
    </row>
    <row r="21" spans="1:35" ht="15" customHeight="1" thickBot="1">
      <c r="A21" s="993"/>
      <c r="B21" s="2427" t="s">
        <v>2155</v>
      </c>
      <c r="C21" s="782">
        <f ca="1">ROUND(C19*10000/L19,0)</f>
        <v>52519</v>
      </c>
      <c r="D21" s="783">
        <f ca="1">ROUND(D19*10000/L19,0)</f>
        <v>46249</v>
      </c>
      <c r="E21" s="993"/>
      <c r="F21" s="2427" t="s">
        <v>2155</v>
      </c>
      <c r="G21" s="142">
        <f ca="1">ROUND(G19*10000/L19,0)</f>
        <v>49384</v>
      </c>
      <c r="H21" s="2428" t="s">
        <v>2154</v>
      </c>
      <c r="I21" s="131"/>
    </row>
    <row r="22" spans="1:35" ht="15" thickBot="1">
      <c r="A22" s="2271" t="s">
        <v>2156</v>
      </c>
      <c r="B22" s="2429"/>
      <c r="C22" s="2430"/>
      <c r="D22" s="784">
        <f ca="1">IF(C19&lt;D19,D19/C19-1,C19/D19-1)</f>
        <v>0.13556847250009763</v>
      </c>
      <c r="E22" s="131"/>
      <c r="F22" s="131"/>
      <c r="G22" s="131"/>
      <c r="H22" s="131"/>
      <c r="I22" s="131"/>
    </row>
    <row r="23" spans="1:35" ht="13.5" thickBot="1">
      <c r="A23" s="2407"/>
      <c r="B23" s="2407"/>
      <c r="C23" s="2407"/>
      <c r="D23" s="2407"/>
      <c r="E23" s="131"/>
      <c r="F23" s="131"/>
      <c r="G23" s="131"/>
      <c r="H23" s="131"/>
      <c r="I23" s="131"/>
    </row>
    <row r="24" spans="1:35" ht="14.25">
      <c r="A24" s="3110" t="s">
        <v>2157</v>
      </c>
      <c r="B24" s="2424" t="s">
        <v>2149</v>
      </c>
      <c r="C24" s="138">
        <f>IF(B30=0,0,D30)</f>
        <v>0</v>
      </c>
      <c r="D24" s="2431"/>
      <c r="E24" s="131"/>
      <c r="F24" s="131"/>
      <c r="G24" s="131"/>
      <c r="H24" s="131"/>
      <c r="I24" s="131"/>
    </row>
    <row r="25" spans="1:35" ht="14.25">
      <c r="A25" s="3111"/>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191600</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28" t="s">
        <v>2171</v>
      </c>
      <c r="B36" s="2450" t="s">
        <v>2172</v>
      </c>
      <c r="C36" s="147"/>
      <c r="D36" s="2451"/>
      <c r="E36" s="2452"/>
      <c r="F36" s="2453"/>
      <c r="G36" s="131"/>
      <c r="H36" s="131"/>
      <c r="I36" s="131"/>
    </row>
    <row r="37" spans="1:15" ht="15.75" thickBot="1">
      <c r="A37" s="3129"/>
      <c r="B37" s="2257" t="s">
        <v>2173</v>
      </c>
      <c r="C37" s="149"/>
      <c r="D37" s="1385"/>
      <c r="E37" s="1385"/>
      <c r="F37" s="2453"/>
      <c r="G37" s="131"/>
      <c r="H37" s="131"/>
      <c r="I37" s="131"/>
    </row>
    <row r="38" spans="1:15" ht="15.75" thickBot="1">
      <c r="A38" s="3130"/>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07" t="s">
        <v>2185</v>
      </c>
      <c r="B45" s="3108"/>
      <c r="C45" s="3109"/>
      <c r="D45" s="157">
        <f ca="1">ROUND(H101*F45,0)</f>
        <v>191600</v>
      </c>
      <c r="E45" s="158" t="s">
        <v>2186</v>
      </c>
      <c r="F45" s="159">
        <v>1</v>
      </c>
      <c r="G45" s="160" t="s">
        <v>2187</v>
      </c>
      <c r="H45" s="131"/>
      <c r="I45" s="131"/>
      <c r="J45" s="3167" t="s">
        <v>2188</v>
      </c>
      <c r="K45" s="3167"/>
      <c r="L45" s="3167"/>
      <c r="M45" s="3167"/>
      <c r="N45" s="3167"/>
      <c r="O45" s="3167"/>
    </row>
    <row r="46" spans="1:15" ht="14.25" customHeight="1">
      <c r="A46" s="3104" t="s">
        <v>2189</v>
      </c>
      <c r="B46" s="3105"/>
      <c r="C46" s="3105"/>
      <c r="D46" s="3105"/>
      <c r="E46" s="3105"/>
      <c r="F46" s="3105"/>
      <c r="G46" s="3106"/>
      <c r="H46" s="2469"/>
      <c r="I46" s="161"/>
      <c r="J46" s="1801">
        <v>1</v>
      </c>
      <c r="K46" s="3167" t="s">
        <v>2190</v>
      </c>
      <c r="L46" s="3167"/>
      <c r="M46" s="3187"/>
      <c r="N46" s="3187"/>
      <c r="O46" s="3187"/>
    </row>
    <row r="47" spans="1:15" ht="12" customHeight="1">
      <c r="A47" s="162" t="s">
        <v>2191</v>
      </c>
      <c r="B47" s="163"/>
      <c r="C47" s="164"/>
      <c r="D47" s="165" t="s">
        <v>2192</v>
      </c>
      <c r="E47" s="24" t="s">
        <v>2193</v>
      </c>
      <c r="F47" s="166" t="s">
        <v>2194</v>
      </c>
      <c r="G47" s="167" t="s">
        <v>2195</v>
      </c>
      <c r="H47" s="2469"/>
      <c r="I47" s="161"/>
      <c r="J47" s="1801">
        <v>2</v>
      </c>
      <c r="K47" s="3167" t="s">
        <v>2196</v>
      </c>
      <c r="L47" s="3167"/>
      <c r="M47" s="3188">
        <f>'数据-取费表'!B2</f>
        <v>43168</v>
      </c>
      <c r="N47" s="3188"/>
      <c r="O47" s="3188"/>
    </row>
    <row r="48" spans="1:15" ht="25.5">
      <c r="A48" s="3135" t="s">
        <v>2197</v>
      </c>
      <c r="B48" s="3118"/>
      <c r="C48" s="3118"/>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67" t="s">
        <v>2200</v>
      </c>
      <c r="L48" s="3167"/>
      <c r="M48" s="3189">
        <f ca="1">H101</f>
        <v>191600</v>
      </c>
      <c r="N48" s="3189"/>
      <c r="O48" s="3189"/>
    </row>
    <row r="49" spans="1:35" ht="25.5" customHeight="1">
      <c r="A49" s="169" t="s">
        <v>2201</v>
      </c>
      <c r="B49" s="3103" t="s">
        <v>2202</v>
      </c>
      <c r="C49" s="3103"/>
      <c r="D49" s="170">
        <v>0</v>
      </c>
      <c r="E49" s="23" t="s">
        <v>2203</v>
      </c>
      <c r="F49" s="28" t="s">
        <v>34</v>
      </c>
      <c r="G49" s="3173"/>
      <c r="H49" s="131"/>
      <c r="I49" s="2472"/>
      <c r="J49" s="1801">
        <v>4</v>
      </c>
      <c r="K49" s="3167" t="str">
        <f>IF(项目基本情况!E8="房地产抵押价值","房地产抵押价值","抵押担保权已注销时的房地产抵押价值")</f>
        <v>抵押担保权已注销时的房地产抵押价值</v>
      </c>
      <c r="L49" s="3167"/>
      <c r="M49" s="3189" t="str">
        <f>IF(项目基本情况!E8="房地产抵押价值",H107,H109)</f>
        <v>——</v>
      </c>
      <c r="N49" s="3189"/>
      <c r="O49" s="3189"/>
    </row>
    <row r="50" spans="1:35" ht="25.5" customHeight="1">
      <c r="A50" s="171"/>
      <c r="B50" s="3103" t="s">
        <v>2204</v>
      </c>
      <c r="C50" s="3103"/>
      <c r="D50" s="172"/>
      <c r="E50" s="31"/>
      <c r="F50" s="173"/>
      <c r="G50" s="3174"/>
      <c r="H50" s="131"/>
      <c r="I50" s="2472"/>
      <c r="J50" s="3167" t="s">
        <v>2205</v>
      </c>
      <c r="K50" s="3167"/>
      <c r="L50" s="3167"/>
      <c r="M50" s="3167"/>
      <c r="N50" s="3167"/>
      <c r="O50" s="3167"/>
    </row>
    <row r="51" spans="1:35" ht="12" customHeight="1">
      <c r="A51" s="174"/>
      <c r="B51" s="3103" t="s">
        <v>2206</v>
      </c>
      <c r="C51" s="3103"/>
      <c r="D51" s="175"/>
      <c r="E51" s="30"/>
      <c r="F51" s="173"/>
      <c r="G51" s="3175"/>
      <c r="H51" s="131"/>
      <c r="I51" s="2472"/>
      <c r="J51" s="2473" t="s">
        <v>2207</v>
      </c>
      <c r="K51" s="3167" t="s">
        <v>2208</v>
      </c>
      <c r="L51" s="3167"/>
      <c r="M51" s="2473" t="s">
        <v>2209</v>
      </c>
      <c r="N51" s="2473" t="s">
        <v>2210</v>
      </c>
      <c r="O51" s="2473" t="s">
        <v>2211</v>
      </c>
    </row>
    <row r="52" spans="1:35" ht="24" customHeight="1">
      <c r="A52" s="176" t="s">
        <v>2212</v>
      </c>
      <c r="B52" s="3103" t="s">
        <v>2213</v>
      </c>
      <c r="C52" s="3103"/>
      <c r="D52" s="175">
        <f ca="1">ROUND(D45*'数据-取费表'!B41/(1+'数据-取费表'!C42),0)</f>
        <v>10036</v>
      </c>
      <c r="E52" s="11" t="s">
        <v>2214</v>
      </c>
      <c r="F52" s="177">
        <f>'数据-取费表'!B41</f>
        <v>5.5000000000000007E-2</v>
      </c>
      <c r="G52" s="2474"/>
      <c r="H52" s="131"/>
      <c r="I52" s="2472"/>
      <c r="J52" s="1801">
        <v>1</v>
      </c>
      <c r="K52" s="3168" t="s">
        <v>2215</v>
      </c>
      <c r="L52" s="3168"/>
      <c r="M52" s="1743">
        <f>D48</f>
        <v>0</v>
      </c>
      <c r="N52" s="1801" t="str">
        <f>E48</f>
        <v>销售额×税（费）率</v>
      </c>
      <c r="O52" s="1744" t="str">
        <f>F48</f>
        <v>免征</v>
      </c>
    </row>
    <row r="53" spans="1:35" ht="12" customHeight="1">
      <c r="A53" s="176" t="s">
        <v>2216</v>
      </c>
      <c r="B53" s="3126" t="s">
        <v>2217</v>
      </c>
      <c r="C53" s="3127"/>
      <c r="D53" s="175">
        <f ca="1">ROUND(D45*'数据-取费表'!B41/(1+'数据-取费表'!C42),0)</f>
        <v>10036</v>
      </c>
      <c r="E53" s="11" t="s">
        <v>2214</v>
      </c>
      <c r="F53" s="177">
        <f>'数据-取费表'!B41</f>
        <v>5.5000000000000007E-2</v>
      </c>
      <c r="G53" s="2474"/>
      <c r="H53" s="131"/>
      <c r="I53" s="2472"/>
      <c r="J53" s="1801">
        <v>2</v>
      </c>
      <c r="K53" s="3168" t="s">
        <v>2218</v>
      </c>
      <c r="L53" s="3168"/>
      <c r="M53" s="1743">
        <f t="shared" ref="M53:O54" ca="1" si="0">D55</f>
        <v>96</v>
      </c>
      <c r="N53" s="1801" t="str">
        <f t="shared" si="0"/>
        <v>销售额×税（费）率</v>
      </c>
      <c r="O53" s="1744">
        <f t="shared" si="0"/>
        <v>5.0000000000000001E-4</v>
      </c>
    </row>
    <row r="54" spans="1:35" ht="12" customHeight="1">
      <c r="A54" s="176" t="s">
        <v>2219</v>
      </c>
      <c r="B54" s="3126" t="s">
        <v>2220</v>
      </c>
      <c r="C54" s="3127"/>
      <c r="D54" s="175">
        <f ca="1">C68</f>
        <v>10036</v>
      </c>
      <c r="E54" s="30" t="s">
        <v>2221</v>
      </c>
      <c r="F54" s="177">
        <f>'数据-取费表'!B41</f>
        <v>5.5000000000000007E-2</v>
      </c>
      <c r="G54" s="2474"/>
      <c r="H54" s="2475"/>
      <c r="I54" s="2472"/>
      <c r="J54" s="1801">
        <v>3</v>
      </c>
      <c r="K54" s="3168" t="s">
        <v>2222</v>
      </c>
      <c r="L54" s="3168"/>
      <c r="M54" s="1743">
        <f t="shared" ca="1" si="0"/>
        <v>108619</v>
      </c>
      <c r="N54" s="1801" t="str">
        <f t="shared" si="0"/>
        <v>增值额×税（费）率</v>
      </c>
      <c r="O54" s="1745" t="str">
        <f t="shared" si="0"/>
        <v>——</v>
      </c>
    </row>
    <row r="55" spans="1:35" ht="24" customHeight="1">
      <c r="A55" s="3117" t="s">
        <v>2223</v>
      </c>
      <c r="B55" s="3118"/>
      <c r="C55" s="3118"/>
      <c r="D55" s="178">
        <f ca="1">IF(H55="个人住宅",0,ROUND(D45*I55,0))</f>
        <v>96</v>
      </c>
      <c r="E55" s="11" t="s">
        <v>2224</v>
      </c>
      <c r="F55" s="177">
        <f>IF(H55="正常",I55,"免征")</f>
        <v>5.0000000000000001E-4</v>
      </c>
      <c r="G55" s="2474"/>
      <c r="H55" s="2471" t="s">
        <v>2225</v>
      </c>
      <c r="I55" s="179">
        <f>'数据-取费表'!B49</f>
        <v>5.0000000000000001E-4</v>
      </c>
      <c r="J55" s="1801" t="str">
        <f>IF(H59="非个人房产","",4)</f>
        <v/>
      </c>
      <c r="K55" s="3168" t="str">
        <f>IF(H59="非个人房产","——","个人所得税")</f>
        <v>——</v>
      </c>
      <c r="L55" s="3168"/>
      <c r="M55" s="1746" t="str">
        <f>D59</f>
        <v>——</v>
      </c>
      <c r="N55" s="1799" t="str">
        <f>E59</f>
        <v>——</v>
      </c>
      <c r="O55" s="1747" t="str">
        <f>F59</f>
        <v>——</v>
      </c>
    </row>
    <row r="56" spans="1:35" ht="24.75">
      <c r="A56" s="3117" t="s">
        <v>2226</v>
      </c>
      <c r="B56" s="3118"/>
      <c r="C56" s="3118"/>
      <c r="D56" s="178">
        <f ca="1">IF(H56="个人住宅",D57,D58)</f>
        <v>108619</v>
      </c>
      <c r="E56" s="11" t="s">
        <v>2227</v>
      </c>
      <c r="F56" s="177" t="str">
        <f>IF(H56="正常",F58,"免征")</f>
        <v>——</v>
      </c>
      <c r="G56" s="2476" t="s">
        <v>2228</v>
      </c>
      <c r="H56" s="2477" t="s">
        <v>2225</v>
      </c>
      <c r="I56" s="2478"/>
      <c r="J56" s="1801" t="str">
        <f>IF(项目基本情况!K6="上海银行",IF(J55="",4,J55+1),"")</f>
        <v/>
      </c>
      <c r="K56" s="3191" t="str">
        <f>IF(项目基本情况!K6="上海银行","其他处置费用","")</f>
        <v/>
      </c>
      <c r="L56" s="3192"/>
      <c r="M56" s="1743" t="str">
        <f>IF(项目基本情况!K6="上海银行",M69,"")</f>
        <v/>
      </c>
      <c r="N56" s="3194" t="str">
        <f>IF(项目基本情况!K6="上海银行","包含处置中涉及的律师、诉讼、拍卖、评估等费用","")</f>
        <v/>
      </c>
      <c r="O56" s="3195"/>
    </row>
    <row r="57" spans="1:35" ht="12.75">
      <c r="A57" s="176" t="s">
        <v>2201</v>
      </c>
      <c r="B57" s="3133" t="s">
        <v>2229</v>
      </c>
      <c r="C57" s="3142"/>
      <c r="D57" s="180">
        <v>0</v>
      </c>
      <c r="E57" s="23" t="s">
        <v>2203</v>
      </c>
      <c r="F57" s="148"/>
      <c r="G57" s="2474"/>
      <c r="H57" s="2478"/>
      <c r="I57" s="2478"/>
      <c r="J57" s="3168">
        <f>IF(AND(J55="",J56=""),4,IF(项目基本情况!K6="上海银行",结果表!J56+1,结果表!J55+1))</f>
        <v>4</v>
      </c>
      <c r="K57" s="3168" t="s">
        <v>2230</v>
      </c>
      <c r="L57" s="2479" t="s">
        <v>2231</v>
      </c>
      <c r="M57" s="1748"/>
      <c r="N57" s="1749">
        <f ca="1">SUMIF(M52:M56,"&lt;9e307")</f>
        <v>108715</v>
      </c>
      <c r="O57" s="2480"/>
      <c r="P57" s="1742" t="e">
        <f ca="1">N57/M49</f>
        <v>#VALUE!</v>
      </c>
    </row>
    <row r="58" spans="1:35" ht="24.75">
      <c r="A58" s="176" t="s">
        <v>2212</v>
      </c>
      <c r="B58" s="3133" t="s">
        <v>2232</v>
      </c>
      <c r="C58" s="3134"/>
      <c r="D58" s="178">
        <f ca="1">IF(H58="转让取得",C81,C97)</f>
        <v>108619</v>
      </c>
      <c r="E58" s="11" t="s">
        <v>2227</v>
      </c>
      <c r="F58" s="24" t="s">
        <v>34</v>
      </c>
      <c r="G58" s="2474"/>
      <c r="H58" s="2477" t="s">
        <v>2233</v>
      </c>
      <c r="I58" s="2478"/>
      <c r="J58" s="3168"/>
      <c r="K58" s="3168"/>
      <c r="L58" s="2479" t="s">
        <v>2234</v>
      </c>
      <c r="M58" s="1750"/>
      <c r="N58" s="2481" t="str">
        <f ca="1">NUMBERSTRING(INT(N57*10000),2)&amp;"元整"</f>
        <v>壹拾亿捌仟柒佰壹拾伍万元整</v>
      </c>
      <c r="O58" s="2482"/>
    </row>
    <row r="59" spans="1:35" ht="24.75" thickBot="1">
      <c r="A59" s="3171" t="s">
        <v>2235</v>
      </c>
      <c r="B59" s="3172"/>
      <c r="C59" s="3172"/>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69">
        <f>J57+1</f>
        <v>5</v>
      </c>
      <c r="K59" s="3168" t="s">
        <v>2237</v>
      </c>
      <c r="L59" s="1801" t="s">
        <v>2231</v>
      </c>
      <c r="M59" s="1751"/>
      <c r="N59" s="1752" t="e">
        <f ca="1">M49-N57</f>
        <v>#VALUE!</v>
      </c>
      <c r="O59" s="2484"/>
    </row>
    <row r="60" spans="1:35" ht="12" customHeight="1">
      <c r="A60" s="2485"/>
      <c r="B60" s="2407"/>
      <c r="C60" s="2407"/>
      <c r="D60" s="2407"/>
      <c r="E60" s="2158"/>
      <c r="F60" s="2478"/>
      <c r="G60" s="2478"/>
      <c r="H60" s="2486"/>
      <c r="I60" s="131"/>
      <c r="J60" s="3170"/>
      <c r="K60" s="3168"/>
      <c r="L60" s="2479" t="s">
        <v>2234</v>
      </c>
      <c r="M60" s="1750"/>
      <c r="N60" s="2481" t="e">
        <f ca="1">NUMBERSTRING(INT(N59*10000),2)&amp;"元整"</f>
        <v>#VALUE!</v>
      </c>
      <c r="O60" s="2482"/>
    </row>
    <row r="61" spans="1:35" ht="13.5" thickBot="1">
      <c r="A61" s="3115" t="s">
        <v>2238</v>
      </c>
      <c r="B61" s="3115"/>
      <c r="C61" s="3115"/>
      <c r="D61" s="3115"/>
      <c r="E61" s="3115"/>
      <c r="F61" s="2478"/>
      <c r="G61" s="2478"/>
      <c r="H61" s="2486"/>
      <c r="I61" s="131"/>
      <c r="J61" s="1801">
        <f>J59+1</f>
        <v>6</v>
      </c>
      <c r="K61" s="3168" t="s">
        <v>2239</v>
      </c>
      <c r="L61" s="3168"/>
      <c r="M61" s="1753"/>
      <c r="N61" s="1754" t="e">
        <f ca="1">ROUND(N59*10000/'数据-汇总表'!E3,0)</f>
        <v>#VALUE!</v>
      </c>
      <c r="O61" s="2487"/>
    </row>
    <row r="62" spans="1:35" ht="12.75">
      <c r="A62" s="3131" t="s">
        <v>2240</v>
      </c>
      <c r="B62" s="3132"/>
      <c r="C62" s="1793"/>
      <c r="D62" s="1793" t="s">
        <v>2241</v>
      </c>
      <c r="E62" s="185" t="s">
        <v>2242</v>
      </c>
      <c r="F62" s="2478"/>
      <c r="G62" s="2478"/>
      <c r="H62" s="2486"/>
      <c r="I62" s="131"/>
    </row>
    <row r="63" spans="1:35" ht="12.75">
      <c r="A63" s="196" t="s">
        <v>775</v>
      </c>
      <c r="B63" s="186" t="s">
        <v>2243</v>
      </c>
      <c r="C63" s="187">
        <f ca="1">ROUND((C64+C65)/(1+'数据-取费表'!C42),0)</f>
        <v>182476</v>
      </c>
      <c r="D63" s="188"/>
      <c r="E63" s="189"/>
      <c r="F63" s="2478"/>
      <c r="G63" s="2478"/>
      <c r="H63" s="2486"/>
      <c r="I63" s="131"/>
      <c r="J63" s="319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191600</v>
      </c>
      <c r="D64" s="193" t="s">
        <v>32</v>
      </c>
      <c r="E64" s="194"/>
      <c r="F64" s="2478"/>
      <c r="G64" s="2478"/>
      <c r="H64" s="2486"/>
      <c r="I64" s="131"/>
      <c r="J64" s="319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9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93"/>
      <c r="K66" s="2488" t="s">
        <v>2252</v>
      </c>
      <c r="L66" s="1741" t="e">
        <f>M49*0.5%</f>
        <v>#VALUE!</v>
      </c>
      <c r="M66" s="24" t="e">
        <f>IF(L66&gt;0.5,0.5,ROUND(L66,0))</f>
        <v>#VALUE!</v>
      </c>
      <c r="N66" s="131" t="s">
        <v>2253</v>
      </c>
      <c r="Z66" s="2412"/>
      <c r="AI66" s="2413"/>
    </row>
    <row r="67" spans="1:35" ht="14.25" customHeight="1">
      <c r="A67" s="196" t="s">
        <v>773</v>
      </c>
      <c r="B67" s="197" t="s">
        <v>2254</v>
      </c>
      <c r="C67" s="200">
        <f ca="1">C63-C66</f>
        <v>182476</v>
      </c>
      <c r="D67" s="193" t="s">
        <v>32</v>
      </c>
      <c r="E67" s="194"/>
      <c r="F67" s="2478"/>
      <c r="G67" s="2478"/>
      <c r="H67" s="2486"/>
      <c r="I67" s="131"/>
      <c r="J67" s="319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10036</v>
      </c>
      <c r="D68" s="204">
        <f>'数据-取费表'!B41</f>
        <v>5.5000000000000007E-2</v>
      </c>
      <c r="E68" s="205"/>
      <c r="F68" s="2478"/>
      <c r="G68" s="2478"/>
      <c r="H68" s="2486"/>
      <c r="I68" s="131"/>
      <c r="J68" s="319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9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2" t="s">
        <v>2259</v>
      </c>
      <c r="B70" s="3153"/>
      <c r="C70" s="3153"/>
      <c r="D70" s="3153"/>
      <c r="E70" s="3153"/>
      <c r="F70" s="3153"/>
      <c r="G70" s="3153"/>
      <c r="H70" s="315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31" t="s">
        <v>2240</v>
      </c>
      <c r="B71" s="3132"/>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182476</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912</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26" t="s">
        <v>2268</v>
      </c>
      <c r="F76" s="3103"/>
      <c r="G76" s="3103"/>
      <c r="H76" s="315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912</v>
      </c>
      <c r="D78" s="219">
        <f>'数据-取费表'!B43</f>
        <v>5.000000000000001E-3</v>
      </c>
      <c r="E78" s="3112" t="s">
        <v>2273</v>
      </c>
      <c r="F78" s="3113"/>
      <c r="G78" s="3113"/>
      <c r="H78" s="312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181564</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199.08333333333334</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108619</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2" t="s">
        <v>2277</v>
      </c>
      <c r="B83" s="3153"/>
      <c r="C83" s="3153"/>
      <c r="D83" s="3153"/>
      <c r="E83" s="3153"/>
      <c r="F83" s="3153"/>
      <c r="G83" s="3153"/>
      <c r="H83" s="315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31" t="s">
        <v>2240</v>
      </c>
      <c r="B84" s="3132"/>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182476</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912</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12" t="s">
        <v>2286</v>
      </c>
      <c r="F91" s="3113"/>
      <c r="G91" s="3113"/>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12" t="s">
        <v>2290</v>
      </c>
      <c r="F92" s="3113"/>
      <c r="G92" s="3113"/>
      <c r="H92" s="312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912</v>
      </c>
      <c r="D93" s="219">
        <f>'数据-取费表'!B43</f>
        <v>5.000000000000001E-3</v>
      </c>
      <c r="E93" s="3112" t="s">
        <v>2273</v>
      </c>
      <c r="F93" s="3113"/>
      <c r="G93" s="3113"/>
      <c r="H93" s="312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23" t="s">
        <v>2294</v>
      </c>
      <c r="F94" s="3124"/>
      <c r="G94" s="3124"/>
      <c r="H94" s="312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181564</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199.08333333333334</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108619</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14"/>
      <c r="E100" s="3098" t="s">
        <v>2297</v>
      </c>
      <c r="F100" s="3098"/>
      <c r="G100" s="3098"/>
      <c r="H100" s="3114"/>
      <c r="I100" s="131"/>
    </row>
    <row r="101" spans="1:35" ht="18.75" customHeight="1">
      <c r="A101" s="3176" t="s">
        <v>2298</v>
      </c>
      <c r="B101" s="3177"/>
      <c r="C101" s="729" t="str">
        <f>C4</f>
        <v>成本法</v>
      </c>
      <c r="D101" s="730" t="str">
        <f>D4</f>
        <v>假设开发法</v>
      </c>
      <c r="E101" s="3190" t="s">
        <v>2299</v>
      </c>
      <c r="F101" s="3144"/>
      <c r="G101" s="2509" t="s">
        <v>2300</v>
      </c>
      <c r="H101" s="1038">
        <f ca="1">H118</f>
        <v>191600</v>
      </c>
      <c r="I101" s="131"/>
    </row>
    <row r="102" spans="1:35" ht="18.75" customHeight="1">
      <c r="A102" s="3146" t="s">
        <v>2301</v>
      </c>
      <c r="B102" s="2509" t="s">
        <v>2300</v>
      </c>
      <c r="C102" s="729">
        <f ca="1">C19</f>
        <v>203763</v>
      </c>
      <c r="D102" s="730">
        <f ca="1">D19</f>
        <v>179437</v>
      </c>
      <c r="E102" s="3190"/>
      <c r="F102" s="3144"/>
      <c r="G102" s="2509" t="s">
        <v>2302</v>
      </c>
      <c r="H102" s="364">
        <f ca="1">I118</f>
        <v>18527</v>
      </c>
      <c r="I102" s="131"/>
    </row>
    <row r="103" spans="1:35" ht="42.75" customHeight="1">
      <c r="A103" s="3146"/>
      <c r="B103" s="2509" t="s">
        <v>2302</v>
      </c>
      <c r="C103" s="731">
        <f ca="1">C20</f>
        <v>19703</v>
      </c>
      <c r="D103" s="732">
        <f ca="1">D20</f>
        <v>17351</v>
      </c>
      <c r="E103" s="3185" t="s">
        <v>2303</v>
      </c>
      <c r="F103" s="3186"/>
      <c r="G103" s="2510" t="s">
        <v>2304</v>
      </c>
      <c r="H103" s="1038">
        <f>IF(D36="正常操作",H104+H105+H106,H105+H106)</f>
        <v>0</v>
      </c>
      <c r="I103" s="131"/>
    </row>
    <row r="104" spans="1:35" ht="18.75" customHeight="1">
      <c r="A104" s="3146" t="s">
        <v>2305</v>
      </c>
      <c r="B104" s="2511" t="s">
        <v>2300</v>
      </c>
      <c r="C104" s="733">
        <f ca="1">H118</f>
        <v>191600</v>
      </c>
      <c r="D104" s="734"/>
      <c r="E104" s="2257" t="s">
        <v>2306</v>
      </c>
      <c r="F104" s="2249"/>
      <c r="G104" s="2510" t="s">
        <v>2304</v>
      </c>
      <c r="H104" s="1039">
        <f>IF(D36="同一抵押权人同一抵押物续贷",C36&amp;"（未扣减，详见特别提示）",C36)</f>
        <v>0</v>
      </c>
      <c r="I104" s="131"/>
    </row>
    <row r="105" spans="1:35" ht="18.75" customHeight="1" thickBot="1">
      <c r="A105" s="3147"/>
      <c r="B105" s="2512" t="s">
        <v>2302</v>
      </c>
      <c r="C105" s="735">
        <f ca="1">I118</f>
        <v>18527</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3" t="str">
        <f>IF(项目基本情况!E8="已注销","——","3.房地产抵押价值")</f>
        <v>3.房地产抵押价值</v>
      </c>
      <c r="F107" s="3144"/>
      <c r="G107" s="2509" t="s">
        <v>2300</v>
      </c>
      <c r="H107" s="1038">
        <f ca="1">IF(E107="——","——",H101-H103)</f>
        <v>191600</v>
      </c>
      <c r="I107" s="131"/>
    </row>
    <row r="108" spans="1:35" ht="18.75" customHeight="1">
      <c r="A108" s="131"/>
      <c r="B108" s="131"/>
      <c r="C108" s="131"/>
      <c r="D108" s="131"/>
      <c r="E108" s="3143"/>
      <c r="F108" s="3144"/>
      <c r="G108" s="2509" t="s">
        <v>2302</v>
      </c>
      <c r="H108" s="364">
        <f ca="1">ROUND(H107*10000/'数据-汇总表'!E3,0)</f>
        <v>18527</v>
      </c>
      <c r="I108" s="131"/>
    </row>
    <row r="109" spans="1:35" ht="18.75" customHeight="1">
      <c r="A109" s="131"/>
      <c r="B109" s="131"/>
      <c r="C109" s="131"/>
      <c r="D109" s="131"/>
      <c r="E109" s="3143" t="str">
        <f>IF(项目基本情况!E8="已注销及未注销","4.抵押担保权已注销时的房地产抵押价值",IF(项目基本情况!E8="已注销","3.抵押担保权已注销时的房地产抵押价值","——"))</f>
        <v>——</v>
      </c>
      <c r="F109" s="3144"/>
      <c r="G109" s="2509" t="s">
        <v>2300</v>
      </c>
      <c r="H109" s="341" t="str">
        <f>IF(E109="——","——",H101-H105-H106)</f>
        <v>——</v>
      </c>
      <c r="I109" s="131"/>
    </row>
    <row r="110" spans="1:35" ht="18.75" customHeight="1">
      <c r="A110" s="131"/>
      <c r="B110" s="131"/>
      <c r="C110" s="131"/>
      <c r="D110" s="131"/>
      <c r="E110" s="3143"/>
      <c r="F110" s="3144"/>
      <c r="G110" s="2509" t="s">
        <v>2302</v>
      </c>
      <c r="H110" s="364" t="str">
        <f>IF(H109="——","——",ROUND(H109*10000/'数据-汇总表'!E3,0))</f>
        <v>——</v>
      </c>
      <c r="I110" s="131"/>
    </row>
    <row r="111" spans="1:35" ht="18.75" customHeight="1">
      <c r="A111" s="131"/>
      <c r="B111" s="131"/>
      <c r="C111" s="131"/>
      <c r="D111" s="131"/>
      <c r="E111" s="3178" t="str">
        <f>IF(项目基本情况!E9="抵押净值",IF(OR(项目基本情况!E8="已注销",项目基本情况!E8="房地产抵押价值"),"4.抵押净值","5.抵押净值"),"——")</f>
        <v>——</v>
      </c>
      <c r="F111" s="3179"/>
      <c r="G111" s="2509" t="s">
        <v>2300</v>
      </c>
      <c r="H111" s="1038" t="str">
        <f>IF(E111="——","——",N59)</f>
        <v>——</v>
      </c>
      <c r="I111" s="131"/>
    </row>
    <row r="112" spans="1:35" ht="18.75" customHeight="1" thickBot="1">
      <c r="A112" s="131"/>
      <c r="B112" s="131"/>
      <c r="C112" s="131"/>
      <c r="D112" s="131"/>
      <c r="E112" s="3180"/>
      <c r="F112" s="3181"/>
      <c r="G112" s="2514" t="s">
        <v>2302</v>
      </c>
      <c r="H112" s="783" t="str">
        <f>IF(E111="——","——",N61)</f>
        <v>——</v>
      </c>
      <c r="I112" s="131"/>
    </row>
    <row r="113" spans="1:11" ht="18.75" customHeight="1">
      <c r="A113" s="131"/>
      <c r="B113" s="131"/>
      <c r="C113" s="131"/>
      <c r="D113" s="131"/>
      <c r="E113" s="3148" t="s">
        <v>2308</v>
      </c>
      <c r="F113" s="3148"/>
      <c r="G113" s="3148"/>
      <c r="H113" s="3148"/>
      <c r="I113" s="131"/>
    </row>
    <row r="114" spans="1:11" ht="3.75" customHeight="1">
      <c r="A114" s="2407"/>
      <c r="B114" s="2407"/>
      <c r="C114" s="2407"/>
      <c r="D114" s="2407"/>
      <c r="E114" s="2485"/>
      <c r="F114" s="2485"/>
      <c r="G114" s="2485"/>
      <c r="H114" s="2485"/>
      <c r="I114" s="2407"/>
    </row>
    <row r="115" spans="1:11" ht="18.75" customHeight="1">
      <c r="A115" s="3161" t="s">
        <v>2310</v>
      </c>
      <c r="B115" s="3162"/>
      <c r="C115" s="3162"/>
      <c r="D115" s="3162"/>
      <c r="E115" s="3162"/>
      <c r="F115" s="3162"/>
      <c r="G115" s="3162"/>
      <c r="H115" s="3162"/>
      <c r="I115" s="3163"/>
    </row>
    <row r="116" spans="1:11" ht="27" customHeight="1">
      <c r="A116" s="3053" t="s">
        <v>2311</v>
      </c>
      <c r="B116" s="3149" t="s">
        <v>2312</v>
      </c>
      <c r="C116" s="3149" t="s">
        <v>2313</v>
      </c>
      <c r="D116" s="3165" t="s">
        <v>2314</v>
      </c>
      <c r="E116" s="3166"/>
      <c r="F116" s="3157" t="s">
        <v>2315</v>
      </c>
      <c r="G116" s="3157"/>
      <c r="H116" s="3053" t="s">
        <v>2316</v>
      </c>
      <c r="I116" s="3053"/>
    </row>
    <row r="117" spans="1:11" ht="18.75" customHeight="1">
      <c r="A117" s="3053"/>
      <c r="B117" s="3150"/>
      <c r="C117" s="315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191600</v>
      </c>
      <c r="I118" s="1787">
        <f ca="1">ROUND(IF(D32="楼面单价",C32,H118*10000/B118),0)</f>
        <v>18527</v>
      </c>
    </row>
    <row r="119" spans="1:11" ht="18.75" customHeight="1">
      <c r="A119" s="3053" t="s">
        <v>2320</v>
      </c>
      <c r="B119" s="3053"/>
      <c r="C119" s="3053"/>
      <c r="D119" s="3154" t="e">
        <f ca="1">NUMBERSTRING(INT(D118*10000),2)&amp;"元整"</f>
        <v>#REF!</v>
      </c>
      <c r="E119" s="3156"/>
      <c r="F119" s="3154" t="e">
        <f ca="1">NUMBERSTRING(INT(F118*10000),2)&amp;"元整"</f>
        <v>#REF!</v>
      </c>
      <c r="G119" s="3156"/>
      <c r="H119" s="3154" t="str">
        <f ca="1">NUMBERSTRING(INT(H118*10000),2)&amp;"元整"</f>
        <v>壹拾玖亿壹仟陆佰万元整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2" t="str">
        <f>IF(D120=0,"故，本次评估不存在"&amp;A120,"故，本次评估"&amp;A120&amp;"为人民币"&amp;D120&amp;"万元整。")</f>
        <v>故，本次评估不存在估价师知悉的法定优先受偿款</v>
      </c>
    </row>
    <row r="121" spans="1:11" ht="18.75" customHeight="1">
      <c r="A121" s="3158" t="s">
        <v>2320</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191600</v>
      </c>
      <c r="E122" s="3183"/>
      <c r="F122" s="3183"/>
      <c r="G122" s="3183"/>
      <c r="H122" s="3183"/>
      <c r="I122" s="3184"/>
    </row>
    <row r="123" spans="1:11" ht="18.75" customHeight="1">
      <c r="A123" s="3053" t="s">
        <v>2320</v>
      </c>
      <c r="B123" s="3053"/>
      <c r="C123" s="3053"/>
      <c r="D123" s="3154" t="str">
        <f ca="1">NUMBERSTRING(INT(D122*10000),2)&amp;"元整"</f>
        <v>壹拾玖亿壹仟陆佰万元整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3" t="s">
        <v>2320</v>
      </c>
      <c r="B125" s="3053"/>
      <c r="C125" s="3053"/>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3" t="s">
        <v>2320</v>
      </c>
      <c r="B127" s="3053"/>
      <c r="C127" s="3053"/>
      <c r="D127" s="3154" t="e">
        <f>NUMBERSTRING(INT(D126*10000),2)&amp;"元整"</f>
        <v>#VALUE!</v>
      </c>
      <c r="E127" s="3155"/>
      <c r="F127" s="3155"/>
      <c r="G127" s="3155"/>
      <c r="H127" s="3155"/>
      <c r="I127" s="3156"/>
    </row>
    <row r="128" spans="1:11" ht="21.75" customHeight="1">
      <c r="A128" s="3164" t="s">
        <v>2321</v>
      </c>
      <c r="B128" s="3164"/>
      <c r="C128" s="3164"/>
      <c r="D128" s="3164"/>
      <c r="E128" s="3164"/>
      <c r="F128" s="3164"/>
      <c r="G128" s="3164"/>
      <c r="H128" s="3164"/>
      <c r="I128" s="316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203763</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19703</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119022</v>
      </c>
      <c r="D5" s="248" t="s">
        <v>2337</v>
      </c>
      <c r="E5" s="249" t="s">
        <v>2338</v>
      </c>
      <c r="F5" s="249" t="s">
        <v>2339</v>
      </c>
      <c r="G5" s="250"/>
    </row>
    <row r="6" spans="1:9" s="251" customFormat="1" ht="13.5" customHeight="1">
      <c r="A6" s="942" t="s">
        <v>2340</v>
      </c>
      <c r="B6" s="252" t="s">
        <v>2341</v>
      </c>
      <c r="C6" s="253">
        <f>'土地比较法-住宅、综合'!B2</f>
        <v>113492</v>
      </c>
      <c r="D6" s="254"/>
      <c r="E6" s="255"/>
      <c r="F6" s="255"/>
      <c r="G6" s="256"/>
    </row>
    <row r="7" spans="1:9" s="251" customFormat="1" ht="13.5" customHeight="1">
      <c r="A7" s="942" t="s">
        <v>2342</v>
      </c>
      <c r="B7" s="252" t="s">
        <v>2343</v>
      </c>
      <c r="C7" s="257">
        <f>ROUND(C6*F7,0)</f>
        <v>3462</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003" t="s">
        <v>3623</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3493</v>
      </c>
    </row>
    <row r="20" spans="1:7" s="251" customFormat="1" ht="13.5" customHeight="1">
      <c r="A20" s="292" t="s">
        <v>2361</v>
      </c>
      <c r="B20" s="247" t="s">
        <v>2362</v>
      </c>
      <c r="C20" s="269">
        <f>ROUND((C5+C19)*F20,0)</f>
        <v>2380</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15411</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15263</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148</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19991</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19991</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169867</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24484</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22044</v>
      </c>
      <c r="D34" s="254"/>
      <c r="E34" s="257"/>
      <c r="F34" s="294">
        <f ca="1">IF('数据-取费表'!B24=0,1,IF(B1="",'数据-取费表'!N16,INDIRECT("'数据-取费表'!n"&amp;$G$1)))</f>
        <v>0.7</v>
      </c>
      <c r="G34" s="256" t="s">
        <v>2394</v>
      </c>
    </row>
    <row r="35" spans="1:7" ht="13.5" customHeight="1">
      <c r="A35" s="944" t="s">
        <v>796</v>
      </c>
      <c r="B35" s="252" t="s">
        <v>2395</v>
      </c>
      <c r="C35" s="257">
        <f ca="1">ROUND(C34*F35,0)</f>
        <v>661</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331</v>
      </c>
      <c r="D38" s="257"/>
      <c r="E38" s="257"/>
      <c r="F38" s="296">
        <f>'数据-取费表'!B36</f>
        <v>1.4999999999999999E-2</v>
      </c>
      <c r="G38" s="256" t="s">
        <v>2396</v>
      </c>
    </row>
    <row r="39" spans="1:7" s="251" customFormat="1" ht="13.5" customHeight="1">
      <c r="A39" s="292" t="s">
        <v>2402</v>
      </c>
      <c r="B39" s="247" t="s">
        <v>2403</v>
      </c>
      <c r="C39" s="269">
        <f ca="1">ROUND(C33*F20,0)</f>
        <v>490</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1553</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1523</v>
      </c>
      <c r="D42" s="275"/>
      <c r="E42" s="275"/>
      <c r="F42" s="276"/>
      <c r="G42" s="3196" t="s">
        <v>2412</v>
      </c>
    </row>
    <row r="43" spans="1:7" ht="13.5" customHeight="1">
      <c r="A43" s="944" t="s">
        <v>792</v>
      </c>
      <c r="B43" s="252" t="s">
        <v>2413</v>
      </c>
      <c r="C43" s="275">
        <f ca="1">ROUND(IF('数据-取费表'!B22&lt;=1,C39*F22*'数据-取费表'!B21/2,C39*(POWER((1+F22),'数据-取费表'!B21/2)-1)),0)</f>
        <v>30</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4745</v>
      </c>
      <c r="D45" s="272">
        <f ca="1">C47</f>
        <v>3.8E-3</v>
      </c>
      <c r="E45" s="273" t="s">
        <v>2407</v>
      </c>
      <c r="F45" s="283"/>
      <c r="G45" s="284" t="s">
        <v>2416</v>
      </c>
    </row>
    <row r="46" spans="1:7" s="251" customFormat="1" ht="13.5" customHeight="1">
      <c r="A46" s="944" t="s">
        <v>791</v>
      </c>
      <c r="B46" s="285" t="s">
        <v>2417</v>
      </c>
      <c r="C46" s="286">
        <f ca="1">ROUND((C33+C39)*F27,0)</f>
        <v>4745</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33896</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33896</v>
      </c>
      <c r="D51" s="269"/>
      <c r="E51" s="269"/>
      <c r="F51" s="301"/>
      <c r="G51" s="271" t="s">
        <v>2428</v>
      </c>
    </row>
    <row r="52" spans="1:7" s="245" customFormat="1" ht="16.5" thickBot="1">
      <c r="A52" s="302" t="s">
        <v>2429</v>
      </c>
      <c r="B52" s="303"/>
      <c r="C52" s="304">
        <f ca="1">C31+C51</f>
        <v>203763</v>
      </c>
      <c r="D52" s="303"/>
      <c r="E52" s="303"/>
      <c r="F52" s="303"/>
      <c r="G52" s="305"/>
    </row>
    <row r="55" spans="1:7" ht="15">
      <c r="B55" s="307" t="s">
        <v>2430</v>
      </c>
      <c r="C55" s="308"/>
    </row>
    <row r="56" spans="1:7">
      <c r="B56" s="310" t="s">
        <v>1514</v>
      </c>
      <c r="C56" s="312">
        <f ca="1">1-C57</f>
        <v>0.83399999999999996</v>
      </c>
    </row>
    <row r="57" spans="1:7">
      <c r="B57" s="310" t="s">
        <v>1515</v>
      </c>
      <c r="C57" s="311">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54932</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5312</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349752751</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314898992</v>
      </c>
      <c r="D34" s="254"/>
      <c r="E34" s="257"/>
      <c r="F34" s="294"/>
      <c r="G34" s="256"/>
    </row>
    <row r="35" spans="1:7" ht="13.5" customHeight="1">
      <c r="A35" s="944" t="s">
        <v>796</v>
      </c>
      <c r="B35" s="252" t="s">
        <v>2395</v>
      </c>
      <c r="C35" s="257">
        <f ca="1">ROUND(C34*F35,0)</f>
        <v>9446970</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4723485</v>
      </c>
      <c r="D38" s="257"/>
      <c r="E38" s="257"/>
      <c r="F38" s="296">
        <f>'数据-取费表'!B36</f>
        <v>1.4999999999999999E-2</v>
      </c>
      <c r="G38" s="256" t="s">
        <v>2396</v>
      </c>
    </row>
    <row r="39" spans="1:7" s="251" customFormat="1" ht="13.5" customHeight="1">
      <c r="A39" s="292" t="s">
        <v>2402</v>
      </c>
      <c r="B39" s="247" t="s">
        <v>2403</v>
      </c>
      <c r="C39" s="269">
        <f ca="1">ROUND(C33*F20,0)</f>
        <v>6995055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25717775</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25213505</v>
      </c>
      <c r="D42" s="275"/>
      <c r="E42" s="275"/>
      <c r="F42" s="276"/>
      <c r="G42" s="3196" t="s">
        <v>2459</v>
      </c>
    </row>
    <row r="43" spans="1:7" ht="13.5" customHeight="1">
      <c r="A43" s="944" t="s">
        <v>792</v>
      </c>
      <c r="B43" s="252" t="s">
        <v>2413</v>
      </c>
      <c r="C43" s="275">
        <f ca="1">ROUND(IF('数据-取费表'!B22&lt;=1,C39*F22*'数据-取费表'!B20/2,C39*(POWER((1+F22),'数据-取费表'!B20/2)-1)),0)</f>
        <v>504270</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67782083</v>
      </c>
      <c r="D45" s="272">
        <f ca="1">C47</f>
        <v>3.8E-3</v>
      </c>
      <c r="E45" s="273" t="s">
        <v>2407</v>
      </c>
      <c r="F45" s="283"/>
      <c r="G45" s="284" t="s">
        <v>2416</v>
      </c>
    </row>
    <row r="46" spans="1:7" s="251" customFormat="1" ht="13.5" customHeight="1">
      <c r="A46" s="944" t="s">
        <v>791</v>
      </c>
      <c r="B46" s="285" t="s">
        <v>2417</v>
      </c>
      <c r="C46" s="286">
        <f ca="1">ROUND((C33+C39)*F27,0)</f>
        <v>67782083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488126262</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488126262</v>
      </c>
      <c r="D51" s="269"/>
      <c r="E51" s="269"/>
      <c r="F51" s="301"/>
      <c r="G51" s="271" t="s">
        <v>2428</v>
      </c>
    </row>
    <row r="52" spans="1:7" s="245" customFormat="1" ht="16.5" thickBot="1">
      <c r="A52" s="302" t="s">
        <v>2429</v>
      </c>
      <c r="B52" s="303"/>
      <c r="C52" s="304">
        <f ca="1">C31+C51</f>
        <v>549324882</v>
      </c>
      <c r="D52" s="303"/>
      <c r="E52" s="303"/>
      <c r="F52" s="303"/>
      <c r="G52" s="305"/>
    </row>
    <row r="55" spans="1:7" ht="15">
      <c r="B55" s="307" t="s">
        <v>2430</v>
      </c>
      <c r="C55" s="308"/>
    </row>
    <row r="56" spans="1:7">
      <c r="B56" s="310" t="s">
        <v>1514</v>
      </c>
      <c r="C56" s="312">
        <f ca="1">1-C57</f>
        <v>0.11099999999999999</v>
      </c>
    </row>
    <row r="57" spans="1:7">
      <c r="B57" s="310" t="s">
        <v>1515</v>
      </c>
      <c r="C57" s="311">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39" sqref="C39"/>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113492</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10974</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30"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30" ht="46.5" customHeight="1" thickBot="1">
      <c r="A6" s="399"/>
      <c r="B6" s="400"/>
      <c r="C6" s="3231" t="s">
        <v>2546</v>
      </c>
      <c r="D6" s="3232"/>
      <c r="E6" s="3238" t="str">
        <f>土地案例!A2</f>
        <v>顺义区高丽营镇02-08-01、02-08-02地块</v>
      </c>
      <c r="F6" s="3239"/>
      <c r="G6" s="3231" t="str">
        <f>土地案例!A20</f>
        <v>通州区永顺镇0504-014地块F3其他类多功能用地</v>
      </c>
      <c r="H6" s="3232"/>
      <c r="I6" s="3231" t="str">
        <f>土地案例!A32</f>
        <v>昌平区北七家镇(未来科技城南区)CP07-0600-0005、0026地块</v>
      </c>
      <c r="J6" s="3232"/>
      <c r="K6" s="603" t="s">
        <v>2547</v>
      </c>
      <c r="L6" s="1123"/>
      <c r="M6" s="1124"/>
      <c r="N6" s="1124"/>
      <c r="O6" s="1124"/>
      <c r="P6" s="3223"/>
      <c r="Q6" s="3224"/>
      <c r="R6" s="3227"/>
      <c r="S6" s="3228"/>
      <c r="T6" s="3229"/>
      <c r="U6" s="3230"/>
      <c r="V6" s="3212"/>
      <c r="W6" s="3212"/>
      <c r="X6" s="1805"/>
      <c r="Y6" s="3229"/>
      <c r="Z6" s="3230"/>
      <c r="AA6" s="3215"/>
      <c r="AB6" s="3215"/>
      <c r="AC6" s="3215"/>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35" t="s">
        <v>2549</v>
      </c>
      <c r="Q7" s="3237"/>
      <c r="R7" s="763" t="s">
        <v>17</v>
      </c>
      <c r="S7" s="764">
        <f t="shared" ref="S7:S15" si="0">F7</f>
        <v>97</v>
      </c>
      <c r="T7" s="763" t="s">
        <v>17</v>
      </c>
      <c r="U7" s="764">
        <f t="shared" ref="U7:U15" si="1">H7</f>
        <v>88</v>
      </c>
      <c r="V7" s="763" t="s">
        <v>17</v>
      </c>
      <c r="W7" s="764">
        <f t="shared" ref="W7:W15" si="2">J7</f>
        <v>91</v>
      </c>
      <c r="X7" s="765"/>
      <c r="Y7" s="3235" t="s">
        <v>2549</v>
      </c>
      <c r="Z7" s="3236"/>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30" s="420" customFormat="1" ht="28.5">
      <c r="A10" s="414"/>
      <c r="B10" s="415" t="s">
        <v>2557</v>
      </c>
      <c r="C10" s="425" t="s">
        <v>3165</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06"/>
      <c r="Q11" s="1787" t="str">
        <f t="shared" si="6"/>
        <v>容积率</v>
      </c>
      <c r="R11" s="763" t="s">
        <v>17</v>
      </c>
      <c r="S11" s="764">
        <f t="shared" si="0"/>
        <v>101</v>
      </c>
      <c r="T11" s="763" t="s">
        <v>17</v>
      </c>
      <c r="U11" s="764">
        <f t="shared" si="1"/>
        <v>97</v>
      </c>
      <c r="V11" s="763" t="s">
        <v>17</v>
      </c>
      <c r="W11" s="764">
        <f t="shared" si="2"/>
        <v>98</v>
      </c>
      <c r="X11" s="765"/>
      <c r="Y11" s="3053"/>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6"/>
      <c r="Q12" s="1787" t="str">
        <f t="shared" si="6"/>
        <v>配建</v>
      </c>
      <c r="R12" s="763" t="s">
        <v>17</v>
      </c>
      <c r="S12" s="764">
        <f t="shared" si="0"/>
        <v>100</v>
      </c>
      <c r="T12" s="763" t="s">
        <v>17</v>
      </c>
      <c r="U12" s="764">
        <f t="shared" si="1"/>
        <v>100</v>
      </c>
      <c r="V12" s="763" t="s">
        <v>17</v>
      </c>
      <c r="W12" s="764">
        <f t="shared" si="2"/>
        <v>100</v>
      </c>
      <c r="X12" s="765"/>
      <c r="Y12" s="3053"/>
      <c r="Z12" s="55" t="str">
        <f t="shared" si="7"/>
        <v>配建</v>
      </c>
      <c r="AA12" s="766">
        <f>D12/F12</f>
        <v>1</v>
      </c>
      <c r="AB12" s="766">
        <f>D12/H12</f>
        <v>1</v>
      </c>
      <c r="AC12" s="766">
        <f>D12/J12</f>
        <v>1</v>
      </c>
    </row>
    <row r="13" spans="1:30" ht="15">
      <c r="A13" s="421"/>
      <c r="B13" s="2591" t="s">
        <v>3170</v>
      </c>
      <c r="C13" s="2945" t="s">
        <v>3171</v>
      </c>
      <c r="D13" s="428">
        <v>100</v>
      </c>
      <c r="E13" s="2946" t="s">
        <v>3172</v>
      </c>
      <c r="F13" s="129">
        <f>SUMIF(84:84,E13,85:85)-SUMIF(84:84,C13,85:85)+100</f>
        <v>95</v>
      </c>
      <c r="G13" s="2947" t="s">
        <v>3171</v>
      </c>
      <c r="H13" s="428">
        <f>SUMIF(84:84,G13,85:85)-SUMIF(84:84,C13,85:85)+100</f>
        <v>100</v>
      </c>
      <c r="I13" s="2947" t="s">
        <v>3171</v>
      </c>
      <c r="J13" s="428">
        <f>SUMIF(84:84,I13,85:85)-SUMIF(84:84,C13,85:85)+100</f>
        <v>100</v>
      </c>
      <c r="K13" s="665"/>
      <c r="L13" s="1133"/>
      <c r="M13" s="1124"/>
      <c r="N13" s="1124"/>
      <c r="O13" s="1132"/>
      <c r="P13" s="3206"/>
      <c r="Q13" s="1787" t="str">
        <f t="shared" si="6"/>
        <v>是否 有自持部分</v>
      </c>
      <c r="R13" s="763" t="s">
        <v>17</v>
      </c>
      <c r="S13" s="764">
        <f t="shared" si="0"/>
        <v>95</v>
      </c>
      <c r="T13" s="763" t="s">
        <v>17</v>
      </c>
      <c r="U13" s="764">
        <f t="shared" si="1"/>
        <v>100</v>
      </c>
      <c r="V13" s="763" t="s">
        <v>17</v>
      </c>
      <c r="W13" s="764">
        <f t="shared" si="2"/>
        <v>100</v>
      </c>
      <c r="X13" s="765"/>
      <c r="Y13" s="3053"/>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08" t="s">
        <v>2560</v>
      </c>
      <c r="Q15" s="1802" t="str">
        <f t="shared" si="6"/>
        <v>居住社区成熟度</v>
      </c>
      <c r="R15" s="767" t="s">
        <v>17</v>
      </c>
      <c r="S15" s="768">
        <f t="shared" si="0"/>
        <v>100</v>
      </c>
      <c r="T15" s="767" t="s">
        <v>17</v>
      </c>
      <c r="U15" s="768">
        <f t="shared" si="1"/>
        <v>100</v>
      </c>
      <c r="V15" s="767" t="s">
        <v>17</v>
      </c>
      <c r="W15" s="768">
        <f t="shared" si="2"/>
        <v>100</v>
      </c>
      <c r="X15" s="1805"/>
      <c r="Y15" s="3208"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09"/>
      <c r="Q17" s="1802" t="str">
        <f>B17</f>
        <v>商业繁华度</v>
      </c>
      <c r="R17" s="767" t="s">
        <v>17</v>
      </c>
      <c r="S17" s="768">
        <f>F17</f>
        <v>100</v>
      </c>
      <c r="T17" s="767" t="s">
        <v>17</v>
      </c>
      <c r="U17" s="768">
        <f>H17</f>
        <v>100</v>
      </c>
      <c r="V17" s="767" t="s">
        <v>17</v>
      </c>
      <c r="W17" s="768">
        <f>J17</f>
        <v>100</v>
      </c>
      <c r="X17" s="1805"/>
      <c r="Y17" s="3209"/>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3175</v>
      </c>
      <c r="H18" s="441"/>
      <c r="I18" s="2600" t="s">
        <v>3154</v>
      </c>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09"/>
      <c r="Q19" s="1802" t="str">
        <f>B19</f>
        <v>办公集聚程度</v>
      </c>
      <c r="R19" s="767" t="s">
        <v>17</v>
      </c>
      <c r="S19" s="768">
        <f>F19</f>
        <v>100</v>
      </c>
      <c r="T19" s="767" t="s">
        <v>17</v>
      </c>
      <c r="U19" s="768">
        <f>H19</f>
        <v>100</v>
      </c>
      <c r="V19" s="767" t="s">
        <v>17</v>
      </c>
      <c r="W19" s="768">
        <f>J19</f>
        <v>100</v>
      </c>
      <c r="X19" s="1805"/>
      <c r="Y19" s="3209"/>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3175</v>
      </c>
      <c r="H20" s="441"/>
      <c r="I20" s="2595" t="s">
        <v>3154</v>
      </c>
      <c r="J20" s="441"/>
      <c r="K20" s="665"/>
      <c r="L20" s="1133"/>
      <c r="M20" s="1124"/>
      <c r="N20" s="1124"/>
      <c r="O20" s="1132"/>
      <c r="P20" s="3209"/>
      <c r="Q20" s="1802"/>
      <c r="R20" s="767"/>
      <c r="S20" s="768"/>
      <c r="T20" s="767"/>
      <c r="U20" s="768"/>
      <c r="V20" s="767"/>
      <c r="W20" s="768"/>
      <c r="X20" s="1805"/>
      <c r="Y20" s="3209"/>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09"/>
      <c r="Q21" s="1802" t="str">
        <f>B21</f>
        <v>交通便捷度</v>
      </c>
      <c r="R21" s="767" t="s">
        <v>17</v>
      </c>
      <c r="S21" s="768">
        <f>F21</f>
        <v>95</v>
      </c>
      <c r="T21" s="767" t="s">
        <v>17</v>
      </c>
      <c r="U21" s="768">
        <f>H21</f>
        <v>100</v>
      </c>
      <c r="V21" s="767" t="s">
        <v>17</v>
      </c>
      <c r="W21" s="768">
        <f>J21</f>
        <v>95</v>
      </c>
      <c r="X21" s="1805"/>
      <c r="Y21" s="3209"/>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09"/>
      <c r="Q23" s="1802" t="str">
        <f t="shared" ref="Q23:Q37" si="8">B23</f>
        <v>区域土地利用方向</v>
      </c>
      <c r="R23" s="767" t="s">
        <v>17</v>
      </c>
      <c r="S23" s="768">
        <f>F23</f>
        <v>100</v>
      </c>
      <c r="T23" s="767" t="s">
        <v>17</v>
      </c>
      <c r="U23" s="768">
        <f>H23</f>
        <v>100</v>
      </c>
      <c r="V23" s="767" t="s">
        <v>17</v>
      </c>
      <c r="W23" s="768">
        <f>J23</f>
        <v>97</v>
      </c>
      <c r="X23" s="1805"/>
      <c r="Y23" s="3209"/>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09"/>
      <c r="Q24" s="1802"/>
      <c r="R24" s="767"/>
      <c r="S24" s="768"/>
      <c r="T24" s="767"/>
      <c r="U24" s="768"/>
      <c r="V24" s="767"/>
      <c r="W24" s="768"/>
      <c r="X24" s="1805"/>
      <c r="Y24" s="3209"/>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3168</v>
      </c>
      <c r="F25" s="443">
        <f>SUMIF(98:98,E26,99:99)-SUMIF(98:98,C26,99:99)+100</f>
        <v>100</v>
      </c>
      <c r="G25" s="2942" t="s">
        <v>3177</v>
      </c>
      <c r="H25" s="443">
        <f>SUMIF(98:98,G26,99:99)-SUMIF(98:98,C26,99:99)+100</f>
        <v>110</v>
      </c>
      <c r="I25" s="2951" t="s">
        <v>3183</v>
      </c>
      <c r="J25" s="443">
        <f>SUMIF(98:98,I26,99:99)-SUMIF(98:98,C26,99:99)+100</f>
        <v>105</v>
      </c>
      <c r="K25" s="666">
        <v>5</v>
      </c>
      <c r="L25" s="1133"/>
      <c r="M25" s="1124"/>
      <c r="N25" s="1124"/>
      <c r="O25" s="1132"/>
      <c r="P25" s="3209"/>
      <c r="Q25" s="1802" t="str">
        <f t="shared" si="8"/>
        <v>自然及人文环境状况</v>
      </c>
      <c r="R25" s="767" t="s">
        <v>17</v>
      </c>
      <c r="S25" s="768">
        <f>F25</f>
        <v>100</v>
      </c>
      <c r="T25" s="767" t="s">
        <v>17</v>
      </c>
      <c r="U25" s="768">
        <f>H25</f>
        <v>110</v>
      </c>
      <c r="V25" s="767" t="s">
        <v>17</v>
      </c>
      <c r="W25" s="768">
        <f>J25</f>
        <v>105</v>
      </c>
      <c r="X25" s="1805"/>
      <c r="Y25" s="3209"/>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09"/>
      <c r="Q26" s="1802"/>
      <c r="R26" s="767"/>
      <c r="S26" s="768"/>
      <c r="T26" s="767"/>
      <c r="U26" s="768"/>
      <c r="V26" s="767"/>
      <c r="W26" s="768"/>
      <c r="X26" s="1805"/>
      <c r="Y26" s="3209"/>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3176</v>
      </c>
      <c r="F27" s="443">
        <f>SUMIF(100:100,E28,101:101)-SUMIF(100:100,C28,101:101)+100</f>
        <v>95</v>
      </c>
      <c r="G27" s="2942" t="s">
        <v>3178</v>
      </c>
      <c r="H27" s="443">
        <f>SUMIF(100:100,G28,101:101)-SUMIF(100:100,C28,101:101)+100</f>
        <v>100</v>
      </c>
      <c r="I27" s="2951" t="s">
        <v>3184</v>
      </c>
      <c r="J27" s="443">
        <f>SUMIF(100:100,I28,101:101)-SUMIF(100:100,C28,101:101)+100</f>
        <v>95</v>
      </c>
      <c r="K27" s="666">
        <v>5</v>
      </c>
      <c r="L27" s="1125"/>
      <c r="M27" s="1126"/>
      <c r="N27" s="1126"/>
      <c r="O27" s="1127"/>
      <c r="P27" s="3209"/>
      <c r="Q27" s="1787" t="str">
        <f t="shared" si="8"/>
        <v>公共配套设施</v>
      </c>
      <c r="R27" s="763" t="s">
        <v>17</v>
      </c>
      <c r="S27" s="764">
        <f>F27</f>
        <v>95</v>
      </c>
      <c r="T27" s="763" t="s">
        <v>17</v>
      </c>
      <c r="U27" s="764">
        <f>H27</f>
        <v>100</v>
      </c>
      <c r="V27" s="763" t="s">
        <v>17</v>
      </c>
      <c r="W27" s="764">
        <f>J27</f>
        <v>95</v>
      </c>
      <c r="X27" s="765"/>
      <c r="Y27" s="3209"/>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09"/>
      <c r="Q28" s="1787"/>
      <c r="R28" s="763"/>
      <c r="S28" s="764"/>
      <c r="T28" s="763"/>
      <c r="U28" s="764"/>
      <c r="V28" s="763"/>
      <c r="W28" s="764"/>
      <c r="X28" s="765"/>
      <c r="Y28" s="3209"/>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09"/>
      <c r="Q29" s="1787" t="str">
        <f t="shared" ref="Q29" si="9">B29</f>
        <v>基础设施水平</v>
      </c>
      <c r="R29" s="763" t="s">
        <v>17</v>
      </c>
      <c r="S29" s="764">
        <f>F29</f>
        <v>100</v>
      </c>
      <c r="T29" s="763" t="s">
        <v>17</v>
      </c>
      <c r="U29" s="764">
        <f>H29</f>
        <v>100</v>
      </c>
      <c r="V29" s="763" t="s">
        <v>17</v>
      </c>
      <c r="W29" s="764">
        <f>J29</f>
        <v>100</v>
      </c>
      <c r="X29" s="765"/>
      <c r="Y29" s="3209"/>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09"/>
      <c r="Q30" s="1787"/>
      <c r="R30" s="763"/>
      <c r="S30" s="764"/>
      <c r="T30" s="763"/>
      <c r="U30" s="764"/>
      <c r="V30" s="763"/>
      <c r="W30" s="764"/>
      <c r="X30" s="765"/>
      <c r="Y30" s="3209"/>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3179</v>
      </c>
      <c r="H31" s="428">
        <f>SUMIF(104:104,G31,105:105)-SUMIF(104:104,C31,105:105)+100</f>
        <v>98</v>
      </c>
      <c r="I31" s="2944" t="s">
        <v>3182</v>
      </c>
      <c r="J31" s="428">
        <f>SUMIF(104:104,I31,105:105)-SUMIF(104:104,C31,105:105)+100</f>
        <v>99</v>
      </c>
      <c r="K31" s="666">
        <v>1</v>
      </c>
      <c r="L31" s="1133"/>
      <c r="M31" s="1124"/>
      <c r="N31" s="1124"/>
      <c r="O31" s="1132"/>
      <c r="P31" s="3209"/>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09"/>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3150</v>
      </c>
      <c r="D32" s="443">
        <v>100</v>
      </c>
      <c r="E32" s="445" t="s">
        <v>3169</v>
      </c>
      <c r="F32" s="443">
        <f>SUMIF(106:106,E33,107:107)-SUMIF(106:106,C33,107:107)+100</f>
        <v>100</v>
      </c>
      <c r="G32" s="445" t="s">
        <v>3180</v>
      </c>
      <c r="H32" s="443">
        <f>SUMIF(106:106,G33,107:107)-SUMIF(106:106,C33,107:107)+100</f>
        <v>100</v>
      </c>
      <c r="I32" s="447" t="s">
        <v>3185</v>
      </c>
      <c r="J32" s="443">
        <f>SUMIF(106:106,I33,107:107)-SUMIF(106:106,C33,107:107)+100</f>
        <v>102</v>
      </c>
      <c r="K32" s="666">
        <v>1</v>
      </c>
      <c r="L32" s="1133"/>
      <c r="M32" s="1124"/>
      <c r="N32" s="1124"/>
      <c r="O32" s="1132"/>
      <c r="P32" s="3209"/>
      <c r="Q32" s="1802" t="str">
        <f t="shared" si="8"/>
        <v>毗邻道路的类型与等级</v>
      </c>
      <c r="R32" s="767" t="s">
        <v>17</v>
      </c>
      <c r="S32" s="768">
        <f t="shared" si="10"/>
        <v>100</v>
      </c>
      <c r="T32" s="767" t="s">
        <v>17</v>
      </c>
      <c r="U32" s="768">
        <f t="shared" si="11"/>
        <v>100</v>
      </c>
      <c r="V32" s="767" t="s">
        <v>17</v>
      </c>
      <c r="W32" s="768">
        <f t="shared" si="12"/>
        <v>102</v>
      </c>
      <c r="X32" s="1805"/>
      <c r="Y32" s="3209"/>
      <c r="Z32" s="1806" t="str">
        <f t="shared" si="13"/>
        <v>毗邻道路的类型与等级</v>
      </c>
      <c r="AA32" s="1803">
        <f t="shared" si="3"/>
        <v>1</v>
      </c>
      <c r="AB32" s="1803">
        <f t="shared" si="4"/>
        <v>1</v>
      </c>
      <c r="AC32" s="1803">
        <f t="shared" si="5"/>
        <v>0.98039215686274506</v>
      </c>
    </row>
    <row r="33" spans="1:29" ht="15">
      <c r="A33" s="421"/>
      <c r="B33" s="449"/>
      <c r="C33" s="2941" t="s">
        <v>3164</v>
      </c>
      <c r="D33" s="441"/>
      <c r="E33" s="2943" t="s">
        <v>3164</v>
      </c>
      <c r="F33" s="441"/>
      <c r="G33" s="2943" t="s">
        <v>3164</v>
      </c>
      <c r="H33" s="441"/>
      <c r="I33" s="440" t="s">
        <v>3186</v>
      </c>
      <c r="J33" s="441"/>
      <c r="K33" s="606"/>
      <c r="L33" s="1133"/>
      <c r="M33" s="1124"/>
      <c r="N33" s="1124"/>
      <c r="O33" s="1132"/>
      <c r="P33" s="3209"/>
      <c r="Q33" s="1802"/>
      <c r="R33" s="767"/>
      <c r="S33" s="768"/>
      <c r="T33" s="767"/>
      <c r="U33" s="768"/>
      <c r="V33" s="767"/>
      <c r="W33" s="768"/>
      <c r="X33" s="1805"/>
      <c r="Y33" s="3209"/>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3181</v>
      </c>
      <c r="H34" s="428">
        <f>SUMIF(108:108,G34,109:109)-SUMIF(108:108,C34,109:109)+100</f>
        <v>102</v>
      </c>
      <c r="I34" s="2938" t="s">
        <v>3187</v>
      </c>
      <c r="J34" s="428">
        <f>SUMIF(108:108,I34,109:109)-SUMIF(108:108,C34,109:109)+100</f>
        <v>101</v>
      </c>
      <c r="K34" s="605">
        <v>1</v>
      </c>
      <c r="L34" s="1133"/>
      <c r="M34" s="1124"/>
      <c r="N34" s="1124"/>
      <c r="O34" s="1132"/>
      <c r="P34" s="3209"/>
      <c r="Q34" s="1802" t="str">
        <f t="shared" si="8"/>
        <v>土地级别</v>
      </c>
      <c r="R34" s="767" t="s">
        <v>17</v>
      </c>
      <c r="S34" s="768">
        <f t="shared" si="10"/>
        <v>100</v>
      </c>
      <c r="T34" s="767" t="s">
        <v>17</v>
      </c>
      <c r="U34" s="768">
        <f t="shared" si="11"/>
        <v>102</v>
      </c>
      <c r="V34" s="767" t="s">
        <v>17</v>
      </c>
      <c r="W34" s="768">
        <f t="shared" si="12"/>
        <v>101</v>
      </c>
      <c r="X34" s="1805"/>
      <c r="Y34" s="3209"/>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09"/>
      <c r="Q35" s="1802">
        <f t="shared" si="8"/>
        <v>111</v>
      </c>
      <c r="R35" s="767" t="s">
        <v>17</v>
      </c>
      <c r="S35" s="768">
        <f t="shared" si="10"/>
        <v>100</v>
      </c>
      <c r="T35" s="767" t="s">
        <v>17</v>
      </c>
      <c r="U35" s="768">
        <f t="shared" si="11"/>
        <v>100</v>
      </c>
      <c r="V35" s="767" t="s">
        <v>17</v>
      </c>
      <c r="W35" s="768">
        <f t="shared" si="12"/>
        <v>100</v>
      </c>
      <c r="X35" s="1805"/>
      <c r="Y35" s="3209"/>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10" t="s">
        <v>2565</v>
      </c>
      <c r="Q36" s="1802">
        <f t="shared" si="8"/>
        <v>111</v>
      </c>
      <c r="R36" s="767" t="s">
        <v>17</v>
      </c>
      <c r="S36" s="768">
        <f t="shared" si="10"/>
        <v>100</v>
      </c>
      <c r="T36" s="767" t="s">
        <v>17</v>
      </c>
      <c r="U36" s="768">
        <f t="shared" si="11"/>
        <v>100</v>
      </c>
      <c r="V36" s="767" t="s">
        <v>17</v>
      </c>
      <c r="W36" s="768">
        <f t="shared" si="12"/>
        <v>100</v>
      </c>
      <c r="X36" s="1805"/>
      <c r="Y36" s="3211"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11"/>
      <c r="Q37" s="1802">
        <f t="shared" si="8"/>
        <v>111</v>
      </c>
      <c r="R37" s="770" t="s">
        <v>17</v>
      </c>
      <c r="S37" s="771">
        <f t="shared" si="10"/>
        <v>100</v>
      </c>
      <c r="T37" s="770" t="s">
        <v>17</v>
      </c>
      <c r="U37" s="771">
        <f t="shared" si="11"/>
        <v>100</v>
      </c>
      <c r="V37" s="770" t="s">
        <v>17</v>
      </c>
      <c r="W37" s="771">
        <f t="shared" si="12"/>
        <v>100</v>
      </c>
      <c r="X37" s="772"/>
      <c r="Y37" s="3211"/>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11"/>
      <c r="Q38" s="1802" t="str">
        <f>B38</f>
        <v>宗地面积</v>
      </c>
      <c r="R38" s="767" t="s">
        <v>17</v>
      </c>
      <c r="S38" s="768">
        <f t="shared" si="10"/>
        <v>102</v>
      </c>
      <c r="T38" s="767" t="s">
        <v>17</v>
      </c>
      <c r="U38" s="768">
        <f t="shared" si="11"/>
        <v>99.5</v>
      </c>
      <c r="V38" s="767" t="s">
        <v>17</v>
      </c>
      <c r="W38" s="768">
        <f t="shared" si="12"/>
        <v>100</v>
      </c>
      <c r="X38" s="1805"/>
      <c r="Y38" s="3211"/>
      <c r="Z38" s="1806" t="str">
        <f t="shared" si="13"/>
        <v>宗地面积</v>
      </c>
      <c r="AA38" s="1803">
        <f t="shared" si="3"/>
        <v>0.98039215686274506</v>
      </c>
      <c r="AB38" s="1803">
        <f t="shared" si="4"/>
        <v>1.0050251256281406</v>
      </c>
      <c r="AC38" s="1803">
        <f t="shared" si="5"/>
        <v>1</v>
      </c>
    </row>
    <row r="39" spans="1:29" ht="15">
      <c r="A39" s="465"/>
      <c r="B39" s="415" t="s">
        <v>2752</v>
      </c>
      <c r="C39" s="3007" t="s">
        <v>3636</v>
      </c>
      <c r="D39" s="428">
        <v>100</v>
      </c>
      <c r="E39" s="2939" t="s">
        <v>3161</v>
      </c>
      <c r="F39" s="428">
        <f>SUMIF(119:119,E39,120:120)-SUMIF(119:119,C39,120:120)+100</f>
        <v>99</v>
      </c>
      <c r="G39" s="2939" t="s">
        <v>3173</v>
      </c>
      <c r="H39" s="428">
        <f>SUMIF(119:119,G39,120:120)-SUMIF(119:119,C39,120:120)+100</f>
        <v>98</v>
      </c>
      <c r="I39" s="2939" t="s">
        <v>3161</v>
      </c>
      <c r="J39" s="428">
        <f>SUMIF(119:119,I39,120:120)-SUMIF(119:119,C39,120:120)+100</f>
        <v>99</v>
      </c>
      <c r="K39" s="605">
        <v>1</v>
      </c>
      <c r="L39" s="1133"/>
      <c r="M39" s="1124"/>
      <c r="N39" s="1124"/>
      <c r="O39" s="1132"/>
      <c r="P39" s="3211"/>
      <c r="Q39" s="1802" t="str">
        <f t="shared" ref="Q39:Q45" si="14">B39</f>
        <v>宗地形状</v>
      </c>
      <c r="R39" s="767" t="s">
        <v>17</v>
      </c>
      <c r="S39" s="768">
        <f t="shared" si="10"/>
        <v>99</v>
      </c>
      <c r="T39" s="767" t="s">
        <v>17</v>
      </c>
      <c r="U39" s="768">
        <f t="shared" si="11"/>
        <v>98</v>
      </c>
      <c r="V39" s="767" t="s">
        <v>17</v>
      </c>
      <c r="W39" s="768">
        <f t="shared" si="12"/>
        <v>99</v>
      </c>
      <c r="X39" s="1805"/>
      <c r="Y39" s="3211"/>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3174</v>
      </c>
      <c r="H40" s="428">
        <f>SUMIF(121:121,G40,122:122)-SUMIF(121:121,C40,122:122)+100</f>
        <v>100</v>
      </c>
      <c r="I40" s="2939" t="s">
        <v>3162</v>
      </c>
      <c r="J40" s="428">
        <f>SUMIF(121:121,I40,122:122)-SUMIF(121:121,C40,122:122)+100</f>
        <v>100</v>
      </c>
      <c r="K40" s="605"/>
      <c r="L40" s="1133"/>
      <c r="M40" s="1124"/>
      <c r="N40" s="1124"/>
      <c r="O40" s="1132"/>
      <c r="P40" s="3211"/>
      <c r="Q40" s="1802" t="str">
        <f t="shared" si="14"/>
        <v>临街宽度及深度</v>
      </c>
      <c r="R40" s="767" t="s">
        <v>17</v>
      </c>
      <c r="S40" s="768">
        <f t="shared" si="10"/>
        <v>100</v>
      </c>
      <c r="T40" s="767" t="s">
        <v>17</v>
      </c>
      <c r="U40" s="768">
        <f t="shared" si="11"/>
        <v>100</v>
      </c>
      <c r="V40" s="767" t="s">
        <v>17</v>
      </c>
      <c r="W40" s="768">
        <f t="shared" si="12"/>
        <v>100</v>
      </c>
      <c r="X40" s="1805"/>
      <c r="Y40" s="3211"/>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3167</v>
      </c>
      <c r="F41" s="428">
        <f>SUMIF(123:123,E41,124:124)-SUMIF(123:123,C41,124:124)+100</f>
        <v>96</v>
      </c>
      <c r="G41" s="2940" t="s">
        <v>3167</v>
      </c>
      <c r="H41" s="428">
        <f>SUMIF(123:123,G41,124:124)-SUMIF(123:123,C41,124:124)+100</f>
        <v>96</v>
      </c>
      <c r="I41" s="2940" t="s">
        <v>3163</v>
      </c>
      <c r="J41" s="428">
        <f>SUMIF(123:123,I41,124:124)-SUMIF(123:123,C41,124:124)+100</f>
        <v>100</v>
      </c>
      <c r="K41" s="605">
        <v>1</v>
      </c>
      <c r="L41" s="1125"/>
      <c r="M41" s="1126"/>
      <c r="N41" s="1126"/>
      <c r="O41" s="1127"/>
      <c r="P41" s="3211"/>
      <c r="Q41" s="1802" t="str">
        <f t="shared" si="14"/>
        <v>宗地开发程度</v>
      </c>
      <c r="R41" s="763" t="s">
        <v>17</v>
      </c>
      <c r="S41" s="764">
        <f t="shared" si="10"/>
        <v>96</v>
      </c>
      <c r="T41" s="763" t="s">
        <v>17</v>
      </c>
      <c r="U41" s="764">
        <f t="shared" si="11"/>
        <v>96</v>
      </c>
      <c r="V41" s="763" t="s">
        <v>17</v>
      </c>
      <c r="W41" s="764">
        <f t="shared" si="12"/>
        <v>100</v>
      </c>
      <c r="X41" s="765"/>
      <c r="Y41" s="3211"/>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11" t="s">
        <v>2565</v>
      </c>
      <c r="Q42" s="1802" t="str">
        <f t="shared" si="14"/>
        <v>工程地质条件</v>
      </c>
      <c r="R42" s="767" t="s">
        <v>17</v>
      </c>
      <c r="S42" s="768">
        <f t="shared" si="10"/>
        <v>100</v>
      </c>
      <c r="T42" s="767" t="s">
        <v>17</v>
      </c>
      <c r="U42" s="768">
        <f t="shared" si="11"/>
        <v>100</v>
      </c>
      <c r="V42" s="767" t="s">
        <v>17</v>
      </c>
      <c r="W42" s="768">
        <f t="shared" si="12"/>
        <v>100</v>
      </c>
      <c r="X42" s="1805"/>
      <c r="Y42" s="3211"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11"/>
      <c r="Q43" s="1802">
        <f t="shared" si="14"/>
        <v>111</v>
      </c>
      <c r="R43" s="767" t="s">
        <v>17</v>
      </c>
      <c r="S43" s="768">
        <f t="shared" si="10"/>
        <v>100</v>
      </c>
      <c r="T43" s="767" t="s">
        <v>17</v>
      </c>
      <c r="U43" s="768">
        <f t="shared" si="11"/>
        <v>100</v>
      </c>
      <c r="V43" s="767" t="s">
        <v>17</v>
      </c>
      <c r="W43" s="768">
        <f t="shared" si="12"/>
        <v>100</v>
      </c>
      <c r="X43" s="1805"/>
      <c r="Y43" s="3211"/>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11"/>
      <c r="Q44" s="1802">
        <f t="shared" si="14"/>
        <v>111</v>
      </c>
      <c r="R44" s="767" t="s">
        <v>17</v>
      </c>
      <c r="S44" s="768">
        <f t="shared" si="10"/>
        <v>100</v>
      </c>
      <c r="T44" s="767" t="s">
        <v>17</v>
      </c>
      <c r="U44" s="768">
        <f t="shared" si="11"/>
        <v>100</v>
      </c>
      <c r="V44" s="767" t="s">
        <v>17</v>
      </c>
      <c r="W44" s="768">
        <f t="shared" si="12"/>
        <v>100</v>
      </c>
      <c r="X44" s="1805"/>
      <c r="Y44" s="3211"/>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11"/>
      <c r="Q45" s="1802">
        <f t="shared" si="14"/>
        <v>111</v>
      </c>
      <c r="R45" s="770" t="s">
        <v>17</v>
      </c>
      <c r="S45" s="771">
        <f t="shared" si="10"/>
        <v>100</v>
      </c>
      <c r="T45" s="770" t="s">
        <v>17</v>
      </c>
      <c r="U45" s="771">
        <f t="shared" si="11"/>
        <v>100</v>
      </c>
      <c r="V45" s="770" t="s">
        <v>17</v>
      </c>
      <c r="W45" s="771">
        <f t="shared" si="12"/>
        <v>100</v>
      </c>
      <c r="X45" s="772"/>
      <c r="Y45" s="3211"/>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06" t="str">
        <f>A46</f>
        <v>成交单价</v>
      </c>
      <c r="Q46" s="3206"/>
      <c r="R46" s="3212">
        <f>E46</f>
        <v>10165</v>
      </c>
      <c r="S46" s="3212"/>
      <c r="T46" s="3212">
        <f>G46</f>
        <v>11200</v>
      </c>
      <c r="U46" s="3212"/>
      <c r="V46" s="3212">
        <f>I46</f>
        <v>8830</v>
      </c>
      <c r="W46" s="3212"/>
      <c r="X46" s="752"/>
      <c r="Y46" s="774"/>
      <c r="Z46" s="752"/>
      <c r="AA46" s="752"/>
      <c r="AB46" s="752"/>
      <c r="AC46" s="752"/>
    </row>
    <row r="47" spans="1:29" ht="15.75" thickBot="1">
      <c r="A47" s="479" t="s">
        <v>2669</v>
      </c>
      <c r="B47" s="676"/>
      <c r="C47" s="483">
        <f>R48</f>
        <v>11732</v>
      </c>
      <c r="D47" s="482"/>
      <c r="E47" s="483">
        <f>R47</f>
        <v>12239</v>
      </c>
      <c r="F47" s="484"/>
      <c r="G47" s="481">
        <f>T47</f>
        <v>12498</v>
      </c>
      <c r="H47" s="482"/>
      <c r="I47" s="483">
        <f>V47</f>
        <v>10459</v>
      </c>
      <c r="J47" s="482"/>
      <c r="K47" s="777"/>
      <c r="L47" s="1136"/>
      <c r="M47" s="1137"/>
      <c r="N47" s="1137"/>
      <c r="O47" s="1137"/>
      <c r="P47" s="3206" t="str">
        <f>A47</f>
        <v>比较价值（元/平方米）</v>
      </c>
      <c r="Q47" s="3206"/>
      <c r="R47" s="3199">
        <f>ROUND(PRODUCT(R46,AA7:AA45),0)</f>
        <v>12239</v>
      </c>
      <c r="S47" s="3199"/>
      <c r="T47" s="3199">
        <f>ROUND(PRODUCT(T46,AB7:AB45),0)</f>
        <v>12498</v>
      </c>
      <c r="U47" s="3199"/>
      <c r="V47" s="3199">
        <f>ROUND(PRODUCT(V46,AC7:AC45),0)</f>
        <v>10459</v>
      </c>
      <c r="W47" s="3199"/>
      <c r="X47" s="752"/>
      <c r="Y47" s="752"/>
      <c r="Z47" s="752"/>
      <c r="AA47" s="752"/>
      <c r="AB47" s="752"/>
      <c r="AC47" s="752"/>
    </row>
    <row r="48" spans="1:29" ht="15.75" thickBot="1">
      <c r="A48" s="485" t="s">
        <v>2757</v>
      </c>
      <c r="B48" s="486"/>
      <c r="C48" s="487">
        <f>R48</f>
        <v>11732</v>
      </c>
      <c r="D48" s="487"/>
      <c r="E48" s="487"/>
      <c r="F48" s="487"/>
      <c r="G48" s="487"/>
      <c r="H48" s="487"/>
      <c r="I48" s="487"/>
      <c r="J48" s="487"/>
      <c r="K48" s="778"/>
      <c r="L48" s="1136"/>
      <c r="M48" s="1137"/>
      <c r="N48" s="1137"/>
      <c r="O48" s="1137"/>
      <c r="P48" s="3200" t="str">
        <f>A48</f>
        <v>估价对象XX用房的比较价值（楼面单价，元/平方米）</v>
      </c>
      <c r="Q48" s="3201"/>
      <c r="R48" s="3202">
        <f>ROUND(AVERAGE(R47:V47),0)</f>
        <v>11732</v>
      </c>
      <c r="S48" s="3202"/>
      <c r="T48" s="3202"/>
      <c r="U48" s="3202"/>
      <c r="V48" s="3202"/>
      <c r="W48" s="3202"/>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0.20403344810624691</v>
      </c>
      <c r="F51" s="493" t="str">
        <f>IF(OR(E51&gt;=0.3,E51&lt;=-0.3),"超过30%","")</f>
        <v/>
      </c>
      <c r="G51" s="492">
        <f>IF(G46&lt;G47,G47/G46-1,G46/G47-1)</f>
        <v>0.11589285714285724</v>
      </c>
      <c r="H51" s="493" t="str">
        <f>IF(OR(G51&gt;=0.3,G51&lt;=-0.3),"超过30%","")</f>
        <v/>
      </c>
      <c r="I51" s="492">
        <f>IF(I46&lt;I47,I47/I46-1,I46/I47-1)</f>
        <v>0.18448471121177801</v>
      </c>
      <c r="J51" s="493" t="str">
        <f>IF(OR(I51&gt;=0.3,I51&lt;=-0.3),"超过30%","")</f>
        <v/>
      </c>
      <c r="K51" s="1098"/>
      <c r="L51" s="1099"/>
      <c r="M51" s="1137"/>
      <c r="N51" s="1137"/>
      <c r="O51" s="1137"/>
    </row>
    <row r="52" spans="1:15" ht="13.5" customHeight="1">
      <c r="A52" s="1137"/>
      <c r="B52" s="1137"/>
      <c r="C52" s="490" t="s">
        <v>2672</v>
      </c>
      <c r="D52" s="494"/>
      <c r="E52" s="492">
        <f>IF(E47&lt;G47,G47/E47-1,E47/G47-1)</f>
        <v>2.1161859629054591E-2</v>
      </c>
      <c r="F52" s="493" t="str">
        <f>IF(OR(E52&gt;=0.2,E52&lt;=-0.2),"超过20%","")</f>
        <v/>
      </c>
      <c r="G52" s="492">
        <f>IF(G47&lt;I47,I47/G47-1,G47/I47-1)</f>
        <v>0.19495171622526053</v>
      </c>
      <c r="H52" s="493" t="str">
        <f>IF(OR(G52&gt;=0.2,G52&lt;=-0.2),"超过20%","")</f>
        <v/>
      </c>
      <c r="I52" s="492">
        <f>IF(I47&lt;E47,E47/I47-1,I47/E47-1)</f>
        <v>0.17018835452720138</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03" t="s">
        <v>2764</v>
      </c>
      <c r="H55" s="3204"/>
      <c r="I55" s="137" t="s">
        <v>2765</v>
      </c>
      <c r="J55" s="2698">
        <f>项目基本情况!F35</f>
        <v>0</v>
      </c>
      <c r="K55" s="2699" t="s">
        <v>2766</v>
      </c>
      <c r="L55" s="1099"/>
      <c r="M55" s="1137"/>
      <c r="N55" s="1137"/>
      <c r="O55" s="1137"/>
    </row>
    <row r="56" spans="1:15" s="685" customFormat="1">
      <c r="A56" s="681" t="s">
        <v>2767</v>
      </c>
      <c r="B56" s="682">
        <f>C48</f>
        <v>11732</v>
      </c>
      <c r="C56" s="683">
        <v>1</v>
      </c>
      <c r="D56" s="1156">
        <v>1</v>
      </c>
      <c r="E56" s="683">
        <f>'数据-汇总表'!E8+'数据-汇总表'!E9</f>
        <v>96330.540000000008</v>
      </c>
      <c r="F56" s="1096">
        <f t="shared" ref="F56:F65" si="15">ROUND(B56*E56/10000,0)</f>
        <v>113015</v>
      </c>
      <c r="G56" s="3205"/>
      <c r="H56" s="3206"/>
      <c r="I56" s="1101">
        <v>1</v>
      </c>
      <c r="J56" s="1104">
        <v>1</v>
      </c>
      <c r="K56" s="1138"/>
      <c r="L56" s="934"/>
      <c r="M56" s="934"/>
      <c r="N56" s="934"/>
      <c r="O56" s="934"/>
    </row>
    <row r="57" spans="1:15" s="685" customFormat="1">
      <c r="A57" s="686" t="s">
        <v>2768</v>
      </c>
      <c r="B57" s="255">
        <f>ROUND($C$48*C57*D57,0)</f>
        <v>1760</v>
      </c>
      <c r="C57" s="193">
        <f t="shared" ref="C57:C65" si="16">IF($C$55="北京市系数",I57,J57)</f>
        <v>0.6</v>
      </c>
      <c r="D57" s="1157">
        <v>0.25</v>
      </c>
      <c r="E57" s="687">
        <f>'数据-汇总表'!G24</f>
        <v>521.76</v>
      </c>
      <c r="F57" s="1096">
        <f t="shared" si="15"/>
        <v>92</v>
      </c>
      <c r="G57" s="3207"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880</v>
      </c>
      <c r="C58" s="193">
        <f t="shared" si="16"/>
        <v>0.3</v>
      </c>
      <c r="D58" s="1157">
        <v>0.25</v>
      </c>
      <c r="E58" s="687"/>
      <c r="F58" s="1096">
        <f t="shared" si="15"/>
        <v>0</v>
      </c>
      <c r="G58" s="3207"/>
      <c r="H58" s="1097" t="str">
        <f>项目基本情况!B37</f>
        <v>八级</v>
      </c>
      <c r="I58" s="1101">
        <f>SUMIF(修正!A45:A56,H58,修正!C45:C56)</f>
        <v>0.3</v>
      </c>
      <c r="J58" s="1105"/>
      <c r="K58" s="1138"/>
      <c r="L58" s="934"/>
      <c r="M58" s="934"/>
      <c r="N58" s="934"/>
      <c r="O58" s="934"/>
    </row>
    <row r="59" spans="1:15" s="685" customFormat="1">
      <c r="A59" s="686" t="s">
        <v>2771</v>
      </c>
      <c r="B59" s="255">
        <f t="shared" si="17"/>
        <v>587</v>
      </c>
      <c r="C59" s="193">
        <f t="shared" si="16"/>
        <v>0.2</v>
      </c>
      <c r="D59" s="1157">
        <v>0.25</v>
      </c>
      <c r="E59" s="687"/>
      <c r="F59" s="1096">
        <f t="shared" si="15"/>
        <v>0</v>
      </c>
      <c r="G59" s="3207"/>
      <c r="H59" s="1097" t="str">
        <f>项目基本情况!B37</f>
        <v>八级</v>
      </c>
      <c r="I59" s="1101">
        <f>SUMIF(修正!A45:A56,H59,修正!D45:D56)</f>
        <v>0.2</v>
      </c>
      <c r="J59" s="1105"/>
      <c r="K59" s="1137"/>
      <c r="L59" s="934"/>
      <c r="M59" s="934"/>
      <c r="N59" s="934"/>
      <c r="O59" s="934"/>
    </row>
    <row r="60" spans="1:15" s="685" customFormat="1">
      <c r="A60" s="686" t="s">
        <v>2772</v>
      </c>
      <c r="B60" s="255">
        <f t="shared" si="17"/>
        <v>587</v>
      </c>
      <c r="C60" s="193">
        <f t="shared" si="16"/>
        <v>0.2</v>
      </c>
      <c r="D60" s="1157">
        <v>0.25</v>
      </c>
      <c r="E60" s="687"/>
      <c r="F60" s="1096">
        <f t="shared" si="15"/>
        <v>0</v>
      </c>
      <c r="G60" s="3207"/>
      <c r="H60" s="1097" t="str">
        <f>项目基本情况!B37</f>
        <v>八级</v>
      </c>
      <c r="I60" s="1101">
        <f>SUMIF(修正!A45:A56,H60,修正!E45:E56)</f>
        <v>0.2</v>
      </c>
      <c r="J60" s="1105"/>
      <c r="K60" s="1138"/>
      <c r="L60" s="934"/>
      <c r="M60" s="934"/>
      <c r="N60" s="934"/>
      <c r="O60" s="934"/>
    </row>
    <row r="61" spans="1:15" s="685" customFormat="1">
      <c r="A61" s="686" t="s">
        <v>2773</v>
      </c>
      <c r="B61" s="255">
        <f t="shared" si="17"/>
        <v>587</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587</v>
      </c>
      <c r="C62" s="193">
        <f t="shared" si="16"/>
        <v>0.2</v>
      </c>
      <c r="D62" s="1157">
        <v>0.25</v>
      </c>
      <c r="E62" s="254">
        <f>'数据-汇总表'!E12</f>
        <v>6564.2199999999993</v>
      </c>
      <c r="F62" s="1096">
        <f t="shared" si="15"/>
        <v>385</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440</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440</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113492</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3188</v>
      </c>
      <c r="D84" s="2952" t="s">
        <v>3189</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3190</v>
      </c>
      <c r="D106" s="2952" t="s">
        <v>3191</v>
      </c>
      <c r="E106" s="2952" t="s">
        <v>3192</v>
      </c>
      <c r="F106" s="2952" t="s">
        <v>3193</v>
      </c>
      <c r="G106" s="2952" t="s">
        <v>3194</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3486</v>
      </c>
      <c r="D108" s="2975" t="s">
        <v>3487</v>
      </c>
      <c r="E108" s="2975" t="s">
        <v>3488</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3489</v>
      </c>
      <c r="D119" s="2975" t="s">
        <v>3490</v>
      </c>
      <c r="E119" s="2975" t="s">
        <v>3491</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3481</v>
      </c>
      <c r="D123" s="2952" t="s">
        <v>3482</v>
      </c>
      <c r="E123" s="2952" t="s">
        <v>3483</v>
      </c>
      <c r="F123" s="2952" t="s">
        <v>3484</v>
      </c>
      <c r="G123" s="2952" t="s">
        <v>3485</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8" sqref="H8"/>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179437</v>
      </c>
      <c r="C2" s="313" t="s">
        <v>2463</v>
      </c>
      <c r="D2" s="313"/>
      <c r="E2" s="313"/>
      <c r="F2" s="313"/>
      <c r="G2" s="313"/>
      <c r="H2" s="313"/>
      <c r="I2" s="313"/>
      <c r="J2" s="313"/>
      <c r="K2" s="313"/>
    </row>
    <row r="3" spans="1:33" ht="18" customHeight="1" thickBot="1">
      <c r="A3" s="240" t="s">
        <v>2332</v>
      </c>
      <c r="B3" s="241">
        <f ca="1">ROUND(B2*10000/IF(C1="",'数据-汇总表'!E3,INDIRECT("'数据-取费表'!K"&amp;$K$1)),0)</f>
        <v>17351</v>
      </c>
      <c r="C3" s="313" t="s">
        <v>2464</v>
      </c>
      <c r="D3" s="313"/>
      <c r="E3" s="313"/>
      <c r="F3" s="313"/>
      <c r="G3" s="313"/>
      <c r="H3" s="313"/>
      <c r="I3" s="313"/>
      <c r="J3" s="313"/>
      <c r="K3" s="313"/>
    </row>
    <row r="4" spans="1:33" s="949" customFormat="1" ht="16.5" customHeight="1">
      <c r="A4" s="946" t="s">
        <v>2465</v>
      </c>
      <c r="B4" s="947"/>
      <c r="C4" s="989">
        <f ca="1">SUM(C8:K8)</f>
        <v>218649</v>
      </c>
      <c r="D4" s="947"/>
      <c r="E4" s="947"/>
      <c r="F4" s="947"/>
      <c r="G4" s="947"/>
      <c r="H4" s="947"/>
      <c r="I4" s="947"/>
      <c r="J4" s="947"/>
      <c r="K4" s="948"/>
    </row>
    <row r="5" spans="1:33" s="953" customFormat="1" ht="25.5">
      <c r="A5" s="950" t="s">
        <v>2466</v>
      </c>
      <c r="B5" s="951" t="s">
        <v>2467</v>
      </c>
      <c r="C5" s="2545" t="s">
        <v>3462</v>
      </c>
      <c r="D5" s="2545" t="s">
        <v>3467</v>
      </c>
      <c r="E5" s="2545" t="s">
        <v>3468</v>
      </c>
      <c r="F5" s="2545" t="s">
        <v>3473</v>
      </c>
      <c r="G5" s="2545" t="s">
        <v>3478</v>
      </c>
      <c r="H5" s="2545" t="s">
        <v>3476</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21077</v>
      </c>
      <c r="D6" s="955">
        <f ca="1">'收益法-商业LOFT（精装）'!B3</f>
        <v>19757</v>
      </c>
      <c r="E6" s="955">
        <f ca="1">ROUND(D6*0.97,0)</f>
        <v>19164</v>
      </c>
      <c r="F6" s="955">
        <f>[1]假设开发法!$F$6</f>
        <v>38814</v>
      </c>
      <c r="G6" s="955">
        <f>ROUND(F6*0.6,0)</f>
        <v>23288</v>
      </c>
      <c r="H6" s="955">
        <f ca="1">[1]假设开发法!$H$6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7561.02</v>
      </c>
      <c r="E7" s="314">
        <f>SUMIF('数据-汇总表'!$C19:$C33,假设开发法!E5,'数据-汇总表'!$E19:$E33)</f>
        <v>5270.42</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160000</v>
      </c>
      <c r="D8" s="990">
        <f ca="1">'收益法-商业LOFT（精装）'!B2</f>
        <v>14938</v>
      </c>
      <c r="E8" s="990">
        <f ca="1">ROUND(E6*E7/10000,0)</f>
        <v>10100</v>
      </c>
      <c r="F8" s="990">
        <f>ROUND(F6*F7/10000,0)</f>
        <v>29447</v>
      </c>
      <c r="G8" s="991">
        <f>ROUND(G6*G7/10000,0)</f>
        <v>1215</v>
      </c>
      <c r="H8" s="991">
        <f ca="1">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9447</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283</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142</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10492</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3622</v>
      </c>
      <c r="H18" s="1569">
        <v>2068</v>
      </c>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10492</v>
      </c>
      <c r="D21" s="980"/>
      <c r="E21" s="318"/>
      <c r="F21" s="318"/>
      <c r="G21" s="133" t="s">
        <v>2497</v>
      </c>
      <c r="H21" s="972"/>
      <c r="I21" s="972"/>
      <c r="J21" s="972"/>
      <c r="K21" s="973"/>
    </row>
    <row r="22" spans="1:33" s="968" customFormat="1" ht="13.5" customHeight="1">
      <c r="A22" s="954" t="s">
        <v>2469</v>
      </c>
      <c r="B22" s="978" t="s">
        <v>2498</v>
      </c>
      <c r="C22" s="979">
        <f ca="1">ROUND(C21*F22,0)</f>
        <v>210</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1312</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112</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112</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2283</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2283</v>
      </c>
      <c r="D30" s="321"/>
      <c r="E30" s="322"/>
      <c r="F30" s="327"/>
      <c r="G30" s="133"/>
      <c r="H30" s="972"/>
      <c r="I30" s="972"/>
      <c r="J30" s="972"/>
      <c r="K30" s="973"/>
    </row>
    <row r="31" spans="1:33" s="968" customFormat="1" ht="13.5" customHeight="1" thickBot="1">
      <c r="A31" s="2551" t="s">
        <v>2514</v>
      </c>
      <c r="B31" s="998" t="s">
        <v>2515</v>
      </c>
      <c r="C31" s="999">
        <f ca="1">ROUND(C4*F31/(1+'数据-取费表'!C42),0)</f>
        <v>11453</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179437</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3462</v>
      </c>
      <c r="E1" s="1622"/>
      <c r="F1" s="2575" t="s">
        <v>3546</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55" t="s">
        <v>2651</v>
      </c>
      <c r="Q4" s="3256"/>
      <c r="R4" s="3259" t="s">
        <v>2647</v>
      </c>
      <c r="S4" s="3260"/>
      <c r="T4" s="3259" t="s">
        <v>2648</v>
      </c>
      <c r="U4" s="3260"/>
      <c r="V4" s="3261" t="s">
        <v>2649</v>
      </c>
      <c r="W4" s="3261"/>
      <c r="X4" s="2661"/>
      <c r="Y4" s="3259" t="s">
        <v>2651</v>
      </c>
      <c r="Z4" s="3260"/>
      <c r="AA4" s="3264" t="s">
        <v>2647</v>
      </c>
      <c r="AB4" s="3264" t="s">
        <v>2648</v>
      </c>
      <c r="AC4" s="3252" t="s">
        <v>2649</v>
      </c>
    </row>
    <row r="5" spans="1:29" ht="15">
      <c r="A5" s="397"/>
      <c r="B5" s="398"/>
      <c r="C5" s="3233" t="s">
        <v>2542</v>
      </c>
      <c r="D5" s="3234"/>
      <c r="E5" s="3265" t="s">
        <v>3506</v>
      </c>
      <c r="F5" s="3241"/>
      <c r="G5" s="3262" t="s">
        <v>3520</v>
      </c>
      <c r="H5" s="3234"/>
      <c r="I5" s="3262" t="s">
        <v>3527</v>
      </c>
      <c r="J5" s="3234"/>
      <c r="K5" s="603"/>
      <c r="L5" s="1123"/>
      <c r="M5" s="1124"/>
      <c r="N5" s="1124"/>
      <c r="O5" s="1124"/>
      <c r="P5" s="3257"/>
      <c r="Q5" s="3222"/>
      <c r="R5" s="3227"/>
      <c r="S5" s="3228"/>
      <c r="T5" s="3227"/>
      <c r="U5" s="3228"/>
      <c r="V5" s="3212"/>
      <c r="W5" s="3212"/>
      <c r="X5" s="1805"/>
      <c r="Y5" s="3227"/>
      <c r="Z5" s="3228"/>
      <c r="AA5" s="3214"/>
      <c r="AB5" s="3214"/>
      <c r="AC5" s="3253"/>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58"/>
      <c r="Q6" s="3224"/>
      <c r="R6" s="3227"/>
      <c r="S6" s="3228"/>
      <c r="T6" s="3229"/>
      <c r="U6" s="3230"/>
      <c r="V6" s="3212"/>
      <c r="W6" s="3212"/>
      <c r="X6" s="1805"/>
      <c r="Y6" s="3229"/>
      <c r="Z6" s="3230"/>
      <c r="AA6" s="3215"/>
      <c r="AB6" s="3215"/>
      <c r="AC6" s="3254"/>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63"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2662">
        <f>D7/J7</f>
        <v>1</v>
      </c>
    </row>
    <row r="8" spans="1:29" s="111" customFormat="1" ht="15.75" thickBot="1">
      <c r="A8" s="401" t="s">
        <v>2550</v>
      </c>
      <c r="B8" s="402"/>
      <c r="C8" s="407" t="s">
        <v>2652</v>
      </c>
      <c r="D8" s="404">
        <v>100</v>
      </c>
      <c r="E8" s="2935" t="s">
        <v>3507</v>
      </c>
      <c r="F8" s="406">
        <f>SUMIF(62:62,E8,63:63)-SUMIF(62:62,C8,63:63)+100</f>
        <v>100</v>
      </c>
      <c r="G8" s="2935" t="s">
        <v>3507</v>
      </c>
      <c r="H8" s="404">
        <f>SUMIF(62:62,G8,63:63)-SUMIF(62:62,C8,63:63)+100</f>
        <v>100</v>
      </c>
      <c r="I8" s="2935" t="s">
        <v>3507</v>
      </c>
      <c r="J8" s="404">
        <f>SUMIF(62:62,I8,63:63)-SUMIF(62:62,C8,63:63)+100</f>
        <v>100</v>
      </c>
      <c r="K8" s="604"/>
      <c r="L8" s="1125"/>
      <c r="M8" s="1126"/>
      <c r="N8" s="1126"/>
      <c r="O8" s="1126"/>
      <c r="P8" s="3263" t="s">
        <v>2552</v>
      </c>
      <c r="Q8" s="3236"/>
      <c r="R8" s="763" t="s">
        <v>17</v>
      </c>
      <c r="S8" s="764">
        <f t="shared" si="0"/>
        <v>100</v>
      </c>
      <c r="T8" s="763" t="s">
        <v>17</v>
      </c>
      <c r="U8" s="764">
        <f t="shared" si="1"/>
        <v>100</v>
      </c>
      <c r="V8" s="763" t="s">
        <v>17</v>
      </c>
      <c r="W8" s="764">
        <f t="shared" si="2"/>
        <v>100</v>
      </c>
      <c r="X8" s="765"/>
      <c r="Y8" s="3235" t="s">
        <v>2552</v>
      </c>
      <c r="Z8" s="3236"/>
      <c r="AA8" s="766">
        <f t="shared" ref="AA8:AA47" si="3">D8/F8</f>
        <v>1</v>
      </c>
      <c r="AB8" s="766">
        <f t="shared" ref="AB8:AB47" si="4">D8/H8</f>
        <v>1</v>
      </c>
      <c r="AC8" s="2662">
        <f t="shared" ref="AC8:AC47" si="5">D8/J8</f>
        <v>1</v>
      </c>
    </row>
    <row r="9" spans="1:29" s="111" customFormat="1">
      <c r="A9" s="408" t="s">
        <v>2553</v>
      </c>
      <c r="B9" s="69" t="s">
        <v>2554</v>
      </c>
      <c r="C9" s="2976" t="s">
        <v>3496</v>
      </c>
      <c r="D9" s="128">
        <v>100</v>
      </c>
      <c r="E9" s="2979" t="s">
        <v>3496</v>
      </c>
      <c r="F9" s="128">
        <f>SUMIF(64:64,E9,65:65)-SUMIF(64:64,C9,65:65)+100</f>
        <v>100</v>
      </c>
      <c r="G9" s="2981" t="s">
        <v>3496</v>
      </c>
      <c r="H9" s="128">
        <f>SUMIF(64:64,G9,65:65)-SUMIF(64:64,C9,65:65)+100</f>
        <v>100</v>
      </c>
      <c r="I9" s="2981" t="s">
        <v>3496</v>
      </c>
      <c r="J9" s="128">
        <f>SUMIF(64:64,I9,65:65)-SUMIF(64:64,C9,65:65)+100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2662">
        <f t="shared" si="5"/>
        <v>1</v>
      </c>
    </row>
    <row r="10" spans="1:29" s="420" customFormat="1" ht="27">
      <c r="A10" s="414"/>
      <c r="B10" s="415" t="s">
        <v>2557</v>
      </c>
      <c r="C10" s="416" t="s">
        <v>3497</v>
      </c>
      <c r="D10" s="129">
        <v>100</v>
      </c>
      <c r="E10" s="416" t="s">
        <v>3497</v>
      </c>
      <c r="F10" s="129">
        <f>SUMIF(66:66,E10,67:67)-SUMIF(66:66,C10,67:67)+100</f>
        <v>100</v>
      </c>
      <c r="G10" s="417" t="s">
        <v>3497</v>
      </c>
      <c r="H10" s="129">
        <f>SUMIF(66:66,G10,67:67)-SUMIF(66:66,C10,67:67)+100</f>
        <v>100</v>
      </c>
      <c r="I10" s="416" t="s">
        <v>3497</v>
      </c>
      <c r="J10" s="129">
        <f>SUMIF(66:66,I10,67:67)-SUMIF(66:66,C10,67:67)+100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100</v>
      </c>
      <c r="X11" s="765"/>
      <c r="Y11" s="3053"/>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6" t="s">
        <v>2560</v>
      </c>
      <c r="Q15" s="1802" t="str">
        <f t="shared" si="6"/>
        <v>办公集聚程度</v>
      </c>
      <c r="R15" s="767" t="s">
        <v>17</v>
      </c>
      <c r="S15" s="768">
        <f t="shared" si="0"/>
        <v>100</v>
      </c>
      <c r="T15" s="767" t="s">
        <v>17</v>
      </c>
      <c r="U15" s="768">
        <f t="shared" si="1"/>
        <v>100</v>
      </c>
      <c r="V15" s="767" t="s">
        <v>17</v>
      </c>
      <c r="W15" s="768">
        <f t="shared" si="2"/>
        <v>100</v>
      </c>
      <c r="X15" s="1805"/>
      <c r="Y15" s="3208"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47"/>
      <c r="Q16" s="1802"/>
      <c r="R16" s="767"/>
      <c r="S16" s="768"/>
      <c r="T16" s="767"/>
      <c r="U16" s="768"/>
      <c r="V16" s="767"/>
      <c r="W16" s="768"/>
      <c r="X16" s="1805"/>
      <c r="Y16" s="3209"/>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47"/>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47"/>
      <c r="Q18" s="1802"/>
      <c r="R18" s="767"/>
      <c r="S18" s="768"/>
      <c r="T18" s="767"/>
      <c r="U18" s="768"/>
      <c r="V18" s="767"/>
      <c r="W18" s="768"/>
      <c r="X18" s="1805"/>
      <c r="Y18" s="3209"/>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3509</v>
      </c>
      <c r="F19" s="448">
        <f>SUMIF(81:81,E20,82:82)-SUMIF(81:81,C20,82:82)+100</f>
        <v>105</v>
      </c>
      <c r="G19" s="2982" t="s">
        <v>3521</v>
      </c>
      <c r="H19" s="443">
        <f>SUMIF(81:81,G20,82:82)-SUMIF(81:81,C20,82:82)+100</f>
        <v>105</v>
      </c>
      <c r="I19" s="2982" t="s">
        <v>3530</v>
      </c>
      <c r="J19" s="443">
        <f>SUMIF(81:81,I20,82:82)-SUMIF(81:81,C20,82:82)+100</f>
        <v>95</v>
      </c>
      <c r="K19" s="607">
        <v>5</v>
      </c>
      <c r="L19" s="1133"/>
      <c r="M19" s="1124"/>
      <c r="N19" s="1124"/>
      <c r="O19" s="1124"/>
      <c r="P19" s="3247"/>
      <c r="Q19" s="1802" t="str">
        <f>B19</f>
        <v>公共配套设施</v>
      </c>
      <c r="R19" s="767" t="s">
        <v>17</v>
      </c>
      <c r="S19" s="768">
        <f>F19</f>
        <v>105</v>
      </c>
      <c r="T19" s="767" t="s">
        <v>17</v>
      </c>
      <c r="U19" s="768">
        <f>H19</f>
        <v>105</v>
      </c>
      <c r="V19" s="767" t="s">
        <v>17</v>
      </c>
      <c r="W19" s="768">
        <f>J19</f>
        <v>95</v>
      </c>
      <c r="X19" s="1805"/>
      <c r="Y19" s="3209"/>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3508</v>
      </c>
      <c r="F20" s="441"/>
      <c r="G20" s="2596" t="s">
        <v>3508</v>
      </c>
      <c r="H20" s="441"/>
      <c r="I20" s="2596" t="s">
        <v>3154</v>
      </c>
      <c r="J20" s="441"/>
      <c r="K20" s="608"/>
      <c r="L20" s="1133"/>
      <c r="M20" s="1124"/>
      <c r="N20" s="1124"/>
      <c r="O20" s="1124"/>
      <c r="P20" s="3247"/>
      <c r="Q20" s="1802"/>
      <c r="R20" s="767"/>
      <c r="S20" s="768"/>
      <c r="T20" s="767"/>
      <c r="U20" s="768"/>
      <c r="V20" s="767"/>
      <c r="W20" s="768"/>
      <c r="X20" s="1805"/>
      <c r="Y20" s="3209"/>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3528</v>
      </c>
      <c r="H22" s="441"/>
      <c r="I22" s="2943" t="s">
        <v>3528</v>
      </c>
      <c r="J22" s="441"/>
      <c r="K22" s="1376"/>
      <c r="L22" s="1133"/>
      <c r="M22" s="1124"/>
      <c r="N22" s="1124"/>
      <c r="O22" s="1124"/>
      <c r="P22" s="3247"/>
      <c r="Q22" s="1802"/>
      <c r="R22" s="767"/>
      <c r="S22" s="768"/>
      <c r="T22" s="767"/>
      <c r="U22" s="768"/>
      <c r="V22" s="767"/>
      <c r="W22" s="768"/>
      <c r="X22" s="1805"/>
      <c r="Y22" s="3209"/>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3510</v>
      </c>
      <c r="F23" s="443">
        <f>SUMIF(85:85,E24,86:86)-SUMIF(85:85,C24,86:86)+100</f>
        <v>110</v>
      </c>
      <c r="G23" s="2942" t="s">
        <v>3522</v>
      </c>
      <c r="H23" s="443">
        <f>SUMIF(85:85,G24,86:86)-SUMIF(85:85,C24,86:86)+100</f>
        <v>110</v>
      </c>
      <c r="I23" s="2942" t="s">
        <v>3529</v>
      </c>
      <c r="J23" s="443">
        <f>SUMIF(85:85,I24,86:86)-SUMIF(85:85,C24,86:86)+100</f>
        <v>110</v>
      </c>
      <c r="K23" s="607">
        <v>5</v>
      </c>
      <c r="L23" s="1133"/>
      <c r="M23" s="1124"/>
      <c r="N23" s="1124"/>
      <c r="O23" s="1124"/>
      <c r="P23" s="3247"/>
      <c r="Q23" s="1802" t="str">
        <f>B23</f>
        <v>环境质量</v>
      </c>
      <c r="R23" s="767" t="s">
        <v>17</v>
      </c>
      <c r="S23" s="768">
        <f>F23</f>
        <v>110</v>
      </c>
      <c r="T23" s="767" t="s">
        <v>17</v>
      </c>
      <c r="U23" s="768">
        <f>H23</f>
        <v>110</v>
      </c>
      <c r="V23" s="767" t="s">
        <v>17</v>
      </c>
      <c r="W23" s="768">
        <f>J23</f>
        <v>110</v>
      </c>
      <c r="X23" s="1805"/>
      <c r="Y23" s="3209"/>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47"/>
      <c r="Q24" s="1802"/>
      <c r="R24" s="767"/>
      <c r="S24" s="768"/>
      <c r="T24" s="767"/>
      <c r="U24" s="768"/>
      <c r="V24" s="767"/>
      <c r="W24" s="768"/>
      <c r="X24" s="1805"/>
      <c r="Y24" s="3209"/>
      <c r="Z24" s="1806"/>
      <c r="AA24" s="1803">
        <v>1</v>
      </c>
      <c r="AB24" s="1803">
        <v>1</v>
      </c>
      <c r="AC24" s="2665">
        <v>1</v>
      </c>
    </row>
    <row r="25" spans="1:29" ht="28.5" thickBot="1">
      <c r="A25" s="397"/>
      <c r="B25" s="624" t="s">
        <v>2691</v>
      </c>
      <c r="C25" s="2371" t="s">
        <v>3150</v>
      </c>
      <c r="D25" s="428">
        <v>100</v>
      </c>
      <c r="E25" s="427" t="s">
        <v>3511</v>
      </c>
      <c r="F25" s="428">
        <f>SUMIF(87:87,E26,88:88)-SUMIF(87:87,C26,88:88)+100</f>
        <v>103</v>
      </c>
      <c r="G25" s="2606" t="s">
        <v>3523</v>
      </c>
      <c r="H25" s="428">
        <f>SUMIF(87:87,G26,88:88)-SUMIF(87:87,C26,88:88)+100</f>
        <v>103</v>
      </c>
      <c r="I25" s="2945" t="s">
        <v>3531</v>
      </c>
      <c r="J25" s="428">
        <f>SUMIF(87:87,I26,88:88)-SUMIF(87:87,C26,88:88)+100</f>
        <v>100</v>
      </c>
      <c r="K25" s="607">
        <v>3</v>
      </c>
      <c r="L25" s="1133"/>
      <c r="M25" s="1124"/>
      <c r="N25" s="1124"/>
      <c r="O25" s="1124"/>
      <c r="P25" s="3247"/>
      <c r="Q25" s="1802" t="str">
        <f>B25</f>
        <v>毗邻道路的类型与等级</v>
      </c>
      <c r="R25" s="767" t="s">
        <v>17</v>
      </c>
      <c r="S25" s="768">
        <f>F25</f>
        <v>103</v>
      </c>
      <c r="T25" s="767" t="s">
        <v>17</v>
      </c>
      <c r="U25" s="768">
        <f>H25</f>
        <v>103</v>
      </c>
      <c r="V25" s="767" t="s">
        <v>17</v>
      </c>
      <c r="W25" s="768">
        <f>J25</f>
        <v>100</v>
      </c>
      <c r="X25" s="1805"/>
      <c r="Y25" s="3209"/>
      <c r="Z25" s="1806" t="str">
        <f>Q25</f>
        <v>毗邻道路的类型与等级</v>
      </c>
      <c r="AA25" s="1803">
        <f t="shared" si="3"/>
        <v>0.970873786407767</v>
      </c>
      <c r="AB25" s="1803">
        <f t="shared" si="4"/>
        <v>0.970873786407767</v>
      </c>
      <c r="AC25" s="2665">
        <f t="shared" si="5"/>
        <v>1</v>
      </c>
    </row>
    <row r="26" spans="1:29" ht="15">
      <c r="A26" s="397"/>
      <c r="B26" s="625"/>
      <c r="C26" s="2944" t="s">
        <v>3512</v>
      </c>
      <c r="D26" s="428"/>
      <c r="E26" s="2938" t="s">
        <v>3513</v>
      </c>
      <c r="F26" s="428"/>
      <c r="G26" s="2944" t="s">
        <v>3524</v>
      </c>
      <c r="H26" s="428"/>
      <c r="I26" s="2938" t="s">
        <v>3531</v>
      </c>
      <c r="J26" s="428"/>
      <c r="K26" s="608"/>
      <c r="L26" s="1133"/>
      <c r="M26" s="1124"/>
      <c r="N26" s="1124"/>
      <c r="O26" s="1124"/>
      <c r="P26" s="3247"/>
      <c r="Q26" s="1802"/>
      <c r="R26" s="767"/>
      <c r="S26" s="768"/>
      <c r="T26" s="767"/>
      <c r="U26" s="768"/>
      <c r="V26" s="767"/>
      <c r="W26" s="768"/>
      <c r="X26" s="1805"/>
      <c r="Y26" s="3209"/>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47"/>
      <c r="Q27" s="1802" t="str">
        <f t="shared" ref="Q27:Q47" si="11">B27</f>
        <v>楼层</v>
      </c>
      <c r="R27" s="767" t="s">
        <v>17</v>
      </c>
      <c r="S27" s="768">
        <f>F27</f>
        <v>100</v>
      </c>
      <c r="T27" s="767" t="s">
        <v>17</v>
      </c>
      <c r="U27" s="768">
        <f>H27</f>
        <v>100</v>
      </c>
      <c r="V27" s="767" t="s">
        <v>17</v>
      </c>
      <c r="W27" s="768">
        <f>J27</f>
        <v>100</v>
      </c>
      <c r="X27" s="1805"/>
      <c r="Y27" s="3209"/>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47"/>
      <c r="Q28" s="1787" t="str">
        <f t="shared" si="11"/>
        <v>朝向</v>
      </c>
      <c r="R28" s="763" t="s">
        <v>17</v>
      </c>
      <c r="S28" s="764">
        <f>F28</f>
        <v>100</v>
      </c>
      <c r="T28" s="763" t="s">
        <v>17</v>
      </c>
      <c r="U28" s="764">
        <f>H28</f>
        <v>100</v>
      </c>
      <c r="V28" s="763" t="s">
        <v>17</v>
      </c>
      <c r="W28" s="764">
        <f>J28</f>
        <v>100</v>
      </c>
      <c r="X28" s="765"/>
      <c r="Y28" s="3209"/>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47"/>
      <c r="Q29" s="1802">
        <f t="shared" si="11"/>
        <v>111</v>
      </c>
      <c r="R29" s="767" t="s">
        <v>17</v>
      </c>
      <c r="S29" s="768">
        <f t="shared" ref="S29:S47" si="12">F29</f>
        <v>100</v>
      </c>
      <c r="T29" s="767" t="s">
        <v>17</v>
      </c>
      <c r="U29" s="768">
        <f t="shared" ref="U29:U47" si="13">H29</f>
        <v>100</v>
      </c>
      <c r="V29" s="767" t="s">
        <v>17</v>
      </c>
      <c r="W29" s="768">
        <f t="shared" ref="W29:W47" si="14">J29</f>
        <v>100</v>
      </c>
      <c r="X29" s="1805"/>
      <c r="Y29" s="3209"/>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47"/>
      <c r="Q32" s="1802">
        <f t="shared" si="11"/>
        <v>111</v>
      </c>
      <c r="R32" s="767" t="s">
        <v>17</v>
      </c>
      <c r="S32" s="768">
        <f t="shared" si="12"/>
        <v>100</v>
      </c>
      <c r="T32" s="767" t="s">
        <v>17</v>
      </c>
      <c r="U32" s="768">
        <f t="shared" si="13"/>
        <v>100</v>
      </c>
      <c r="V32" s="767" t="s">
        <v>17</v>
      </c>
      <c r="W32" s="768">
        <f t="shared" si="14"/>
        <v>100</v>
      </c>
      <c r="X32" s="1805"/>
      <c r="Y32" s="3209"/>
      <c r="Z32" s="1806">
        <f t="shared" si="15"/>
        <v>111</v>
      </c>
      <c r="AA32" s="1803">
        <f t="shared" si="3"/>
        <v>1</v>
      </c>
      <c r="AB32" s="1803">
        <f t="shared" si="4"/>
        <v>1</v>
      </c>
      <c r="AC32" s="2665">
        <f t="shared" si="5"/>
        <v>1</v>
      </c>
    </row>
    <row r="33" spans="1:29" ht="15">
      <c r="A33" s="433" t="s">
        <v>2563</v>
      </c>
      <c r="B33" s="69" t="s">
        <v>2693</v>
      </c>
      <c r="C33" s="2978" t="s">
        <v>3504</v>
      </c>
      <c r="D33" s="460">
        <v>100</v>
      </c>
      <c r="E33" s="2978" t="s">
        <v>3514</v>
      </c>
      <c r="F33" s="454">
        <f>SUMIF(101:101,E33,102:102)-SUMIF(101:101,C33,102:102)+100</f>
        <v>100</v>
      </c>
      <c r="G33" s="2978" t="s">
        <v>3514</v>
      </c>
      <c r="H33" s="428">
        <f>SUMIF(101:101,G33,102:102)-SUMIF(101:101,C33,102:102)+100</f>
        <v>100</v>
      </c>
      <c r="I33" s="2978" t="s">
        <v>3532</v>
      </c>
      <c r="J33" s="460">
        <f>SUMIF(101:101,I33,102:102)-SUMIF(101:101,C33,102:102)+100</f>
        <v>100</v>
      </c>
      <c r="K33" s="605">
        <v>1</v>
      </c>
      <c r="L33" s="1133"/>
      <c r="M33" s="1124"/>
      <c r="N33" s="1124"/>
      <c r="O33" s="1124"/>
      <c r="P33" s="3248" t="s">
        <v>2565</v>
      </c>
      <c r="Q33" s="1802" t="str">
        <f t="shared" si="11"/>
        <v>建筑类型</v>
      </c>
      <c r="R33" s="767" t="s">
        <v>17</v>
      </c>
      <c r="S33" s="768">
        <f t="shared" si="12"/>
        <v>100</v>
      </c>
      <c r="T33" s="767" t="s">
        <v>17</v>
      </c>
      <c r="U33" s="768">
        <f t="shared" si="13"/>
        <v>100</v>
      </c>
      <c r="V33" s="767" t="s">
        <v>17</v>
      </c>
      <c r="W33" s="768">
        <f t="shared" si="14"/>
        <v>100</v>
      </c>
      <c r="X33" s="1805"/>
      <c r="Y33" s="3211"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49"/>
      <c r="Q34" s="769" t="str">
        <f t="shared" si="11"/>
        <v>项目建筑规模</v>
      </c>
      <c r="R34" s="770" t="s">
        <v>17</v>
      </c>
      <c r="S34" s="771">
        <f t="shared" si="12"/>
        <v>99</v>
      </c>
      <c r="T34" s="770" t="s">
        <v>17</v>
      </c>
      <c r="U34" s="771">
        <f t="shared" si="13"/>
        <v>99</v>
      </c>
      <c r="V34" s="770" t="s">
        <v>17</v>
      </c>
      <c r="W34" s="771">
        <f t="shared" si="14"/>
        <v>104</v>
      </c>
      <c r="X34" s="772"/>
      <c r="Y34" s="3211"/>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3498</v>
      </c>
      <c r="D35" s="428">
        <v>100</v>
      </c>
      <c r="E35" s="2977" t="s">
        <v>3498</v>
      </c>
      <c r="F35" s="454">
        <f>SUMIF(106:106,E35,107:107)-SUMIF(106:106,C35,107:107)+100</f>
        <v>100</v>
      </c>
      <c r="G35" s="2977" t="s">
        <v>3498</v>
      </c>
      <c r="H35" s="428">
        <f>SUMIF(106:106,G35,107:107)-SUMIF(106:106,C35,107:107)+100</f>
        <v>100</v>
      </c>
      <c r="I35" s="2977" t="s">
        <v>3533</v>
      </c>
      <c r="J35" s="428">
        <f>SUMIF(106:106,I35,107:107)-SUMIF(106:106,C35,107:107)+100</f>
        <v>100</v>
      </c>
      <c r="K35" s="605">
        <v>1</v>
      </c>
      <c r="L35" s="1133"/>
      <c r="M35" s="1124"/>
      <c r="N35" s="1124"/>
      <c r="O35" s="1124"/>
      <c r="P35" s="3249"/>
      <c r="Q35" s="1802" t="str">
        <f t="shared" si="11"/>
        <v>建筑结构</v>
      </c>
      <c r="R35" s="767" t="s">
        <v>17</v>
      </c>
      <c r="S35" s="768">
        <f t="shared" si="12"/>
        <v>100</v>
      </c>
      <c r="T35" s="767" t="s">
        <v>17</v>
      </c>
      <c r="U35" s="768">
        <f t="shared" si="13"/>
        <v>100</v>
      </c>
      <c r="V35" s="767" t="s">
        <v>17</v>
      </c>
      <c r="W35" s="768">
        <f t="shared" si="14"/>
        <v>100</v>
      </c>
      <c r="X35" s="1805"/>
      <c r="Y35" s="3211"/>
      <c r="Z35" s="1806" t="str">
        <f t="shared" si="15"/>
        <v>建筑结构</v>
      </c>
      <c r="AA35" s="1803">
        <f t="shared" si="3"/>
        <v>1</v>
      </c>
      <c r="AB35" s="1803">
        <f t="shared" si="4"/>
        <v>1</v>
      </c>
      <c r="AC35" s="2665">
        <f t="shared" si="5"/>
        <v>1</v>
      </c>
    </row>
    <row r="36" spans="1:29" ht="15">
      <c r="A36" s="465"/>
      <c r="B36" s="415" t="s">
        <v>2661</v>
      </c>
      <c r="C36" s="2977" t="s">
        <v>3534</v>
      </c>
      <c r="D36" s="428">
        <v>100</v>
      </c>
      <c r="E36" s="2977" t="s">
        <v>3518</v>
      </c>
      <c r="F36" s="454">
        <f>SUMIF(108:108,E36,109:109)-SUMIF(108:108,C36,109:109)+100</f>
        <v>100</v>
      </c>
      <c r="G36" s="2977" t="s">
        <v>3518</v>
      </c>
      <c r="H36" s="428">
        <f>SUMIF(108:108,G36,109:109)-SUMIF(108:108,C36,109:109)+100</f>
        <v>100</v>
      </c>
      <c r="I36" s="2977" t="s">
        <v>3534</v>
      </c>
      <c r="J36" s="428">
        <f>SUMIF(108:108,I36,109:109)-SUMIF(108:108,C36,109:109)+100</f>
        <v>100</v>
      </c>
      <c r="K36" s="605">
        <v>3</v>
      </c>
      <c r="L36" s="1133"/>
      <c r="M36" s="1124"/>
      <c r="N36" s="1124"/>
      <c r="O36" s="1124"/>
      <c r="P36" s="3249"/>
      <c r="Q36" s="1802" t="str">
        <f t="shared" si="11"/>
        <v>公共部分装修</v>
      </c>
      <c r="R36" s="767" t="s">
        <v>17</v>
      </c>
      <c r="S36" s="768">
        <f t="shared" si="12"/>
        <v>100</v>
      </c>
      <c r="T36" s="767" t="s">
        <v>17</v>
      </c>
      <c r="U36" s="768">
        <f t="shared" si="13"/>
        <v>100</v>
      </c>
      <c r="V36" s="767" t="s">
        <v>17</v>
      </c>
      <c r="W36" s="768">
        <f t="shared" si="14"/>
        <v>100</v>
      </c>
      <c r="X36" s="1805"/>
      <c r="Y36" s="3211"/>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49"/>
      <c r="Q37" s="1802" t="str">
        <f t="shared" si="11"/>
        <v>成新度</v>
      </c>
      <c r="R37" s="767" t="s">
        <v>17</v>
      </c>
      <c r="S37" s="768">
        <f t="shared" si="12"/>
        <v>100</v>
      </c>
      <c r="T37" s="767" t="s">
        <v>17</v>
      </c>
      <c r="U37" s="768">
        <f t="shared" si="13"/>
        <v>100</v>
      </c>
      <c r="V37" s="767" t="s">
        <v>17</v>
      </c>
      <c r="W37" s="768">
        <f t="shared" si="14"/>
        <v>100</v>
      </c>
      <c r="X37" s="1805"/>
      <c r="Y37" s="3211"/>
      <c r="Z37" s="1806" t="str">
        <f t="shared" si="15"/>
        <v>成新度</v>
      </c>
      <c r="AA37" s="1803">
        <f t="shared" si="3"/>
        <v>1</v>
      </c>
      <c r="AB37" s="1803">
        <f t="shared" si="4"/>
        <v>1</v>
      </c>
      <c r="AC37" s="2665">
        <f t="shared" si="5"/>
        <v>1</v>
      </c>
    </row>
    <row r="38" spans="1:29" s="111" customFormat="1" ht="15">
      <c r="A38" s="466"/>
      <c r="B38" s="415" t="s">
        <v>2694</v>
      </c>
      <c r="C38" s="2977" t="s">
        <v>3500</v>
      </c>
      <c r="D38" s="129">
        <v>100</v>
      </c>
      <c r="E38" s="2977" t="s">
        <v>3500</v>
      </c>
      <c r="F38" s="454">
        <f>SUMIF(113:113,E38,114:114)-SUMIF(113:113,C38,114:114)+100</f>
        <v>100</v>
      </c>
      <c r="G38" s="2977" t="s">
        <v>3500</v>
      </c>
      <c r="H38" s="428">
        <f>SUMIF(113:113,G38,114:114)-SUMIF(113:113,C38,114:114)+100</f>
        <v>100</v>
      </c>
      <c r="I38" s="2977" t="s">
        <v>3535</v>
      </c>
      <c r="J38" s="428">
        <f>SUMIF(113:113,I38,114:114)-SUMIF(113:113,C38,114:114)+100</f>
        <v>100</v>
      </c>
      <c r="K38" s="605">
        <v>1</v>
      </c>
      <c r="L38" s="1125"/>
      <c r="M38" s="1126"/>
      <c r="N38" s="1126"/>
      <c r="O38" s="1126"/>
      <c r="P38" s="3249"/>
      <c r="Q38" s="1787" t="str">
        <f t="shared" si="11"/>
        <v>写字楼等级</v>
      </c>
      <c r="R38" s="763" t="s">
        <v>17</v>
      </c>
      <c r="S38" s="764">
        <f t="shared" si="12"/>
        <v>100</v>
      </c>
      <c r="T38" s="763" t="s">
        <v>17</v>
      </c>
      <c r="U38" s="764">
        <f t="shared" si="13"/>
        <v>100</v>
      </c>
      <c r="V38" s="763" t="s">
        <v>17</v>
      </c>
      <c r="W38" s="764">
        <f t="shared" si="14"/>
        <v>100</v>
      </c>
      <c r="X38" s="765"/>
      <c r="Y38" s="3211"/>
      <c r="Z38" s="55" t="str">
        <f t="shared" si="15"/>
        <v>写字楼等级</v>
      </c>
      <c r="AA38" s="766">
        <f t="shared" si="3"/>
        <v>1</v>
      </c>
      <c r="AB38" s="766">
        <f t="shared" si="4"/>
        <v>1</v>
      </c>
      <c r="AC38" s="2662">
        <f t="shared" si="5"/>
        <v>1</v>
      </c>
    </row>
    <row r="39" spans="1:29" ht="15">
      <c r="A39" s="465"/>
      <c r="B39" s="415" t="s">
        <v>2695</v>
      </c>
      <c r="C39" s="2977" t="s">
        <v>3501</v>
      </c>
      <c r="D39" s="428">
        <v>100</v>
      </c>
      <c r="E39" s="2977" t="s">
        <v>3515</v>
      </c>
      <c r="F39" s="454">
        <f>SUMIF(115:115,E39,116:116)-SUMIF(115:115,C39,116:116)+100</f>
        <v>100</v>
      </c>
      <c r="G39" s="2977" t="s">
        <v>3515</v>
      </c>
      <c r="H39" s="428">
        <f>SUMIF(115:115,G39,116:116)-SUMIF(115:115,C39,116:116)+100</f>
        <v>100</v>
      </c>
      <c r="I39" s="2977" t="s">
        <v>3501</v>
      </c>
      <c r="J39" s="428">
        <f>SUMIF(115:115,I39,116:116)-SUMIF(115:115,C39,116:116)+100</f>
        <v>100</v>
      </c>
      <c r="K39" s="605">
        <v>1</v>
      </c>
      <c r="L39" s="1133"/>
      <c r="M39" s="1124"/>
      <c r="N39" s="1124"/>
      <c r="O39" s="1124"/>
      <c r="P39" s="3249" t="s">
        <v>2565</v>
      </c>
      <c r="Q39" s="1802" t="str">
        <f t="shared" si="11"/>
        <v>物业管理</v>
      </c>
      <c r="R39" s="767" t="s">
        <v>17</v>
      </c>
      <c r="S39" s="768">
        <f t="shared" si="12"/>
        <v>100</v>
      </c>
      <c r="T39" s="767" t="s">
        <v>17</v>
      </c>
      <c r="U39" s="768">
        <f t="shared" si="13"/>
        <v>100</v>
      </c>
      <c r="V39" s="767" t="s">
        <v>17</v>
      </c>
      <c r="W39" s="768">
        <f t="shared" si="14"/>
        <v>100</v>
      </c>
      <c r="X39" s="1805"/>
      <c r="Y39" s="3211" t="s">
        <v>2565</v>
      </c>
      <c r="Z39" s="1806" t="str">
        <f t="shared" si="15"/>
        <v>物业管理</v>
      </c>
      <c r="AA39" s="1803">
        <f t="shared" si="3"/>
        <v>1</v>
      </c>
      <c r="AB39" s="1803">
        <f t="shared" si="4"/>
        <v>1</v>
      </c>
      <c r="AC39" s="2665">
        <f t="shared" si="5"/>
        <v>1</v>
      </c>
    </row>
    <row r="40" spans="1:29" ht="15">
      <c r="A40" s="465"/>
      <c r="B40" s="415" t="s">
        <v>2663</v>
      </c>
      <c r="C40" s="2977" t="s">
        <v>3502</v>
      </c>
      <c r="D40" s="428">
        <v>100</v>
      </c>
      <c r="E40" s="2977" t="s">
        <v>3502</v>
      </c>
      <c r="F40" s="454">
        <f>SUMIF(117:117,E40,118:118)-SUMIF(117:117,C40,118:118)+100</f>
        <v>100</v>
      </c>
      <c r="G40" s="2977" t="s">
        <v>3502</v>
      </c>
      <c r="H40" s="428">
        <f>SUMIF(117:117,G40,118:118)-SUMIF(117:117,C40,118:118)+100</f>
        <v>100</v>
      </c>
      <c r="I40" s="2977" t="s">
        <v>3536</v>
      </c>
      <c r="J40" s="428">
        <f>SUMIF(117:117,I40,118:118)-SUMIF(117:117,C40,118:118)+100</f>
        <v>100</v>
      </c>
      <c r="K40" s="605">
        <v>1</v>
      </c>
      <c r="L40" s="1133"/>
      <c r="M40" s="1124"/>
      <c r="N40" s="1124"/>
      <c r="O40" s="1124"/>
      <c r="P40" s="3249"/>
      <c r="Q40" s="1802" t="str">
        <f t="shared" si="11"/>
        <v>市政基础设施</v>
      </c>
      <c r="R40" s="767" t="s">
        <v>17</v>
      </c>
      <c r="S40" s="768">
        <f t="shared" si="12"/>
        <v>100</v>
      </c>
      <c r="T40" s="767" t="s">
        <v>17</v>
      </c>
      <c r="U40" s="768">
        <f t="shared" si="13"/>
        <v>100</v>
      </c>
      <c r="V40" s="767" t="s">
        <v>17</v>
      </c>
      <c r="W40" s="768">
        <f t="shared" si="14"/>
        <v>100</v>
      </c>
      <c r="X40" s="1805"/>
      <c r="Y40" s="3211"/>
      <c r="Z40" s="1806" t="str">
        <f t="shared" si="15"/>
        <v>市政基础设施</v>
      </c>
      <c r="AA40" s="1803">
        <f t="shared" si="3"/>
        <v>1</v>
      </c>
      <c r="AB40" s="1803">
        <f t="shared" si="4"/>
        <v>1</v>
      </c>
      <c r="AC40" s="2665">
        <f t="shared" si="5"/>
        <v>1</v>
      </c>
    </row>
    <row r="41" spans="1:29" ht="15">
      <c r="A41" s="465"/>
      <c r="B41" s="415" t="s">
        <v>2665</v>
      </c>
      <c r="C41" s="609" t="s">
        <v>3503</v>
      </c>
      <c r="D41" s="428">
        <v>100</v>
      </c>
      <c r="E41" s="2938" t="s">
        <v>3516</v>
      </c>
      <c r="F41" s="454">
        <f>SUMIF(119:119,E41,120:120)-SUMIF(119:119,C41,120:120)+100</f>
        <v>85</v>
      </c>
      <c r="G41" s="2938" t="s">
        <v>3516</v>
      </c>
      <c r="H41" s="428">
        <f>SUMIF(119:119,G41,120:120)-SUMIF(119:119,C41,120:120)+100</f>
        <v>85</v>
      </c>
      <c r="I41" s="2938" t="s">
        <v>3537</v>
      </c>
      <c r="J41" s="428">
        <f>SUMIF(119:119,I41,120:120)-SUMIF(119:119,C41,120:120)+100</f>
        <v>85</v>
      </c>
      <c r="K41" s="605">
        <v>15</v>
      </c>
      <c r="L41" s="1133"/>
      <c r="M41" s="1124"/>
      <c r="N41" s="1124"/>
      <c r="O41" s="1124"/>
      <c r="P41" s="3249"/>
      <c r="Q41" s="1802" t="str">
        <f t="shared" si="11"/>
        <v>层高</v>
      </c>
      <c r="R41" s="767" t="s">
        <v>17</v>
      </c>
      <c r="S41" s="768">
        <f t="shared" si="12"/>
        <v>85</v>
      </c>
      <c r="T41" s="767" t="s">
        <v>17</v>
      </c>
      <c r="U41" s="768">
        <f t="shared" si="13"/>
        <v>85</v>
      </c>
      <c r="V41" s="767" t="s">
        <v>17</v>
      </c>
      <c r="W41" s="768">
        <f t="shared" si="14"/>
        <v>85</v>
      </c>
      <c r="X41" s="1805"/>
      <c r="Y41" s="3211"/>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3526</v>
      </c>
      <c r="D42" s="428">
        <v>100</v>
      </c>
      <c r="E42" s="427" t="s">
        <v>3517</v>
      </c>
      <c r="F42" s="454">
        <f>SUMIF(121:121,E42,122:122)-SUMIF(121:121,C42,122:122)+100</f>
        <v>96</v>
      </c>
      <c r="G42" s="427" t="s">
        <v>3525</v>
      </c>
      <c r="H42" s="428">
        <f>SUMIF(121:121,G42,122:122)-SUMIF(121:121,C42,122:122)+100</f>
        <v>98</v>
      </c>
      <c r="I42" s="427">
        <v>150</v>
      </c>
      <c r="J42" s="428">
        <f>SUMIF(121:121,I42,122:122)-SUMIF(121:121,C42,122:122)+100</f>
        <v>96</v>
      </c>
      <c r="K42" s="606"/>
      <c r="L42" s="1131"/>
      <c r="M42" s="1134"/>
      <c r="N42" s="1134"/>
      <c r="O42" s="1134"/>
      <c r="P42" s="3249"/>
      <c r="Q42" s="769" t="str">
        <f t="shared" si="11"/>
        <v>单套建筑面积</v>
      </c>
      <c r="R42" s="770" t="s">
        <v>17</v>
      </c>
      <c r="S42" s="771">
        <f t="shared" si="12"/>
        <v>96</v>
      </c>
      <c r="T42" s="770" t="s">
        <v>17</v>
      </c>
      <c r="U42" s="771">
        <f t="shared" si="13"/>
        <v>98</v>
      </c>
      <c r="V42" s="770" t="s">
        <v>17</v>
      </c>
      <c r="W42" s="771">
        <f t="shared" si="14"/>
        <v>96</v>
      </c>
      <c r="X42" s="772"/>
      <c r="Y42" s="3211"/>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3499</v>
      </c>
      <c r="D43" s="428">
        <v>100</v>
      </c>
      <c r="E43" s="2977" t="s">
        <v>3519</v>
      </c>
      <c r="F43" s="454">
        <f>SUMIF(123:123,E43,124:124)-SUMIF(123:123,C43,124:124)+100</f>
        <v>91</v>
      </c>
      <c r="G43" s="2977" t="s">
        <v>3519</v>
      </c>
      <c r="H43" s="428">
        <f>SUMIF(123:123,G43,124:124)-SUMIF(123:123,C43,124:124)+100</f>
        <v>91</v>
      </c>
      <c r="I43" s="2977" t="s">
        <v>3505</v>
      </c>
      <c r="J43" s="428">
        <f>SUMIF(123:123,I43,124:124)-SUMIF(123:123,C43,124:124)+100</f>
        <v>91</v>
      </c>
      <c r="K43" s="605">
        <v>3</v>
      </c>
      <c r="L43" s="1133"/>
      <c r="M43" s="1124"/>
      <c r="N43" s="1124"/>
      <c r="O43" s="1124"/>
      <c r="P43" s="3249"/>
      <c r="Q43" s="1802" t="str">
        <f t="shared" si="11"/>
        <v>内部装修</v>
      </c>
      <c r="R43" s="767" t="s">
        <v>17</v>
      </c>
      <c r="S43" s="768">
        <f t="shared" si="12"/>
        <v>91</v>
      </c>
      <c r="T43" s="767" t="s">
        <v>17</v>
      </c>
      <c r="U43" s="768">
        <f t="shared" si="13"/>
        <v>91</v>
      </c>
      <c r="V43" s="767" t="s">
        <v>17</v>
      </c>
      <c r="W43" s="768">
        <f t="shared" si="14"/>
        <v>91</v>
      </c>
      <c r="X43" s="1805"/>
      <c r="Y43" s="3211"/>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49"/>
      <c r="Q44" s="1802" t="str">
        <f t="shared" si="11"/>
        <v>内部装修维护情况</v>
      </c>
      <c r="R44" s="767" t="s">
        <v>17</v>
      </c>
      <c r="S44" s="768">
        <f t="shared" si="12"/>
        <v>100</v>
      </c>
      <c r="T44" s="767" t="s">
        <v>17</v>
      </c>
      <c r="U44" s="768">
        <f t="shared" si="13"/>
        <v>100</v>
      </c>
      <c r="V44" s="767" t="s">
        <v>17</v>
      </c>
      <c r="W44" s="768">
        <f t="shared" si="14"/>
        <v>100</v>
      </c>
      <c r="X44" s="1805"/>
      <c r="Y44" s="3211"/>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49"/>
      <c r="Q45" s="1787">
        <f t="shared" si="11"/>
        <v>111</v>
      </c>
      <c r="R45" s="763" t="s">
        <v>17</v>
      </c>
      <c r="S45" s="764">
        <f t="shared" si="12"/>
        <v>100</v>
      </c>
      <c r="T45" s="763" t="s">
        <v>17</v>
      </c>
      <c r="U45" s="764">
        <f t="shared" si="13"/>
        <v>100</v>
      </c>
      <c r="V45" s="763" t="s">
        <v>17</v>
      </c>
      <c r="W45" s="764">
        <f t="shared" si="14"/>
        <v>100</v>
      </c>
      <c r="X45" s="765"/>
      <c r="Y45" s="3211"/>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49"/>
      <c r="Q46" s="1802">
        <f t="shared" si="11"/>
        <v>111</v>
      </c>
      <c r="R46" s="767" t="s">
        <v>17</v>
      </c>
      <c r="S46" s="768">
        <f t="shared" si="12"/>
        <v>100</v>
      </c>
      <c r="T46" s="767" t="s">
        <v>17</v>
      </c>
      <c r="U46" s="768">
        <f t="shared" si="13"/>
        <v>100</v>
      </c>
      <c r="V46" s="767" t="s">
        <v>17</v>
      </c>
      <c r="W46" s="768">
        <f t="shared" si="14"/>
        <v>100</v>
      </c>
      <c r="X46" s="1805"/>
      <c r="Y46" s="3211"/>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0"/>
      <c r="Q47" s="1802">
        <f t="shared" si="11"/>
        <v>111</v>
      </c>
      <c r="R47" s="767" t="s">
        <v>17</v>
      </c>
      <c r="S47" s="768">
        <f t="shared" si="12"/>
        <v>100</v>
      </c>
      <c r="T47" s="767" t="s">
        <v>17</v>
      </c>
      <c r="U47" s="768">
        <f t="shared" si="13"/>
        <v>100</v>
      </c>
      <c r="V47" s="767" t="s">
        <v>17</v>
      </c>
      <c r="W47" s="768">
        <f t="shared" si="14"/>
        <v>100</v>
      </c>
      <c r="X47" s="1805"/>
      <c r="Y47" s="325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05" t="str">
        <f>A48</f>
        <v>成交单价（元/平方米）</v>
      </c>
      <c r="Q48" s="3206"/>
      <c r="R48" s="3242">
        <f>E48</f>
        <v>25000</v>
      </c>
      <c r="S48" s="3242"/>
      <c r="T48" s="3242">
        <f>G48</f>
        <v>27758</v>
      </c>
      <c r="U48" s="3242"/>
      <c r="V48" s="3242">
        <f>I48</f>
        <v>21883</v>
      </c>
      <c r="W48" s="324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05" t="str">
        <f>A49</f>
        <v>比较价值（元/平方米）</v>
      </c>
      <c r="Q49" s="3206"/>
      <c r="R49" s="3242">
        <f>IF(F1="售价",ROUND(PRODUCT(R48,AA7:AA47),0),ROUND(PRODUCT(R48,AA7:AA47),1))</f>
        <v>28586</v>
      </c>
      <c r="S49" s="3242"/>
      <c r="T49" s="3242">
        <f>IF(F1="售价",ROUND(PRODUCT(T48,AB7:AB47),0),ROUND(PRODUCT(T48,AB7:AB47),1))</f>
        <v>31092</v>
      </c>
      <c r="U49" s="3242"/>
      <c r="V49" s="3242">
        <f>IF(F1="售价",ROUND(PRODUCT(V48,AC7:AC47),0),ROUND(PRODUCT(V48,AC7:AC47),1))</f>
        <v>27116</v>
      </c>
      <c r="W49" s="324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43" t="str">
        <f>A50</f>
        <v>估价对象XX用房的比较价值（楼面单价，元/平方米）</v>
      </c>
      <c r="Q50" s="3244"/>
      <c r="R50" s="3245">
        <f>IF(F1="售价",ROUND(AVERAGE(R49:V49),0),ROUND(AVERAGE(R49:V49),1))</f>
        <v>28931</v>
      </c>
      <c r="S50" s="3245"/>
      <c r="T50" s="3245"/>
      <c r="U50" s="3245"/>
      <c r="V50" s="3245"/>
      <c r="W50" s="324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3538</v>
      </c>
      <c r="D87" s="2952" t="s">
        <v>3539</v>
      </c>
      <c r="E87" s="2952" t="s">
        <v>3540</v>
      </c>
      <c r="F87" s="2952" t="s">
        <v>3541</v>
      </c>
      <c r="G87" s="2952" t="s">
        <v>3531</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3542</v>
      </c>
      <c r="D108" s="2952" t="s">
        <v>3543</v>
      </c>
      <c r="E108" s="2952" t="s">
        <v>3534</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3500</v>
      </c>
      <c r="D113" s="2952" t="s">
        <v>3544</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3545</v>
      </c>
      <c r="D119" s="2975" t="s">
        <v>3537</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3526</v>
      </c>
      <c r="D121" s="427" t="s">
        <v>3517</v>
      </c>
      <c r="E121" s="427" t="s">
        <v>3525</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3542</v>
      </c>
      <c r="D123" s="2952" t="s">
        <v>3543</v>
      </c>
      <c r="E123" s="2952" t="s">
        <v>3534</v>
      </c>
      <c r="F123" s="2975" t="s">
        <v>3505</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3473</v>
      </c>
      <c r="E1" s="2648"/>
      <c r="F1" s="2575" t="s">
        <v>3546</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2" t="s">
        <v>2648</v>
      </c>
      <c r="AC4" s="3213" t="s">
        <v>2649</v>
      </c>
    </row>
    <row r="5" spans="1:29" ht="15">
      <c r="A5" s="397"/>
      <c r="B5" s="398"/>
      <c r="C5" s="3233" t="s">
        <v>2542</v>
      </c>
      <c r="D5" s="3234"/>
      <c r="E5" s="3265" t="s">
        <v>3563</v>
      </c>
      <c r="F5" s="3241"/>
      <c r="G5" s="3262" t="s">
        <v>3569</v>
      </c>
      <c r="H5" s="3234"/>
      <c r="I5" s="3262" t="s">
        <v>3573</v>
      </c>
      <c r="J5" s="3234"/>
      <c r="K5" s="603"/>
      <c r="L5" s="1123"/>
      <c r="M5" s="1124"/>
      <c r="N5" s="1124"/>
      <c r="O5" s="1124"/>
      <c r="P5" s="3221"/>
      <c r="Q5" s="3222"/>
      <c r="R5" s="3227"/>
      <c r="S5" s="3228"/>
      <c r="T5" s="3227"/>
      <c r="U5" s="3228"/>
      <c r="V5" s="3212"/>
      <c r="W5" s="3212"/>
      <c r="X5" s="1805"/>
      <c r="Y5" s="3227"/>
      <c r="Z5" s="3228"/>
      <c r="AA5" s="3214"/>
      <c r="AB5" s="3212"/>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2"/>
      <c r="AC6" s="3215"/>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35"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766">
        <f>D7/J7</f>
        <v>1</v>
      </c>
    </row>
    <row r="8" spans="1:29" s="111" customFormat="1" ht="15.75" thickBot="1">
      <c r="A8" s="401" t="s">
        <v>2550</v>
      </c>
      <c r="B8" s="402"/>
      <c r="C8" s="407" t="s">
        <v>2652</v>
      </c>
      <c r="D8" s="404">
        <v>100</v>
      </c>
      <c r="E8" s="2935" t="s">
        <v>3555</v>
      </c>
      <c r="F8" s="406">
        <f>SUMIF(61:61,E8,62:62)-SUMIF(61:61,C8,62:62)+100</f>
        <v>100</v>
      </c>
      <c r="G8" s="2935" t="s">
        <v>3555</v>
      </c>
      <c r="H8" s="404">
        <f>SUMIF(61:61,G8,62:62)-SUMIF(61:61,C8,62:62)+100</f>
        <v>100</v>
      </c>
      <c r="I8" s="2935" t="s">
        <v>3555</v>
      </c>
      <c r="J8" s="404">
        <f>SUMIF(61:61,I8,62:62)-SUMIF(61:61,C8,62:62)+100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6" si="3">D8/F8</f>
        <v>1</v>
      </c>
      <c r="AB8" s="766">
        <f t="shared" ref="AB8:AB46" si="4">D8/H8</f>
        <v>1</v>
      </c>
      <c r="AC8" s="766">
        <f t="shared" ref="AC8:AC46" si="5">D8/J8</f>
        <v>1</v>
      </c>
    </row>
    <row r="9" spans="1:29" s="111" customFormat="1">
      <c r="A9" s="408" t="s">
        <v>2553</v>
      </c>
      <c r="B9" s="69" t="s">
        <v>2554</v>
      </c>
      <c r="C9" s="2976" t="s">
        <v>3547</v>
      </c>
      <c r="D9" s="128">
        <v>100</v>
      </c>
      <c r="E9" s="2981" t="s">
        <v>3556</v>
      </c>
      <c r="F9" s="411">
        <f>SUMIF(63:63,E9,64:64)-SUMIF(63:63,C9,64:64)+100</f>
        <v>100</v>
      </c>
      <c r="G9" s="2981" t="s">
        <v>3547</v>
      </c>
      <c r="H9" s="128">
        <f>SUMIF(63:63,G9,64:64)-SUMIF(63:63,C9,64:64)+100</f>
        <v>100</v>
      </c>
      <c r="I9" s="2981" t="s">
        <v>3547</v>
      </c>
      <c r="J9" s="128">
        <f>SUMIF(63:63,I9,64:64)-SUMIF(63:63,C9,64:64)+100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t="s">
        <v>3548</v>
      </c>
      <c r="D10" s="129">
        <v>100</v>
      </c>
      <c r="E10" s="417" t="s">
        <v>3548</v>
      </c>
      <c r="F10" s="418">
        <f>SUMIF(65:65,E10,66:66)-SUMIF(65:65,C10,66:66)+100</f>
        <v>100</v>
      </c>
      <c r="G10" s="416" t="s">
        <v>3548</v>
      </c>
      <c r="H10" s="129">
        <f>SUMIF(65:65,G10,66:66)-SUMIF(65:65,C10,66:66)+100</f>
        <v>100</v>
      </c>
      <c r="I10" s="416" t="s">
        <v>3548</v>
      </c>
      <c r="J10" s="129">
        <f>SUMIF(65:65,I10,66:66)-SUMIF(65:65,C10,66:66)+100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99</v>
      </c>
      <c r="X11" s="765"/>
      <c r="Y11" s="3053"/>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6" t="s">
        <v>2560</v>
      </c>
      <c r="Q15" s="1802" t="str">
        <f t="shared" si="6"/>
        <v>商业繁华度</v>
      </c>
      <c r="R15" s="767" t="s">
        <v>17</v>
      </c>
      <c r="S15" s="768">
        <f t="shared" si="0"/>
        <v>100</v>
      </c>
      <c r="T15" s="767" t="s">
        <v>17</v>
      </c>
      <c r="U15" s="768">
        <f t="shared" si="1"/>
        <v>100</v>
      </c>
      <c r="V15" s="767" t="s">
        <v>17</v>
      </c>
      <c r="W15" s="768">
        <f t="shared" si="2"/>
        <v>100</v>
      </c>
      <c r="X15" s="1805"/>
      <c r="Y15" s="3208"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3559</v>
      </c>
      <c r="J16" s="441"/>
      <c r="K16" s="608"/>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47"/>
      <c r="Q17" s="1802" t="str">
        <f>B17</f>
        <v>交通便捷度</v>
      </c>
      <c r="R17" s="767" t="s">
        <v>17</v>
      </c>
      <c r="S17" s="768">
        <f>F17</f>
        <v>98</v>
      </c>
      <c r="T17" s="767" t="s">
        <v>17</v>
      </c>
      <c r="U17" s="768">
        <f>H17</f>
        <v>100</v>
      </c>
      <c r="V17" s="767" t="s">
        <v>17</v>
      </c>
      <c r="W17" s="768">
        <f>J17</f>
        <v>100</v>
      </c>
      <c r="X17" s="1805"/>
      <c r="Y17" s="3209"/>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3558</v>
      </c>
      <c r="J18" s="441"/>
      <c r="K18" s="608"/>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3564</v>
      </c>
      <c r="F19" s="451">
        <f>SUMIF(80:80,E20,81:81)-SUMIF(80:80,C20,81:81)+100</f>
        <v>98</v>
      </c>
      <c r="G19" s="2980" t="s">
        <v>3570</v>
      </c>
      <c r="H19" s="443">
        <f>SUMIF(80:80,G20,81:81)-SUMIF(80:80,C20,81:81)+100</f>
        <v>100</v>
      </c>
      <c r="I19" s="450"/>
      <c r="J19" s="443">
        <f>SUMIF(80:80,I20,81:81)-SUMIF(80:80,C20,81:81)+100</f>
        <v>100</v>
      </c>
      <c r="K19" s="607">
        <v>2</v>
      </c>
      <c r="L19" s="1133"/>
      <c r="M19" s="1124"/>
      <c r="N19" s="1124"/>
      <c r="O19" s="1124"/>
      <c r="P19" s="3247"/>
      <c r="Q19" s="1802" t="str">
        <f>B19</f>
        <v>公共配套设施</v>
      </c>
      <c r="R19" s="767" t="s">
        <v>17</v>
      </c>
      <c r="S19" s="768">
        <f>F19</f>
        <v>98</v>
      </c>
      <c r="T19" s="767" t="s">
        <v>17</v>
      </c>
      <c r="U19" s="768">
        <f>H19</f>
        <v>100</v>
      </c>
      <c r="V19" s="767" t="s">
        <v>17</v>
      </c>
      <c r="W19" s="768">
        <f>J19</f>
        <v>100</v>
      </c>
      <c r="X19" s="1805"/>
      <c r="Y19" s="3209"/>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3558</v>
      </c>
      <c r="J20" s="441"/>
      <c r="K20" s="608"/>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3574</v>
      </c>
      <c r="J22" s="441"/>
      <c r="K22" s="1376"/>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3565</v>
      </c>
      <c r="F23" s="446">
        <f>SUMIF(84:84,E24,85:85)-SUMIF(84:84,C24,85:85)+100</f>
        <v>102</v>
      </c>
      <c r="G23" s="2951" t="s">
        <v>3571</v>
      </c>
      <c r="H23" s="443">
        <f>SUMIF(84:84,G24,85:85)-SUMIF(84:84,C24,85:85)+100</f>
        <v>100</v>
      </c>
      <c r="I23" s="445"/>
      <c r="J23" s="443">
        <f>SUMIF(84:84,I24,85:85)-SUMIF(84:84,C24,85:85)+100</f>
        <v>100</v>
      </c>
      <c r="K23" s="607">
        <v>2</v>
      </c>
      <c r="L23" s="1133"/>
      <c r="M23" s="1124"/>
      <c r="N23" s="1124"/>
      <c r="O23" s="1124"/>
      <c r="P23" s="3247"/>
      <c r="Q23" s="1802" t="str">
        <f>B23</f>
        <v>自然及人文环境</v>
      </c>
      <c r="R23" s="767" t="s">
        <v>17</v>
      </c>
      <c r="S23" s="768">
        <f>F23</f>
        <v>102</v>
      </c>
      <c r="T23" s="767" t="s">
        <v>17</v>
      </c>
      <c r="U23" s="768">
        <f>H23</f>
        <v>100</v>
      </c>
      <c r="V23" s="767" t="s">
        <v>17</v>
      </c>
      <c r="W23" s="768">
        <f>J23</f>
        <v>100</v>
      </c>
      <c r="X23" s="1805"/>
      <c r="Y23" s="3209"/>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3575</v>
      </c>
      <c r="J24" s="441"/>
      <c r="K24" s="608"/>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2656</v>
      </c>
      <c r="C25" s="2938" t="s">
        <v>3557</v>
      </c>
      <c r="D25" s="428">
        <v>100</v>
      </c>
      <c r="E25" s="2938" t="s">
        <v>3566</v>
      </c>
      <c r="F25" s="454">
        <f>SUMIF(86:86,E25,87:87)-SUMIF(86:86,C25,87:87)+100</f>
        <v>100</v>
      </c>
      <c r="G25" s="2938" t="s">
        <v>3572</v>
      </c>
      <c r="H25" s="428">
        <f>SUMIF(86:86,G25,87:87)-SUMIF(86:86,C25,87:87)+100</f>
        <v>100</v>
      </c>
      <c r="I25" s="2938" t="s">
        <v>3572</v>
      </c>
      <c r="J25" s="428">
        <f>SUMIF(86:86,I25,87:87)-SUMIF(86:86,C25,87:87)+100</f>
        <v>100</v>
      </c>
      <c r="K25" s="605">
        <v>2</v>
      </c>
      <c r="L25" s="1133"/>
      <c r="M25" s="1124"/>
      <c r="N25" s="1124"/>
      <c r="O25" s="1124"/>
      <c r="P25" s="3247"/>
      <c r="Q25" s="1802" t="str">
        <f t="shared" ref="Q25:Q46" si="11">B25</f>
        <v>临街状况</v>
      </c>
      <c r="R25" s="767" t="s">
        <v>17</v>
      </c>
      <c r="S25" s="768">
        <f>F25</f>
        <v>100</v>
      </c>
      <c r="T25" s="767" t="s">
        <v>17</v>
      </c>
      <c r="U25" s="768">
        <f>H25</f>
        <v>100</v>
      </c>
      <c r="V25" s="767" t="s">
        <v>17</v>
      </c>
      <c r="W25" s="768">
        <f>J25</f>
        <v>100</v>
      </c>
      <c r="X25" s="1805"/>
      <c r="Y25" s="3209"/>
      <c r="Z25" s="1806" t="str">
        <f>Q25</f>
        <v>临街状况</v>
      </c>
      <c r="AA25" s="1803">
        <f t="shared" si="3"/>
        <v>1</v>
      </c>
      <c r="AB25" s="1803">
        <f t="shared" si="4"/>
        <v>1</v>
      </c>
      <c r="AC25" s="1803">
        <f t="shared" si="5"/>
        <v>1</v>
      </c>
    </row>
    <row r="26" spans="1:29" ht="15">
      <c r="A26" s="421"/>
      <c r="B26" s="1379" t="s">
        <v>2657</v>
      </c>
      <c r="C26" s="2945" t="s">
        <v>3558</v>
      </c>
      <c r="D26" s="428">
        <v>100</v>
      </c>
      <c r="E26" s="2945" t="s">
        <v>3558</v>
      </c>
      <c r="F26" s="454">
        <f>SUMIF(88:88,E26,89:89)-SUMIF(88:88,C26,89:89)+100</f>
        <v>100</v>
      </c>
      <c r="G26" s="2945" t="s">
        <v>3558</v>
      </c>
      <c r="H26" s="428">
        <f>SUMIF(88:88,G26,89:89)-SUMIF(88:88,C26,89:89)+100</f>
        <v>100</v>
      </c>
      <c r="I26" s="2945" t="s">
        <v>3558</v>
      </c>
      <c r="J26" s="428">
        <f>SUMIF(88:88,I26,89:89)-SUMIF(88:88,C26,89:89)+100</f>
        <v>100</v>
      </c>
      <c r="K26" s="606"/>
      <c r="L26" s="1133"/>
      <c r="M26" s="1124"/>
      <c r="N26" s="1124"/>
      <c r="O26" s="1124"/>
      <c r="P26" s="3247"/>
      <c r="Q26" s="1802" t="str">
        <f t="shared" si="11"/>
        <v>平面位置/可视性</v>
      </c>
      <c r="R26" s="767" t="s">
        <v>17</v>
      </c>
      <c r="S26" s="768">
        <f>F26</f>
        <v>100</v>
      </c>
      <c r="T26" s="767" t="s">
        <v>17</v>
      </c>
      <c r="U26" s="768">
        <f>H26</f>
        <v>100</v>
      </c>
      <c r="V26" s="767" t="s">
        <v>17</v>
      </c>
      <c r="W26" s="768">
        <f>J26</f>
        <v>100</v>
      </c>
      <c r="X26" s="1805"/>
      <c r="Y26" s="3209"/>
      <c r="Z26" s="1806" t="str">
        <f>Q26</f>
        <v>平面位置/可视性</v>
      </c>
      <c r="AA26" s="1803">
        <f t="shared" si="3"/>
        <v>1</v>
      </c>
      <c r="AB26" s="1803">
        <f t="shared" si="4"/>
        <v>1</v>
      </c>
      <c r="AC26" s="1803">
        <f t="shared" si="5"/>
        <v>1</v>
      </c>
    </row>
    <row r="27" spans="1:29" s="111" customFormat="1" ht="15">
      <c r="A27" s="424"/>
      <c r="B27" s="444" t="s">
        <v>2658</v>
      </c>
      <c r="C27" s="2984" t="s">
        <v>3559</v>
      </c>
      <c r="D27" s="455">
        <v>100</v>
      </c>
      <c r="E27" s="2984" t="s">
        <v>3559</v>
      </c>
      <c r="F27" s="457">
        <f>SUMIF(90:90,E27,91:91)-SUMIF(90:90,C27,91:91)+100</f>
        <v>100</v>
      </c>
      <c r="G27" s="2984" t="s">
        <v>3559</v>
      </c>
      <c r="H27" s="455">
        <f>SUMIF(90:90,G27,91:91)-SUMIF(90:90,C27,91:91)+100</f>
        <v>100</v>
      </c>
      <c r="I27" s="2984" t="s">
        <v>3559</v>
      </c>
      <c r="J27" s="455">
        <f>SUMIF(90:90,I27,91:91)-SUMIF(90:90,C27,91:91)+100</f>
        <v>100</v>
      </c>
      <c r="K27" s="605">
        <v>2</v>
      </c>
      <c r="L27" s="1125"/>
      <c r="M27" s="1126"/>
      <c r="N27" s="1126"/>
      <c r="O27" s="1126"/>
      <c r="P27" s="3247"/>
      <c r="Q27" s="1787" t="str">
        <f t="shared" si="11"/>
        <v>人流量</v>
      </c>
      <c r="R27" s="763" t="s">
        <v>17</v>
      </c>
      <c r="S27" s="764">
        <f>F27</f>
        <v>100</v>
      </c>
      <c r="T27" s="763" t="s">
        <v>17</v>
      </c>
      <c r="U27" s="764">
        <f>H27</f>
        <v>100</v>
      </c>
      <c r="V27" s="763" t="s">
        <v>17</v>
      </c>
      <c r="W27" s="764">
        <f>J27</f>
        <v>100</v>
      </c>
      <c r="X27" s="765"/>
      <c r="Y27" s="3209"/>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4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09"/>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47"/>
      <c r="Q29" s="1802">
        <f t="shared" si="11"/>
        <v>111</v>
      </c>
      <c r="R29" s="767" t="s">
        <v>17</v>
      </c>
      <c r="S29" s="768">
        <f t="shared" si="12"/>
        <v>100</v>
      </c>
      <c r="T29" s="767" t="s">
        <v>17</v>
      </c>
      <c r="U29" s="768">
        <f t="shared" si="13"/>
        <v>100</v>
      </c>
      <c r="V29" s="767" t="s">
        <v>17</v>
      </c>
      <c r="W29" s="768">
        <f t="shared" si="14"/>
        <v>100</v>
      </c>
      <c r="X29" s="1805"/>
      <c r="Y29" s="3209"/>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1803">
        <f t="shared" si="5"/>
        <v>1</v>
      </c>
    </row>
    <row r="32" spans="1:29" ht="15">
      <c r="A32" s="433" t="s">
        <v>2563</v>
      </c>
      <c r="B32" s="69" t="s">
        <v>2660</v>
      </c>
      <c r="C32" s="2985" t="s">
        <v>3560</v>
      </c>
      <c r="D32" s="460">
        <v>100</v>
      </c>
      <c r="E32" s="2985" t="s">
        <v>3567</v>
      </c>
      <c r="F32" s="454">
        <f>SUMIF(100:100,E32,101:101)-SUMIF(100:100,C32,101:101)+100</f>
        <v>102</v>
      </c>
      <c r="G32" s="2985" t="s">
        <v>3567</v>
      </c>
      <c r="H32" s="428">
        <f>SUMIF(100:100,G32,101:101)-SUMIF(100:100,C32,101:101)+100</f>
        <v>102</v>
      </c>
      <c r="I32" s="2985" t="s">
        <v>3576</v>
      </c>
      <c r="J32" s="460">
        <f>SUMIF(100:100,I32,101:101)-SUMIF(100:100,C32,101:101)+100</f>
        <v>100</v>
      </c>
      <c r="K32" s="605">
        <v>2</v>
      </c>
      <c r="L32" s="1133"/>
      <c r="M32" s="1124"/>
      <c r="N32" s="1124"/>
      <c r="O32" s="1124"/>
      <c r="P32" s="3248" t="s">
        <v>2565</v>
      </c>
      <c r="Q32" s="1802" t="str">
        <f t="shared" si="11"/>
        <v>商业类型</v>
      </c>
      <c r="R32" s="767" t="s">
        <v>17</v>
      </c>
      <c r="S32" s="768">
        <f t="shared" si="12"/>
        <v>102</v>
      </c>
      <c r="T32" s="767" t="s">
        <v>17</v>
      </c>
      <c r="U32" s="768">
        <f t="shared" si="13"/>
        <v>102</v>
      </c>
      <c r="V32" s="767" t="s">
        <v>17</v>
      </c>
      <c r="W32" s="768">
        <f t="shared" si="14"/>
        <v>100</v>
      </c>
      <c r="X32" s="1805"/>
      <c r="Y32" s="3211"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49"/>
      <c r="Q33" s="769" t="str">
        <f t="shared" si="11"/>
        <v>项目建筑规模</v>
      </c>
      <c r="R33" s="770" t="s">
        <v>17</v>
      </c>
      <c r="S33" s="771">
        <f t="shared" si="12"/>
        <v>105</v>
      </c>
      <c r="T33" s="770" t="s">
        <v>17</v>
      </c>
      <c r="U33" s="771">
        <f t="shared" si="13"/>
        <v>99</v>
      </c>
      <c r="V33" s="770" t="s">
        <v>17</v>
      </c>
      <c r="W33" s="771">
        <f t="shared" si="14"/>
        <v>100</v>
      </c>
      <c r="X33" s="772"/>
      <c r="Y33" s="3211"/>
      <c r="Z33" s="773" t="str">
        <f t="shared" si="15"/>
        <v>项目建筑规模</v>
      </c>
      <c r="AA33" s="1803">
        <f t="shared" si="3"/>
        <v>0.95238095238095233</v>
      </c>
      <c r="AB33" s="1803">
        <f t="shared" si="4"/>
        <v>1.0101010101010102</v>
      </c>
      <c r="AC33" s="1803">
        <f t="shared" si="5"/>
        <v>1</v>
      </c>
    </row>
    <row r="34" spans="1:29" ht="15">
      <c r="A34" s="465"/>
      <c r="B34" s="415" t="s">
        <v>2567</v>
      </c>
      <c r="C34" s="2986" t="s">
        <v>3561</v>
      </c>
      <c r="D34" s="428">
        <v>100</v>
      </c>
      <c r="E34" s="2986" t="s">
        <v>3561</v>
      </c>
      <c r="F34" s="454">
        <f>SUMIF(105:105,E34,106:106)-SUMIF(105:105,C34,106:106)+100</f>
        <v>100</v>
      </c>
      <c r="G34" s="2986" t="s">
        <v>3561</v>
      </c>
      <c r="H34" s="428">
        <f>SUMIF(105:105,G34,106:106)-SUMIF(105:105,C34,106:106)+100</f>
        <v>100</v>
      </c>
      <c r="I34" s="2986" t="s">
        <v>3561</v>
      </c>
      <c r="J34" s="428">
        <f>SUMIF(105:105,I34,106:106)-SUMIF(105:105,C34,106:106)+100</f>
        <v>100</v>
      </c>
      <c r="K34" s="605"/>
      <c r="L34" s="1133"/>
      <c r="M34" s="1124"/>
      <c r="N34" s="1124"/>
      <c r="O34" s="1124"/>
      <c r="P34" s="3249"/>
      <c r="Q34" s="1802" t="str">
        <f t="shared" si="11"/>
        <v>建筑结构</v>
      </c>
      <c r="R34" s="767" t="s">
        <v>17</v>
      </c>
      <c r="S34" s="768">
        <f t="shared" si="12"/>
        <v>100</v>
      </c>
      <c r="T34" s="767" t="s">
        <v>17</v>
      </c>
      <c r="U34" s="768">
        <f t="shared" si="13"/>
        <v>100</v>
      </c>
      <c r="V34" s="767" t="s">
        <v>17</v>
      </c>
      <c r="W34" s="768">
        <f t="shared" si="14"/>
        <v>100</v>
      </c>
      <c r="X34" s="1805"/>
      <c r="Y34" s="3211"/>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49"/>
      <c r="Q35" s="1802" t="str">
        <f t="shared" si="11"/>
        <v>公共部分装修</v>
      </c>
      <c r="R35" s="767" t="s">
        <v>17</v>
      </c>
      <c r="S35" s="768">
        <f t="shared" si="12"/>
        <v>100</v>
      </c>
      <c r="T35" s="767" t="s">
        <v>17</v>
      </c>
      <c r="U35" s="768">
        <f t="shared" si="13"/>
        <v>100</v>
      </c>
      <c r="V35" s="767" t="s">
        <v>17</v>
      </c>
      <c r="W35" s="768">
        <f t="shared" si="14"/>
        <v>100</v>
      </c>
      <c r="X35" s="1805"/>
      <c r="Y35" s="3211"/>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49"/>
      <c r="Q36" s="1802" t="str">
        <f t="shared" si="11"/>
        <v>成新度</v>
      </c>
      <c r="R36" s="767" t="s">
        <v>17</v>
      </c>
      <c r="S36" s="768">
        <f t="shared" si="12"/>
        <v>100</v>
      </c>
      <c r="T36" s="767" t="s">
        <v>17</v>
      </c>
      <c r="U36" s="768">
        <f t="shared" si="13"/>
        <v>100</v>
      </c>
      <c r="V36" s="767" t="s">
        <v>17</v>
      </c>
      <c r="W36" s="768">
        <f t="shared" si="14"/>
        <v>100</v>
      </c>
      <c r="X36" s="1805"/>
      <c r="Y36" s="3211"/>
      <c r="Z36" s="1806" t="str">
        <f t="shared" si="15"/>
        <v>成新度</v>
      </c>
      <c r="AA36" s="1803">
        <f t="shared" si="3"/>
        <v>1</v>
      </c>
      <c r="AB36" s="1803">
        <f t="shared" si="4"/>
        <v>1</v>
      </c>
      <c r="AC36" s="1803">
        <f t="shared" si="5"/>
        <v>1</v>
      </c>
    </row>
    <row r="37" spans="1:29" s="111" customFormat="1" ht="15">
      <c r="A37" s="466"/>
      <c r="B37" s="415" t="s">
        <v>2663</v>
      </c>
      <c r="C37" s="2939" t="s">
        <v>3624</v>
      </c>
      <c r="D37" s="129">
        <v>100</v>
      </c>
      <c r="E37" s="2939" t="s">
        <v>3624</v>
      </c>
      <c r="F37" s="454">
        <f>SUMIF(112:112,E37,113:113)-SUMIF(112:112,C37,113:113)+100</f>
        <v>100</v>
      </c>
      <c r="G37" s="2939" t="s">
        <v>3624</v>
      </c>
      <c r="H37" s="428">
        <f>SUMIF(112:112,G37,113:113)-SUMIF(112:112,C37,113:113)+100</f>
        <v>100</v>
      </c>
      <c r="I37" s="2939" t="s">
        <v>3624</v>
      </c>
      <c r="J37" s="428">
        <f>SUMIF(112:112,I37,113:113)-SUMIF(112:112,C37,113:113)+100</f>
        <v>100</v>
      </c>
      <c r="K37" s="605"/>
      <c r="L37" s="1125"/>
      <c r="M37" s="1126"/>
      <c r="N37" s="1126"/>
      <c r="O37" s="1126"/>
      <c r="P37" s="3249"/>
      <c r="Q37" s="1787" t="str">
        <f t="shared" si="11"/>
        <v>市政基础设施</v>
      </c>
      <c r="R37" s="763" t="s">
        <v>17</v>
      </c>
      <c r="S37" s="764">
        <f t="shared" si="12"/>
        <v>100</v>
      </c>
      <c r="T37" s="763" t="s">
        <v>17</v>
      </c>
      <c r="U37" s="764">
        <f t="shared" si="13"/>
        <v>100</v>
      </c>
      <c r="V37" s="763" t="s">
        <v>17</v>
      </c>
      <c r="W37" s="764">
        <f t="shared" si="14"/>
        <v>100</v>
      </c>
      <c r="X37" s="765"/>
      <c r="Y37" s="3211"/>
      <c r="Z37" s="55" t="str">
        <f t="shared" si="15"/>
        <v>市政基础设施</v>
      </c>
      <c r="AA37" s="766">
        <f t="shared" si="3"/>
        <v>1</v>
      </c>
      <c r="AB37" s="766">
        <f t="shared" si="4"/>
        <v>1</v>
      </c>
      <c r="AC37" s="766">
        <f t="shared" si="5"/>
        <v>1</v>
      </c>
    </row>
    <row r="38" spans="1:29" ht="15">
      <c r="A38" s="465"/>
      <c r="B38" s="415" t="s">
        <v>2664</v>
      </c>
      <c r="C38" s="2939" t="s">
        <v>3581</v>
      </c>
      <c r="D38" s="428">
        <v>100</v>
      </c>
      <c r="E38" s="2939" t="s">
        <v>3568</v>
      </c>
      <c r="F38" s="454">
        <f>SUMIF(114:114,E38,115:115)-SUMIF(114:114,C38,115:115)+100</f>
        <v>102</v>
      </c>
      <c r="G38" s="2939" t="s">
        <v>3568</v>
      </c>
      <c r="H38" s="428">
        <f>SUMIF(114:114,G38,115:115)-SUMIF(114:114,C38,115:115)+100</f>
        <v>102</v>
      </c>
      <c r="I38" s="2939" t="s">
        <v>3577</v>
      </c>
      <c r="J38" s="428">
        <f>SUMIF(114:114,I38,115:115)-SUMIF(114:114,C38,115:115)+100</f>
        <v>100</v>
      </c>
      <c r="K38" s="605">
        <v>2</v>
      </c>
      <c r="L38" s="1133"/>
      <c r="M38" s="1124"/>
      <c r="N38" s="1124"/>
      <c r="O38" s="1124"/>
      <c r="P38" s="3249" t="s">
        <v>2565</v>
      </c>
      <c r="Q38" s="1802" t="str">
        <f t="shared" si="11"/>
        <v>业态</v>
      </c>
      <c r="R38" s="767" t="s">
        <v>17</v>
      </c>
      <c r="S38" s="768">
        <f t="shared" si="12"/>
        <v>102</v>
      </c>
      <c r="T38" s="767" t="s">
        <v>17</v>
      </c>
      <c r="U38" s="768">
        <f t="shared" si="13"/>
        <v>102</v>
      </c>
      <c r="V38" s="767" t="s">
        <v>17</v>
      </c>
      <c r="W38" s="768">
        <f t="shared" si="14"/>
        <v>100</v>
      </c>
      <c r="X38" s="1805"/>
      <c r="Y38" s="3211"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49"/>
      <c r="Q39" s="1802" t="str">
        <f t="shared" si="11"/>
        <v>层高</v>
      </c>
      <c r="R39" s="767" t="s">
        <v>17</v>
      </c>
      <c r="S39" s="768">
        <f t="shared" si="12"/>
        <v>100</v>
      </c>
      <c r="T39" s="767" t="s">
        <v>17</v>
      </c>
      <c r="U39" s="768">
        <f t="shared" si="13"/>
        <v>100</v>
      </c>
      <c r="V39" s="767" t="s">
        <v>17</v>
      </c>
      <c r="W39" s="768">
        <f t="shared" si="14"/>
        <v>100</v>
      </c>
      <c r="X39" s="1805"/>
      <c r="Y39" s="3211"/>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49"/>
      <c r="Q40" s="1802" t="str">
        <f t="shared" si="11"/>
        <v>单套建筑面积</v>
      </c>
      <c r="R40" s="767" t="s">
        <v>17</v>
      </c>
      <c r="S40" s="768">
        <f t="shared" si="12"/>
        <v>100</v>
      </c>
      <c r="T40" s="767" t="s">
        <v>17</v>
      </c>
      <c r="U40" s="768">
        <f t="shared" si="13"/>
        <v>100</v>
      </c>
      <c r="V40" s="767" t="s">
        <v>17</v>
      </c>
      <c r="W40" s="768">
        <f t="shared" si="14"/>
        <v>100</v>
      </c>
      <c r="X40" s="1805"/>
      <c r="Y40" s="3211"/>
      <c r="Z40" s="1806" t="str">
        <f t="shared" si="15"/>
        <v>单套建筑面积</v>
      </c>
      <c r="AA40" s="1803">
        <f t="shared" si="3"/>
        <v>1</v>
      </c>
      <c r="AB40" s="1803">
        <f t="shared" si="4"/>
        <v>1</v>
      </c>
      <c r="AC40" s="1803">
        <f t="shared" si="5"/>
        <v>1</v>
      </c>
    </row>
    <row r="41" spans="1:29" s="464" customFormat="1" ht="15">
      <c r="A41" s="461"/>
      <c r="B41" s="1804" t="s">
        <v>2667</v>
      </c>
      <c r="C41" s="2938" t="s">
        <v>3558</v>
      </c>
      <c r="D41" s="428">
        <v>100</v>
      </c>
      <c r="E41" s="2938" t="s">
        <v>3558</v>
      </c>
      <c r="F41" s="454">
        <f>SUMIF(120:120,E41,121:121)-SUMIF(120:120,C41,121:121)+100</f>
        <v>100</v>
      </c>
      <c r="G41" s="2938" t="s">
        <v>3558</v>
      </c>
      <c r="H41" s="428">
        <f>SUMIF(120:120,G41,121:121)-SUMIF(120:120,C41,121:121)+100</f>
        <v>100</v>
      </c>
      <c r="I41" s="2938" t="s">
        <v>3558</v>
      </c>
      <c r="J41" s="428">
        <f>SUMIF(120:120,I41,121:121)-SUMIF(120:120,C41,121:121)+100</f>
        <v>100</v>
      </c>
      <c r="K41" s="605"/>
      <c r="L41" s="1131"/>
      <c r="M41" s="1134"/>
      <c r="N41" s="1134"/>
      <c r="O41" s="1134"/>
      <c r="P41" s="3249"/>
      <c r="Q41" s="769" t="str">
        <f t="shared" si="11"/>
        <v>进深比</v>
      </c>
      <c r="R41" s="770" t="s">
        <v>17</v>
      </c>
      <c r="S41" s="771">
        <f t="shared" si="12"/>
        <v>100</v>
      </c>
      <c r="T41" s="770" t="s">
        <v>17</v>
      </c>
      <c r="U41" s="771">
        <f t="shared" si="13"/>
        <v>100</v>
      </c>
      <c r="V41" s="770" t="s">
        <v>17</v>
      </c>
      <c r="W41" s="771">
        <f t="shared" si="14"/>
        <v>100</v>
      </c>
      <c r="X41" s="772"/>
      <c r="Y41" s="3211"/>
      <c r="Z41" s="773" t="str">
        <f t="shared" si="15"/>
        <v>进深比</v>
      </c>
      <c r="AA41" s="1803">
        <f t="shared" si="3"/>
        <v>1</v>
      </c>
      <c r="AB41" s="1803">
        <f t="shared" si="4"/>
        <v>1</v>
      </c>
      <c r="AC41" s="1803">
        <f t="shared" si="5"/>
        <v>1</v>
      </c>
    </row>
    <row r="42" spans="1:29" ht="15">
      <c r="A42" s="465"/>
      <c r="B42" s="415" t="s">
        <v>2668</v>
      </c>
      <c r="C42" s="2939" t="s">
        <v>3562</v>
      </c>
      <c r="D42" s="428">
        <v>100</v>
      </c>
      <c r="E42" s="2939" t="s">
        <v>3562</v>
      </c>
      <c r="F42" s="454">
        <f>SUMIF(122:122,E42,123:123)-SUMIF(122:122,C42,123:123)+100</f>
        <v>100</v>
      </c>
      <c r="G42" s="2939" t="s">
        <v>3562</v>
      </c>
      <c r="H42" s="428">
        <f>SUMIF(122:122,G42,123:123)-SUMIF(122:122,C42,123:123)+100</f>
        <v>100</v>
      </c>
      <c r="I42" s="2939" t="s">
        <v>3562</v>
      </c>
      <c r="J42" s="428">
        <f>SUMIF(122:122,I42,123:123)-SUMIF(122:122,C42,123:123)+100</f>
        <v>100</v>
      </c>
      <c r="K42" s="605"/>
      <c r="L42" s="1133"/>
      <c r="M42" s="1124"/>
      <c r="N42" s="1124"/>
      <c r="O42" s="1124"/>
      <c r="P42" s="3249"/>
      <c r="Q42" s="1802" t="str">
        <f t="shared" si="11"/>
        <v>内部装修</v>
      </c>
      <c r="R42" s="767" t="s">
        <v>17</v>
      </c>
      <c r="S42" s="768">
        <f t="shared" si="12"/>
        <v>100</v>
      </c>
      <c r="T42" s="767" t="s">
        <v>17</v>
      </c>
      <c r="U42" s="768">
        <f t="shared" si="13"/>
        <v>100</v>
      </c>
      <c r="V42" s="767" t="s">
        <v>17</v>
      </c>
      <c r="W42" s="768">
        <f t="shared" si="14"/>
        <v>100</v>
      </c>
      <c r="X42" s="1805"/>
      <c r="Y42" s="3211"/>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49"/>
      <c r="Q43" s="1802" t="str">
        <f t="shared" si="11"/>
        <v>内部装修维护情况</v>
      </c>
      <c r="R43" s="767" t="s">
        <v>17</v>
      </c>
      <c r="S43" s="768">
        <f t="shared" si="12"/>
        <v>100</v>
      </c>
      <c r="T43" s="767" t="s">
        <v>17</v>
      </c>
      <c r="U43" s="768">
        <f t="shared" si="13"/>
        <v>100</v>
      </c>
      <c r="V43" s="767" t="s">
        <v>17</v>
      </c>
      <c r="W43" s="768">
        <f t="shared" si="14"/>
        <v>100</v>
      </c>
      <c r="X43" s="1805"/>
      <c r="Y43" s="3211"/>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49"/>
      <c r="Q44" s="1787">
        <f t="shared" si="11"/>
        <v>111</v>
      </c>
      <c r="R44" s="763" t="s">
        <v>17</v>
      </c>
      <c r="S44" s="764">
        <f t="shared" si="12"/>
        <v>100</v>
      </c>
      <c r="T44" s="763" t="s">
        <v>17</v>
      </c>
      <c r="U44" s="764">
        <f t="shared" si="13"/>
        <v>100</v>
      </c>
      <c r="V44" s="763" t="s">
        <v>17</v>
      </c>
      <c r="W44" s="764">
        <f t="shared" si="14"/>
        <v>100</v>
      </c>
      <c r="X44" s="765"/>
      <c r="Y44" s="3211"/>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49"/>
      <c r="Q45" s="1802">
        <f t="shared" si="11"/>
        <v>111</v>
      </c>
      <c r="R45" s="767" t="s">
        <v>17</v>
      </c>
      <c r="S45" s="768">
        <f t="shared" si="12"/>
        <v>100</v>
      </c>
      <c r="T45" s="767" t="s">
        <v>17</v>
      </c>
      <c r="U45" s="768">
        <f t="shared" si="13"/>
        <v>100</v>
      </c>
      <c r="V45" s="767" t="s">
        <v>17</v>
      </c>
      <c r="W45" s="768">
        <f t="shared" si="14"/>
        <v>100</v>
      </c>
      <c r="X45" s="1805"/>
      <c r="Y45" s="3211"/>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0"/>
      <c r="Q46" s="1802">
        <f t="shared" si="11"/>
        <v>111</v>
      </c>
      <c r="R46" s="767" t="s">
        <v>17</v>
      </c>
      <c r="S46" s="768">
        <f t="shared" si="12"/>
        <v>100</v>
      </c>
      <c r="T46" s="767" t="s">
        <v>17</v>
      </c>
      <c r="U46" s="768">
        <f t="shared" si="13"/>
        <v>100</v>
      </c>
      <c r="V46" s="767" t="s">
        <v>17</v>
      </c>
      <c r="W46" s="768">
        <f t="shared" si="14"/>
        <v>100</v>
      </c>
      <c r="X46" s="1805"/>
      <c r="Y46" s="325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06" t="str">
        <f>A47</f>
        <v>成交单价（元/平方米）</v>
      </c>
      <c r="Q47" s="3206"/>
      <c r="R47" s="3212">
        <f>E47</f>
        <v>41064</v>
      </c>
      <c r="S47" s="3212"/>
      <c r="T47" s="3212">
        <f>G47</f>
        <v>42795</v>
      </c>
      <c r="U47" s="3212"/>
      <c r="V47" s="3212">
        <f>I47</f>
        <v>35000</v>
      </c>
      <c r="W47" s="3212"/>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06" t="str">
        <f>A48</f>
        <v>比较价值（元/平方米）</v>
      </c>
      <c r="Q48" s="3206"/>
      <c r="R48" s="3242">
        <f>IF(F1="售价",ROUND(PRODUCT(R47,AA7:AA46),0),ROUND(PRODUCT(R47,AA7:AA46),1))</f>
        <v>38372</v>
      </c>
      <c r="S48" s="3242"/>
      <c r="T48" s="3242">
        <f>IF(F1="售价",ROUND(PRODUCT(T47,AB7:AB46),0),ROUND(PRODUCT(T47,AB7:AB46),1))</f>
        <v>41549</v>
      </c>
      <c r="U48" s="3242"/>
      <c r="V48" s="3242">
        <f>IF(F1="售价",ROUND(PRODUCT(V47,AC7:AC46),0),ROUND(PRODUCT(V47,AC7:AC46),1))</f>
        <v>35354</v>
      </c>
      <c r="W48" s="324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00" t="str">
        <f>A49</f>
        <v>估价对象XX用房的比较价值（楼面单价，元/平方米）</v>
      </c>
      <c r="Q49" s="3201"/>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3578</v>
      </c>
      <c r="D100" s="2937" t="s">
        <v>3579</v>
      </c>
      <c r="E100" s="2937" t="s">
        <v>3580</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3568</v>
      </c>
      <c r="D114" s="2952" t="s">
        <v>3582</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3462</v>
      </c>
      <c r="D1" s="1812" t="s">
        <v>3600</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160018</v>
      </c>
      <c r="C2" s="1837" t="s">
        <v>1517</v>
      </c>
      <c r="D2" s="1837"/>
      <c r="E2" s="1838"/>
      <c r="F2" s="1839"/>
      <c r="G2" s="1840"/>
      <c r="H2" s="1832"/>
      <c r="I2" s="1832"/>
      <c r="J2" s="1832"/>
      <c r="K2" s="1833"/>
      <c r="L2" s="1832"/>
      <c r="M2" s="1832"/>
    </row>
    <row r="3" spans="1:37" ht="18" customHeight="1" thickBot="1">
      <c r="A3" s="1841" t="s">
        <v>1518</v>
      </c>
      <c r="B3" s="1842">
        <f ca="1">IF(ISERROR(B2*10000/F43),0,ROUND(B2*10000/F43,0))</f>
        <v>21079</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11222</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3601</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160018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21079</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-175820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160018</v>
      </c>
      <c r="R47" s="1878" t="s">
        <v>1530</v>
      </c>
    </row>
    <row r="48" spans="1:18" s="1834" customFormat="1" ht="28.5" thickBot="1">
      <c r="A48" s="1353" t="s">
        <v>1135</v>
      </c>
      <c r="B48" s="338" t="s">
        <v>1401</v>
      </c>
      <c r="C48" s="1809">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160018</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3231</v>
      </c>
      <c r="K56" s="1879" t="s">
        <v>1556</v>
      </c>
      <c r="L56" s="1882" t="str">
        <f ca="1">IF(L48&lt;J51,"——",L48-J53)</f>
        <v>——</v>
      </c>
      <c r="O56" s="1876" t="s">
        <v>1040</v>
      </c>
      <c r="P56" s="1877" t="s">
        <v>1529</v>
      </c>
      <c r="Q56" s="1878">
        <f ca="1">C40+J29</f>
        <v>160018</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160018</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160018</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-15802</v>
      </c>
      <c r="D68" s="1177" t="s">
        <v>1470</v>
      </c>
      <c r="E68" s="1162" t="s">
        <v>1471</v>
      </c>
      <c r="F68" s="350">
        <f ca="1">F40</f>
        <v>5.5E-2</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-2082</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160018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6"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3467</v>
      </c>
      <c r="D1" s="1812" t="s">
        <v>3600</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14938</v>
      </c>
      <c r="C2" s="1837" t="s">
        <v>1517</v>
      </c>
      <c r="D2" s="1837"/>
      <c r="E2" s="1838"/>
      <c r="F2" s="1839"/>
      <c r="G2" s="1840"/>
      <c r="H2" s="1832"/>
      <c r="I2" s="1832"/>
      <c r="J2" s="1832"/>
      <c r="K2" s="1833"/>
      <c r="L2" s="1832"/>
      <c r="M2" s="1832"/>
    </row>
    <row r="3" spans="1:37" ht="18" customHeight="1" thickBot="1">
      <c r="A3" s="1841" t="s">
        <v>1518</v>
      </c>
      <c r="B3" s="1842">
        <f ca="1">IF(ISERROR(B2*10000/F43),0,ROUND(B2*10000/F43,0))</f>
        <v>19757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1118</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7561.02</v>
      </c>
      <c r="G7" s="1843"/>
      <c r="H7" s="342"/>
      <c r="I7" s="3270"/>
      <c r="J7" s="344"/>
      <c r="K7" s="345"/>
      <c r="L7" s="340" t="s">
        <v>1406</v>
      </c>
      <c r="M7" s="341">
        <f ca="1">F7</f>
        <v>7561.02</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2</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3771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2420</v>
      </c>
      <c r="D14" s="2955" t="s">
        <v>1419</v>
      </c>
      <c r="E14" s="2953"/>
      <c r="F14" s="357"/>
      <c r="G14" s="1843"/>
      <c r="H14" s="1194" t="s">
        <v>1035</v>
      </c>
      <c r="I14" s="340" t="s">
        <v>1420</v>
      </c>
      <c r="J14" s="24">
        <f ca="1">C29</f>
        <v>3771</v>
      </c>
      <c r="K14" s="2960"/>
      <c r="L14" s="972"/>
      <c r="M14" s="973"/>
    </row>
    <row r="15" spans="1:37" s="1850" customFormat="1" ht="18" customHeight="1" thickBot="1">
      <c r="A15" s="1194" t="s">
        <v>1036</v>
      </c>
      <c r="B15" s="340" t="s">
        <v>1421</v>
      </c>
      <c r="C15" s="24">
        <f ca="1">ROUND(C14*F15,0)</f>
        <v>73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v>
      </c>
      <c r="K16" s="1330" t="s">
        <v>1426</v>
      </c>
      <c r="L16" s="2956"/>
      <c r="M16" s="1287"/>
    </row>
    <row r="17" spans="1:37" s="1850" customFormat="1" ht="18" customHeight="1">
      <c r="A17" s="1194" t="s">
        <v>1390</v>
      </c>
      <c r="B17" s="340" t="s">
        <v>1427</v>
      </c>
      <c r="C17" s="24">
        <f ca="1">ROUND(F17*(F43+INDIRECT("'数据-取费表'!S"&amp;$G$1))/10000,0)</f>
        <v>151</v>
      </c>
      <c r="D17" s="340" t="s">
        <v>1428</v>
      </c>
      <c r="E17" s="340" t="s">
        <v>1429</v>
      </c>
      <c r="F17" s="26">
        <f>'数据-取费表'!B35</f>
        <v>200</v>
      </c>
      <c r="G17" s="1846"/>
      <c r="H17" s="1194" t="s">
        <v>1035</v>
      </c>
      <c r="I17" s="340" t="s">
        <v>1430</v>
      </c>
      <c r="J17" s="24">
        <f ca="1">ROUND(IF(项目基本情况!B11="自然人",J5*M17,J18+J19+J20),1)</f>
        <v>32.1</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2680</v>
      </c>
      <c r="D19" s="133" t="s">
        <v>1437</v>
      </c>
      <c r="E19" s="2959"/>
      <c r="F19" s="26"/>
      <c r="G19" s="1843"/>
      <c r="H19" s="1194" t="s">
        <v>1036</v>
      </c>
      <c r="I19" s="340" t="s">
        <v>1438</v>
      </c>
      <c r="J19" s="24">
        <f ca="1">IF(K19="按租金收入计税",ROUND(J5*M19,2),ROUND(C29*M19*0.7,2))</f>
        <v>31.68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54</v>
      </c>
      <c r="D20" s="362" t="s">
        <v>1441</v>
      </c>
      <c r="E20" s="340" t="s">
        <v>1423</v>
      </c>
      <c r="F20" s="360">
        <f>'数据-取费表'!B37</f>
        <v>0.02</v>
      </c>
      <c r="G20" s="1846"/>
      <c r="H20" s="1194" t="s">
        <v>1389</v>
      </c>
      <c r="I20" s="157" t="s">
        <v>1442</v>
      </c>
      <c r="J20" s="25">
        <f ca="1">ROUND(M20*M21/10000,2)</f>
        <v>0.43</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2836.62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56.6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-89</v>
      </c>
      <c r="K25" s="1338" t="s">
        <v>1465</v>
      </c>
      <c r="L25" s="1339"/>
      <c r="M25" s="1340"/>
    </row>
    <row r="26" spans="1:37">
      <c r="A26" s="1194" t="s">
        <v>1034</v>
      </c>
      <c r="B26" s="340" t="s">
        <v>1466</v>
      </c>
      <c r="C26" s="24">
        <f ca="1">ROUND((C19+C20)*F26,0)</f>
        <v>547</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3771</v>
      </c>
      <c r="D29" s="1335"/>
      <c r="E29" s="1333"/>
      <c r="F29" s="1336"/>
      <c r="G29" s="1846"/>
      <c r="H29" s="373" t="s">
        <v>1033</v>
      </c>
      <c r="I29" s="374" t="s">
        <v>1480</v>
      </c>
      <c r="J29" s="375">
        <f ca="1">ROUND(J26/(1+F40)^F41,0)</f>
        <v>0</v>
      </c>
      <c r="K29" s="376" t="s">
        <v>1481</v>
      </c>
      <c r="L29" s="377"/>
      <c r="M29" s="378">
        <f ca="1">INDIRECT("'数据-取费表'!k"&amp;$G$1)</f>
        <v>7561.02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90.8</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58.67</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31.68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0.43</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2836.62</v>
      </c>
      <c r="G35" s="1843"/>
      <c r="H35" s="738"/>
      <c r="I35" s="1852"/>
      <c r="J35" s="1853"/>
      <c r="K35" s="1854"/>
      <c r="L35" s="1851"/>
      <c r="M35" s="1851"/>
    </row>
    <row r="36" spans="1:18" ht="18" customHeight="1">
      <c r="A36" s="1345" t="s">
        <v>1039</v>
      </c>
      <c r="B36" s="340" t="s">
        <v>1450</v>
      </c>
      <c r="C36" s="24">
        <f ca="1">ROUND(C29*F36,1)</f>
        <v>56.6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5.7</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11.2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956</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14938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19757</v>
      </c>
      <c r="D43" s="376" t="s">
        <v>1489</v>
      </c>
      <c r="E43" s="377" t="s">
        <v>1490</v>
      </c>
      <c r="F43" s="378">
        <f ca="1">INDIRECT("'数据-取费表'!k"&amp;$G$1)</f>
        <v>7561.02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-16407</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14938</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3771</v>
      </c>
      <c r="R49" s="1878" t="s">
        <v>1530</v>
      </c>
    </row>
    <row r="50" spans="1:18" s="1834" customFormat="1" ht="13.5" thickBot="1">
      <c r="A50" s="1188"/>
      <c r="B50" s="1191"/>
      <c r="C50" s="1361"/>
      <c r="D50" s="1165"/>
      <c r="E50" s="1270" t="s">
        <v>1406</v>
      </c>
      <c r="F50" s="1271">
        <f ca="1">F7</f>
        <v>7561.02</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10624</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14938</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3771</v>
      </c>
      <c r="D56" s="1906"/>
      <c r="E56" s="1907"/>
      <c r="F56" s="1899"/>
      <c r="I56" s="1908" t="s">
        <v>1555</v>
      </c>
      <c r="J56" s="1909" t="s">
        <v>3231</v>
      </c>
      <c r="K56" s="1879" t="s">
        <v>1556</v>
      </c>
      <c r="L56" s="1882" t="str">
        <f ca="1">IF(L48&lt;J51,"——",L48-J53)</f>
        <v>——</v>
      </c>
      <c r="O56" s="1876" t="s">
        <v>1040</v>
      </c>
      <c r="P56" s="1877" t="s">
        <v>1529</v>
      </c>
      <c r="Q56" s="1878">
        <f ca="1">C40+J29</f>
        <v>14938</v>
      </c>
      <c r="R56" s="1878" t="s">
        <v>1530</v>
      </c>
    </row>
    <row r="57" spans="1:18" s="1834" customFormat="1" ht="24.75" thickBot="1">
      <c r="A57" s="1910"/>
      <c r="B57" s="1162" t="s">
        <v>1479</v>
      </c>
      <c r="C57" s="275">
        <f ca="1">C29</f>
        <v>3771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32.1</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31.68</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0.43</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14938</v>
      </c>
      <c r="R62" s="1878" t="s">
        <v>1047</v>
      </c>
    </row>
    <row r="63" spans="1:18" s="1834" customFormat="1" ht="13.5" thickBot="1">
      <c r="A63" s="365"/>
      <c r="B63" s="1168"/>
      <c r="C63" s="29"/>
      <c r="D63" s="1178"/>
      <c r="E63" s="1162" t="s">
        <v>1448</v>
      </c>
      <c r="F63" s="341">
        <f t="shared" ca="1" si="0"/>
        <v>2836.62</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56.6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5.7</v>
      </c>
      <c r="D65" s="1176" t="s">
        <v>1455</v>
      </c>
      <c r="E65" s="1162" t="s">
        <v>1423</v>
      </c>
      <c r="F65" s="369">
        <f t="shared" ca="1" si="0"/>
        <v>1.5E-3</v>
      </c>
      <c r="I65" s="1921" t="s">
        <v>1580</v>
      </c>
      <c r="J65" s="1922">
        <v>40</v>
      </c>
      <c r="K65" s="1922">
        <v>30</v>
      </c>
      <c r="L65" s="1922">
        <v>50</v>
      </c>
      <c r="M65" s="1924">
        <v>0.02</v>
      </c>
      <c r="O65" s="1876" t="s">
        <v>1040</v>
      </c>
      <c r="P65" s="1877" t="s">
        <v>1529</v>
      </c>
      <c r="Q65" s="1878">
        <f ca="1">C40+J29</f>
        <v>14938</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v>
      </c>
      <c r="D67" s="1175" t="s">
        <v>1465</v>
      </c>
      <c r="E67" s="1180"/>
      <c r="F67" s="1181"/>
      <c r="O67" s="1886" t="s">
        <v>1042</v>
      </c>
      <c r="P67" s="1877" t="s">
        <v>1563</v>
      </c>
      <c r="Q67" s="1925">
        <f ca="1">L51</f>
        <v>10624</v>
      </c>
      <c r="R67" s="1878" t="s">
        <v>1583</v>
      </c>
    </row>
    <row r="68" spans="1:18" s="1834" customFormat="1" ht="16.5" thickBot="1">
      <c r="A68" s="1159" t="s">
        <v>1032</v>
      </c>
      <c r="B68" s="1160" t="s">
        <v>1486</v>
      </c>
      <c r="C68" s="339">
        <f ca="1">ROUND(C67*(1-((1+F70)/(1+F68))^F69)/(F68-F70),0)</f>
        <v>-1469</v>
      </c>
      <c r="D68" s="1177" t="s">
        <v>1470</v>
      </c>
      <c r="E68" s="1162" t="s">
        <v>1471</v>
      </c>
      <c r="F68" s="350">
        <f ca="1">F40</f>
        <v>5.5E-2</v>
      </c>
      <c r="O68" s="1886" t="s">
        <v>1043</v>
      </c>
      <c r="P68" s="1926" t="s">
        <v>1584</v>
      </c>
      <c r="Q68" s="1878">
        <f ca="1">ROUND(Q69-Q70*Q71,0)</f>
        <v>635</v>
      </c>
      <c r="R68" s="1878" t="s">
        <v>1051</v>
      </c>
    </row>
    <row r="69" spans="1:18" s="1834" customFormat="1" ht="13.5" thickBot="1">
      <c r="A69" s="1163"/>
      <c r="B69" s="1164"/>
      <c r="C69" s="344"/>
      <c r="D69" s="1182" t="s">
        <v>1474</v>
      </c>
      <c r="E69" s="1162" t="s">
        <v>1475</v>
      </c>
      <c r="F69" s="372">
        <f ca="1">F41</f>
        <v>36.64</v>
      </c>
      <c r="O69" s="1886" t="s">
        <v>1048</v>
      </c>
      <c r="P69" s="1926" t="s">
        <v>1585</v>
      </c>
      <c r="Q69" s="1878">
        <f ca="1">C39</f>
        <v>956</v>
      </c>
      <c r="R69" s="1878" t="s">
        <v>1530</v>
      </c>
    </row>
    <row r="70" spans="1:18" s="1834" customFormat="1" ht="13.5" thickBot="1">
      <c r="A70" s="1166"/>
      <c r="B70" s="1167"/>
      <c r="C70" s="348"/>
      <c r="D70" s="1178"/>
      <c r="E70" s="1162" t="s">
        <v>1478</v>
      </c>
      <c r="F70" s="1268"/>
      <c r="O70" s="1886" t="s">
        <v>1049</v>
      </c>
      <c r="P70" s="1926" t="s">
        <v>1586</v>
      </c>
      <c r="Q70" s="1878">
        <f ca="1">C13</f>
        <v>3771</v>
      </c>
      <c r="R70" s="1878" t="s">
        <v>1530</v>
      </c>
    </row>
    <row r="71" spans="1:18" s="1834" customFormat="1" ht="13.5" thickBot="1">
      <c r="A71" s="1183" t="s">
        <v>1033</v>
      </c>
      <c r="B71" s="1184" t="s">
        <v>1488</v>
      </c>
      <c r="C71" s="375">
        <f ca="1">ROUND(C68*10000/F71,0)</f>
        <v>-1943</v>
      </c>
      <c r="D71" s="1185" t="s">
        <v>1489</v>
      </c>
      <c r="E71" s="1186" t="s">
        <v>1490</v>
      </c>
      <c r="F71" s="378">
        <f ca="1">F43</f>
        <v>7561.02</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v>
      </c>
      <c r="D75" s="1834"/>
      <c r="E75" s="1834"/>
      <c r="F75" s="1834"/>
      <c r="K75" s="1860"/>
      <c r="L75" s="1834"/>
      <c r="O75" s="1876" t="s">
        <v>1046</v>
      </c>
      <c r="P75" s="1877" t="s">
        <v>1550</v>
      </c>
      <c r="Q75" s="1878">
        <f ca="1">Q65+Q66</f>
        <v>14938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0.748</v>
      </c>
    </row>
    <row r="83" spans="2:3">
      <c r="B83" s="310" t="s">
        <v>1515</v>
      </c>
      <c r="C83" s="311">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3468</v>
      </c>
      <c r="D1" s="1812" t="s">
        <v>3600</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10094</v>
      </c>
      <c r="C2" s="1837" t="s">
        <v>1517</v>
      </c>
      <c r="D2" s="1837"/>
      <c r="E2" s="1838"/>
      <c r="F2" s="1839"/>
      <c r="G2" s="1840"/>
      <c r="H2" s="1832"/>
      <c r="I2" s="1832"/>
      <c r="J2" s="1832"/>
      <c r="K2" s="1833"/>
      <c r="L2" s="1832"/>
      <c r="M2" s="1832"/>
    </row>
    <row r="3" spans="1:37" ht="18" customHeight="1" thickBot="1">
      <c r="A3" s="1841" t="s">
        <v>1518</v>
      </c>
      <c r="B3" s="1842">
        <f ca="1">IF(ISERROR(B2*10000/F43),0,ROUND(B2*10000/F43,0))</f>
        <v>19152</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745</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744</v>
      </c>
      <c r="D6" s="157" t="s">
        <v>3036</v>
      </c>
      <c r="E6" s="340" t="s">
        <v>1405</v>
      </c>
      <c r="F6" s="341">
        <f ca="1">INDIRECT("'数据-取费表'!u"&amp;$G$1)</f>
        <v>4.3</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5270.42</v>
      </c>
      <c r="G7" s="1843"/>
      <c r="H7" s="342"/>
      <c r="I7" s="3270"/>
      <c r="J7" s="344"/>
      <c r="K7" s="345"/>
      <c r="L7" s="340" t="s">
        <v>1406</v>
      </c>
      <c r="M7" s="341">
        <f ca="1">F7</f>
        <v>5270.42</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2087</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1318</v>
      </c>
      <c r="D14" s="2998" t="s">
        <v>1419</v>
      </c>
      <c r="E14" s="2997"/>
      <c r="F14" s="357"/>
      <c r="G14" s="1843"/>
      <c r="H14" s="1194" t="s">
        <v>1035</v>
      </c>
      <c r="I14" s="340" t="s">
        <v>1420</v>
      </c>
      <c r="J14" s="24">
        <f ca="1">C29</f>
        <v>2087</v>
      </c>
      <c r="K14" s="2994"/>
      <c r="L14" s="972"/>
      <c r="M14" s="973"/>
    </row>
    <row r="15" spans="1:37" s="1850" customFormat="1" ht="18" customHeight="1" thickBot="1">
      <c r="A15" s="1194" t="s">
        <v>1036</v>
      </c>
      <c r="B15" s="340" t="s">
        <v>1421</v>
      </c>
      <c r="C15" s="24">
        <f ca="1">ROUND(C14*F15,0)</f>
        <v>40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49</v>
      </c>
      <c r="K16" s="1330" t="s">
        <v>1426</v>
      </c>
      <c r="L16" s="3000"/>
      <c r="M16" s="1287"/>
    </row>
    <row r="17" spans="1:37" s="1850" customFormat="1" ht="18" customHeight="1">
      <c r="A17" s="1194" t="s">
        <v>1390</v>
      </c>
      <c r="B17" s="340" t="s">
        <v>1427</v>
      </c>
      <c r="C17" s="24">
        <f ca="1">ROUND(F17*(F43+INDIRECT("'数据-取费表'!S"&amp;$G$1))/10000,0)</f>
        <v>105</v>
      </c>
      <c r="D17" s="340" t="s">
        <v>1428</v>
      </c>
      <c r="E17" s="340" t="s">
        <v>1429</v>
      </c>
      <c r="F17" s="26">
        <f>'数据-取费表'!B35</f>
        <v>200</v>
      </c>
      <c r="G17" s="1846"/>
      <c r="H17" s="1194" t="s">
        <v>1035</v>
      </c>
      <c r="I17" s="340" t="s">
        <v>1430</v>
      </c>
      <c r="J17" s="24">
        <f ca="1">ROUND(IF(项目基本情况!B11="自然人",J5*M17,J18+J19+J20),1)</f>
        <v>17.8</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1483</v>
      </c>
      <c r="D19" s="133" t="s">
        <v>1437</v>
      </c>
      <c r="E19" s="2993"/>
      <c r="F19" s="26"/>
      <c r="G19" s="1843"/>
      <c r="H19" s="1194" t="s">
        <v>1036</v>
      </c>
      <c r="I19" s="340" t="s">
        <v>1438</v>
      </c>
      <c r="J19" s="24">
        <f ca="1">IF(K19="按租金收入计税",ROUND(J5*M19,2),ROUND(C29*M19*0.7,2))</f>
        <v>17.53</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30</v>
      </c>
      <c r="D20" s="362" t="s">
        <v>1441</v>
      </c>
      <c r="E20" s="340" t="s">
        <v>1423</v>
      </c>
      <c r="F20" s="360">
        <f>'数据-取费表'!B37</f>
        <v>0.02</v>
      </c>
      <c r="G20" s="1846"/>
      <c r="H20" s="1194" t="s">
        <v>1389</v>
      </c>
      <c r="I20" s="157" t="s">
        <v>1442</v>
      </c>
      <c r="J20" s="25">
        <f ca="1">ROUND(M20*M21/10000,2)</f>
        <v>0.3</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1977.27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31.3</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109</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-49</v>
      </c>
      <c r="K25" s="1338" t="s">
        <v>1465</v>
      </c>
      <c r="L25" s="1339"/>
      <c r="M25" s="1340"/>
    </row>
    <row r="26" spans="1:37">
      <c r="A26" s="1194" t="s">
        <v>1034</v>
      </c>
      <c r="B26" s="340" t="s">
        <v>1466</v>
      </c>
      <c r="C26" s="24">
        <f ca="1">ROUND((C19+C20)*F26,0)</f>
        <v>303</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2087</v>
      </c>
      <c r="D29" s="1335"/>
      <c r="E29" s="1333"/>
      <c r="F29" s="1336"/>
      <c r="G29" s="1846"/>
      <c r="H29" s="373" t="s">
        <v>1033</v>
      </c>
      <c r="I29" s="374" t="s">
        <v>1480</v>
      </c>
      <c r="J29" s="375">
        <f ca="1">ROUND(J26/(1+F40)^F41,0)</f>
        <v>0</v>
      </c>
      <c r="K29" s="376" t="s">
        <v>1481</v>
      </c>
      <c r="L29" s="377"/>
      <c r="M29" s="378">
        <f ca="1">INDIRECT("'数据-取费表'!k"&amp;$G$1)</f>
        <v>5270.42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99</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56.9</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39.020000000000003</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17.53</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1977.27</v>
      </c>
      <c r="G35" s="1843"/>
      <c r="H35" s="738"/>
      <c r="I35" s="1852"/>
      <c r="J35" s="1853"/>
      <c r="K35" s="1854"/>
      <c r="L35" s="1851"/>
      <c r="M35" s="1851"/>
    </row>
    <row r="36" spans="1:18" ht="18" customHeight="1">
      <c r="A36" s="1345" t="s">
        <v>1039</v>
      </c>
      <c r="B36" s="340" t="s">
        <v>1450</v>
      </c>
      <c r="C36" s="24">
        <f ca="1">ROUND(C29*F36,1)</f>
        <v>31.3</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3.1</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7.5</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646</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10094</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19152</v>
      </c>
      <c r="D43" s="376" t="s">
        <v>1489</v>
      </c>
      <c r="E43" s="377" t="s">
        <v>1490</v>
      </c>
      <c r="F43" s="378">
        <f ca="1">INDIRECT("'数据-取费表'!k"&amp;$G$1)</f>
        <v>5270.42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-10907</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10094</v>
      </c>
      <c r="R47" s="1878" t="s">
        <v>1530</v>
      </c>
    </row>
    <row r="48" spans="1:18" s="1834" customFormat="1" ht="28.5" thickBot="1">
      <c r="A48" s="1353" t="s">
        <v>1135</v>
      </c>
      <c r="B48" s="338" t="s">
        <v>1401</v>
      </c>
      <c r="C48" s="2992">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2087</v>
      </c>
      <c r="R49" s="1878" t="s">
        <v>1530</v>
      </c>
    </row>
    <row r="50" spans="1:18" s="1834" customFormat="1" ht="13.5" thickBot="1">
      <c r="A50" s="1188"/>
      <c r="B50" s="1191"/>
      <c r="C50" s="1361"/>
      <c r="D50" s="1165"/>
      <c r="E50" s="1270" t="s">
        <v>1406</v>
      </c>
      <c r="F50" s="1271">
        <f ca="1">F7</f>
        <v>5270.42</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7834</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10094</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2087</v>
      </c>
      <c r="D56" s="1906"/>
      <c r="E56" s="1907"/>
      <c r="F56" s="1899"/>
      <c r="I56" s="1908" t="s">
        <v>1555</v>
      </c>
      <c r="J56" s="1909" t="s">
        <v>3231</v>
      </c>
      <c r="K56" s="1879" t="s">
        <v>1556</v>
      </c>
      <c r="L56" s="1882" t="str">
        <f ca="1">IF(L48&lt;J51,"——",L48-J53)</f>
        <v>——</v>
      </c>
      <c r="O56" s="1876" t="s">
        <v>1040</v>
      </c>
      <c r="P56" s="1877" t="s">
        <v>1529</v>
      </c>
      <c r="Q56" s="1878">
        <f ca="1">C40+J29</f>
        <v>10094</v>
      </c>
      <c r="R56" s="1878" t="s">
        <v>1530</v>
      </c>
    </row>
    <row r="57" spans="1:18" s="1834" customFormat="1" ht="24.75" thickBot="1">
      <c r="A57" s="1910"/>
      <c r="B57" s="1162" t="s">
        <v>1479</v>
      </c>
      <c r="C57" s="275">
        <f ca="1">C29</f>
        <v>2087</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52</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17.8</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17.53</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10094</v>
      </c>
      <c r="R62" s="1878" t="s">
        <v>1047</v>
      </c>
    </row>
    <row r="63" spans="1:18" s="1834" customFormat="1" ht="13.5" thickBot="1">
      <c r="A63" s="365"/>
      <c r="B63" s="1168"/>
      <c r="C63" s="29"/>
      <c r="D63" s="1178"/>
      <c r="E63" s="1162" t="s">
        <v>1448</v>
      </c>
      <c r="F63" s="341">
        <f t="shared" ca="1" si="0"/>
        <v>1977.27</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31.3</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3.1</v>
      </c>
      <c r="D65" s="1176" t="s">
        <v>1455</v>
      </c>
      <c r="E65" s="1162" t="s">
        <v>1423</v>
      </c>
      <c r="F65" s="369">
        <f t="shared" ca="1" si="0"/>
        <v>1.5E-3</v>
      </c>
      <c r="I65" s="1921" t="s">
        <v>1580</v>
      </c>
      <c r="J65" s="1922">
        <v>40</v>
      </c>
      <c r="K65" s="1922">
        <v>30</v>
      </c>
      <c r="L65" s="1922">
        <v>50</v>
      </c>
      <c r="M65" s="1924">
        <v>0.02</v>
      </c>
      <c r="O65" s="1876" t="s">
        <v>1040</v>
      </c>
      <c r="P65" s="1877" t="s">
        <v>1529</v>
      </c>
      <c r="Q65" s="1878">
        <f ca="1">C40+J29</f>
        <v>10094</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-52</v>
      </c>
      <c r="D67" s="1175" t="s">
        <v>1465</v>
      </c>
      <c r="E67" s="1180"/>
      <c r="F67" s="1181"/>
      <c r="O67" s="1886" t="s">
        <v>1042</v>
      </c>
      <c r="P67" s="1877" t="s">
        <v>1563</v>
      </c>
      <c r="Q67" s="1925">
        <f ca="1">L51</f>
        <v>7834</v>
      </c>
      <c r="R67" s="1878" t="s">
        <v>1583</v>
      </c>
    </row>
    <row r="68" spans="1:18" s="1834" customFormat="1" ht="16.5" thickBot="1">
      <c r="A68" s="1159" t="s">
        <v>1032</v>
      </c>
      <c r="B68" s="1160" t="s">
        <v>1486</v>
      </c>
      <c r="C68" s="339">
        <f ca="1">ROUND(C67*(1-((1+F70)/(1+F68))^F69)/(F68-F70),0)</f>
        <v>-813</v>
      </c>
      <c r="D68" s="1177" t="s">
        <v>1470</v>
      </c>
      <c r="E68" s="1162" t="s">
        <v>1471</v>
      </c>
      <c r="F68" s="350">
        <f ca="1">F40</f>
        <v>5.5E-2</v>
      </c>
      <c r="O68" s="1886" t="s">
        <v>1043</v>
      </c>
      <c r="P68" s="1926" t="s">
        <v>1584</v>
      </c>
      <c r="Q68" s="1878">
        <f ca="1">ROUND(Q69-Q70*Q71,0)</f>
        <v>469</v>
      </c>
      <c r="R68" s="1878" t="s">
        <v>1051</v>
      </c>
    </row>
    <row r="69" spans="1:18" s="1834" customFormat="1" ht="13.5" thickBot="1">
      <c r="A69" s="1163"/>
      <c r="B69" s="1164"/>
      <c r="C69" s="344"/>
      <c r="D69" s="1182" t="s">
        <v>1474</v>
      </c>
      <c r="E69" s="1162" t="s">
        <v>1475</v>
      </c>
      <c r="F69" s="372">
        <f ca="1">F41</f>
        <v>36.64</v>
      </c>
      <c r="O69" s="1886" t="s">
        <v>1048</v>
      </c>
      <c r="P69" s="1926" t="s">
        <v>1585</v>
      </c>
      <c r="Q69" s="1878">
        <f ca="1">C39</f>
        <v>646</v>
      </c>
      <c r="R69" s="1878" t="s">
        <v>1530</v>
      </c>
    </row>
    <row r="70" spans="1:18" s="1834" customFormat="1" ht="13.5" thickBot="1">
      <c r="A70" s="1166"/>
      <c r="B70" s="1167"/>
      <c r="C70" s="348"/>
      <c r="D70" s="1178"/>
      <c r="E70" s="1162" t="s">
        <v>1478</v>
      </c>
      <c r="F70" s="1268"/>
      <c r="O70" s="1886" t="s">
        <v>1049</v>
      </c>
      <c r="P70" s="1926" t="s">
        <v>1586</v>
      </c>
      <c r="Q70" s="1878">
        <f ca="1">C13</f>
        <v>2087</v>
      </c>
      <c r="R70" s="1878" t="s">
        <v>1530</v>
      </c>
    </row>
    <row r="71" spans="1:18" s="1834" customFormat="1" ht="13.5" thickBot="1">
      <c r="A71" s="1183" t="s">
        <v>1033</v>
      </c>
      <c r="B71" s="1184" t="s">
        <v>1488</v>
      </c>
      <c r="C71" s="375">
        <f ca="1">ROUND(C68*10000/F71,0)</f>
        <v>-1543</v>
      </c>
      <c r="D71" s="1185" t="s">
        <v>1489</v>
      </c>
      <c r="E71" s="1186" t="s">
        <v>1490</v>
      </c>
      <c r="F71" s="378">
        <f ca="1">F43</f>
        <v>5270.42</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177</v>
      </c>
      <c r="D75" s="1834"/>
      <c r="E75" s="1834"/>
      <c r="F75" s="1834"/>
      <c r="K75" s="1860"/>
      <c r="L75" s="1834"/>
      <c r="O75" s="1876" t="s">
        <v>1046</v>
      </c>
      <c r="P75" s="1877" t="s">
        <v>1550</v>
      </c>
      <c r="Q75" s="1878">
        <f ca="1">Q65+Q66</f>
        <v>10094</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0.72599999999999998</v>
      </c>
    </row>
    <row r="80" spans="1:18">
      <c r="B80" s="379" t="s">
        <v>1512</v>
      </c>
      <c r="C80" s="311">
        <f ca="1">ROUND(C75/C39,3)</f>
        <v>0.27400000000000002</v>
      </c>
    </row>
    <row r="81" spans="2:3">
      <c r="B81" s="307" t="s">
        <v>1513</v>
      </c>
      <c r="C81" s="275"/>
    </row>
    <row r="82" spans="2:3">
      <c r="B82" s="310" t="s">
        <v>1514</v>
      </c>
      <c r="C82" s="312">
        <f ca="1">1-C83</f>
        <v>0.79300000000000004</v>
      </c>
    </row>
    <row r="83" spans="2:3">
      <c r="B83" s="310" t="s">
        <v>1515</v>
      </c>
      <c r="C83" s="311">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3476</v>
      </c>
      <c r="D1" s="1812" t="s">
        <v>3600</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3231</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t="e">
        <f ca="1">ROUND(C39*(1-((1+F42)/(1+F40))^F41)/(F40-F42),0)</f>
        <v>#DIV/0!</v>
      </c>
      <c r="D40" s="363" t="s">
        <v>1470</v>
      </c>
      <c r="E40" s="340" t="s">
        <v>1471</v>
      </c>
      <c r="F40" s="350">
        <f ca="1">INDIRECT("'数据-取费表'!I"&amp;$G$1)</f>
        <v>0</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1605</v>
      </c>
      <c r="E45" s="1858"/>
      <c r="F45" s="1858"/>
      <c r="O45" s="1861" t="s">
        <v>1520</v>
      </c>
      <c r="P45" s="1831"/>
      <c r="Q45" s="1831"/>
      <c r="R45" s="1831"/>
    </row>
    <row r="46" spans="1:18" s="1834" customFormat="1" ht="13.5" thickBot="1">
      <c r="A46" s="1862" t="s">
        <v>1521</v>
      </c>
      <c r="C46" s="1863" t="e">
        <f ca="1">ROUND(C45/10000,0)</f>
        <v>#DIV/0!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t="e">
        <f ca="1">C40+J29</f>
        <v>#DIV/0!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t="e">
        <f ca="1">C40+J29</f>
        <v>#DIV/0!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t="e">
        <f ca="1">C40+J29</f>
        <v>#DIV/0!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t="e">
        <f ca="1">ROUND(C67*(1-((1+F70)/(1+F68))^F69)/(F68-F70),0)</f>
        <v>#DIV/0!</v>
      </c>
      <c r="D68" s="1177" t="s">
        <v>1470</v>
      </c>
      <c r="E68" s="1162" t="s">
        <v>1471</v>
      </c>
      <c r="F68" s="350">
        <f ca="1">F40</f>
        <v>0</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187936</v>
      </c>
      <c r="C2" s="2557" t="s">
        <v>2519</v>
      </c>
      <c r="D2" s="2558" t="s">
        <v>2520</v>
      </c>
      <c r="E2" s="2559">
        <f>SUM(E6:E13)</f>
        <v>103416.52</v>
      </c>
    </row>
    <row r="3" spans="1:6" ht="15.75">
      <c r="A3" s="2555" t="s">
        <v>1395</v>
      </c>
      <c r="B3" s="2556">
        <f ca="1">ROUND(B2*10000/E2,0)</f>
        <v>18173</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160018</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14938</v>
      </c>
      <c r="C8" s="2557" t="s">
        <v>2519</v>
      </c>
      <c r="D8" s="2560"/>
      <c r="E8" s="2568">
        <f>IF(OR(A8=0,F8="否"),0,'数据-取费表'!K8+'数据-取费表'!S8)</f>
        <v>7561.02</v>
      </c>
      <c r="F8" s="2569" t="s">
        <v>2525</v>
      </c>
    </row>
    <row r="9" spans="1:6">
      <c r="A9" s="2567" t="str">
        <f>'数据-取费表'!AN9</f>
        <v>收益法-商业LOFT（毛坯）</v>
      </c>
      <c r="B9" s="2566">
        <f ca="1">IF(F9="是",'数据-取费表'!AO9,0)</f>
        <v>10094</v>
      </c>
      <c r="C9" s="2557" t="s">
        <v>2519</v>
      </c>
      <c r="D9" s="2560"/>
      <c r="E9" s="2568">
        <f>IF(OR(A9=0,F9="否"),0,'数据-取费表'!K9+'数据-取费表'!S9)</f>
        <v>5270.42</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294" t="s">
        <v>1079</v>
      </c>
      <c r="E2" s="1294" t="s">
        <v>1080</v>
      </c>
      <c r="F2" s="1294" t="s">
        <v>1081</v>
      </c>
      <c r="G2" s="1294" t="s">
        <v>1082</v>
      </c>
      <c r="H2" s="1294" t="s">
        <v>1083</v>
      </c>
      <c r="I2" s="1295" t="s">
        <v>1084</v>
      </c>
    </row>
    <row r="3" spans="1:9">
      <c r="A3" s="3279"/>
      <c r="B3" s="3280" t="s">
        <v>1085</v>
      </c>
      <c r="C3" s="3280"/>
      <c r="D3" s="1296"/>
      <c r="E3" s="1294"/>
      <c r="F3" s="1297"/>
      <c r="G3" s="1297"/>
      <c r="H3" s="1298"/>
      <c r="I3" s="1299">
        <f>ROUND(D3*E3*F3*G3*H3/10000,0)</f>
        <v>0</v>
      </c>
    </row>
    <row r="4" spans="1:9">
      <c r="A4" s="3279"/>
      <c r="B4" s="3280" t="s">
        <v>1086</v>
      </c>
      <c r="C4" s="3280"/>
      <c r="D4" s="1296"/>
      <c r="E4" s="1294"/>
      <c r="F4" s="1297"/>
      <c r="G4" s="1297"/>
      <c r="H4" s="1298"/>
      <c r="I4" s="1299">
        <f t="shared" ref="I4:I9" si="0">ROUND(D4*E4*F4*G4*H4/10000,0)</f>
        <v>0</v>
      </c>
    </row>
    <row r="5" spans="1:9">
      <c r="A5" s="3279"/>
      <c r="B5" s="3280" t="s">
        <v>1087</v>
      </c>
      <c r="C5" s="3280"/>
      <c r="D5" s="1296"/>
      <c r="E5" s="1294"/>
      <c r="F5" s="1297"/>
      <c r="G5" s="1297"/>
      <c r="H5" s="1298"/>
      <c r="I5" s="1299">
        <f t="shared" si="0"/>
        <v>0</v>
      </c>
    </row>
    <row r="6" spans="1:9">
      <c r="A6" s="3279"/>
      <c r="B6" s="3280" t="s">
        <v>1088</v>
      </c>
      <c r="C6" s="3280"/>
      <c r="D6" s="1296"/>
      <c r="E6" s="1294"/>
      <c r="F6" s="1297"/>
      <c r="G6" s="1297"/>
      <c r="H6" s="1298"/>
      <c r="I6" s="1299">
        <f t="shared" si="0"/>
        <v>0</v>
      </c>
    </row>
    <row r="7" spans="1:9">
      <c r="A7" s="3279"/>
      <c r="B7" s="3280" t="s">
        <v>1089</v>
      </c>
      <c r="C7" s="3280"/>
      <c r="D7" s="1296"/>
      <c r="E7" s="1294"/>
      <c r="F7" s="1297"/>
      <c r="G7" s="1297"/>
      <c r="H7" s="1298"/>
      <c r="I7" s="1299">
        <f t="shared" si="0"/>
        <v>0</v>
      </c>
    </row>
    <row r="8" spans="1:9">
      <c r="A8" s="3279"/>
      <c r="B8" s="3280" t="s">
        <v>1090</v>
      </c>
      <c r="C8" s="3280"/>
      <c r="D8" s="1296"/>
      <c r="E8" s="1294"/>
      <c r="F8" s="1297"/>
      <c r="G8" s="1297"/>
      <c r="H8" s="1298"/>
      <c r="I8" s="1299">
        <f t="shared" si="0"/>
        <v>0</v>
      </c>
    </row>
    <row r="9" spans="1:9">
      <c r="A9" s="3279"/>
      <c r="B9" s="3280" t="s">
        <v>1091</v>
      </c>
      <c r="C9" s="3280"/>
      <c r="D9" s="1296"/>
      <c r="E9" s="1294"/>
      <c r="F9" s="1297"/>
      <c r="G9" s="1297"/>
      <c r="H9" s="1298"/>
      <c r="I9" s="1299">
        <f t="shared" si="0"/>
        <v>0</v>
      </c>
    </row>
    <row r="10" spans="1:9">
      <c r="A10" s="3279"/>
      <c r="B10" s="3281" t="s">
        <v>1092</v>
      </c>
      <c r="C10" s="3281"/>
      <c r="D10" s="1300"/>
      <c r="E10" s="1300" t="e">
        <f>ROUND(D1*10000/D10/H9,0)</f>
        <v>#DIV/0!</v>
      </c>
      <c r="F10" s="1301"/>
      <c r="G10" s="1301"/>
      <c r="H10" s="1302"/>
      <c r="I10" s="1303">
        <f>SUM(I3:I9)</f>
        <v>0</v>
      </c>
    </row>
    <row r="11" spans="1:9" ht="14.25">
      <c r="A11" s="3279" t="s">
        <v>1093</v>
      </c>
      <c r="B11" s="3280" t="s">
        <v>1094</v>
      </c>
      <c r="C11" s="3280"/>
      <c r="D11" s="1296" t="s">
        <v>1095</v>
      </c>
      <c r="E11" s="1296" t="s">
        <v>1096</v>
      </c>
      <c r="F11" s="1297" t="s">
        <v>1097</v>
      </c>
      <c r="G11" s="1297" t="s">
        <v>1083</v>
      </c>
      <c r="H11" s="1304" t="s">
        <v>1098</v>
      </c>
      <c r="I11" s="1295" t="s">
        <v>1084</v>
      </c>
    </row>
    <row r="12" spans="1:9">
      <c r="A12" s="3279"/>
      <c r="B12" s="3280" t="s">
        <v>1099</v>
      </c>
      <c r="C12" s="3280"/>
      <c r="D12" s="1296"/>
      <c r="E12" s="1296"/>
      <c r="F12" s="1297"/>
      <c r="G12" s="1298"/>
      <c r="H12" s="1305"/>
      <c r="I12" s="1295">
        <f>ROUND(D12*E12*F12*G12/10000,0)</f>
        <v>0</v>
      </c>
    </row>
    <row r="13" spans="1:9">
      <c r="A13" s="3279"/>
      <c r="B13" s="3280" t="s">
        <v>1100</v>
      </c>
      <c r="C13" s="3280"/>
      <c r="D13" s="1296"/>
      <c r="E13" s="1296"/>
      <c r="F13" s="1297"/>
      <c r="G13" s="1298"/>
      <c r="H13" s="1305"/>
      <c r="I13" s="1295">
        <f>ROUND(D13*E13*F13*G13/10000,0)</f>
        <v>0</v>
      </c>
    </row>
    <row r="14" spans="1:9">
      <c r="A14" s="3279"/>
      <c r="B14" s="3280" t="s">
        <v>1101</v>
      </c>
      <c r="C14" s="3280"/>
      <c r="D14" s="1296"/>
      <c r="E14" s="1296"/>
      <c r="F14" s="1297"/>
      <c r="G14" s="1298"/>
      <c r="H14" s="1305"/>
      <c r="I14" s="1295">
        <f>ROUND(D14*E14*F14*G14/10000,0)</f>
        <v>0</v>
      </c>
    </row>
    <row r="15" spans="1:9">
      <c r="A15" s="3279"/>
      <c r="B15" s="3281" t="s">
        <v>1092</v>
      </c>
      <c r="C15" s="3281"/>
      <c r="D15" s="1300"/>
      <c r="E15" s="1300">
        <f>SUM(E12:E14)</f>
        <v>0</v>
      </c>
      <c r="F15" s="1301"/>
      <c r="G15" s="1298"/>
      <c r="H15" s="1305"/>
      <c r="I15" s="1306">
        <f>SUM(I12:I14)</f>
        <v>0</v>
      </c>
    </row>
    <row r="16" spans="1:9" ht="24">
      <c r="A16" s="3279" t="s">
        <v>1102</v>
      </c>
      <c r="B16" s="3280" t="s">
        <v>1103</v>
      </c>
      <c r="C16" s="3280"/>
      <c r="D16" s="1296" t="s">
        <v>1079</v>
      </c>
      <c r="E16" s="1307" t="s">
        <v>1104</v>
      </c>
      <c r="F16" s="1297" t="s">
        <v>1105</v>
      </c>
      <c r="G16" s="1298" t="s">
        <v>1083</v>
      </c>
      <c r="H16" s="1304" t="s">
        <v>1098</v>
      </c>
      <c r="I16" s="1295" t="s">
        <v>1084</v>
      </c>
    </row>
    <row r="17" spans="1:9" ht="14.25">
      <c r="A17" s="3279"/>
      <c r="B17" s="3280" t="s">
        <v>1106</v>
      </c>
      <c r="C17" s="3280"/>
      <c r="D17" s="1296"/>
      <c r="E17" s="1296"/>
      <c r="F17" s="1297"/>
      <c r="G17" s="1298"/>
      <c r="H17" s="1308"/>
      <c r="I17" s="1309">
        <f>ROUND(D17*E17*F17*G17/10000,0)</f>
        <v>0</v>
      </c>
    </row>
    <row r="18" spans="1:9" ht="14.25">
      <c r="A18" s="3279"/>
      <c r="B18" s="3280" t="s">
        <v>1107</v>
      </c>
      <c r="C18" s="3280"/>
      <c r="D18" s="1296"/>
      <c r="E18" s="1296"/>
      <c r="F18" s="1297"/>
      <c r="G18" s="1298"/>
      <c r="H18" s="1308"/>
      <c r="I18" s="1309">
        <f>ROUND(D18*E18*F18*G18/10000,0)</f>
        <v>0</v>
      </c>
    </row>
    <row r="19" spans="1:9" ht="14.25">
      <c r="A19" s="3279"/>
      <c r="B19" s="3280" t="s">
        <v>1108</v>
      </c>
      <c r="C19" s="3280"/>
      <c r="D19" s="1296"/>
      <c r="E19" s="1296"/>
      <c r="F19" s="1297"/>
      <c r="G19" s="1298"/>
      <c r="H19" s="1308"/>
      <c r="I19" s="1309">
        <f>ROUND(D19*E19*F19*G19/10000,0)</f>
        <v>0</v>
      </c>
    </row>
    <row r="20" spans="1:9">
      <c r="A20" s="3279"/>
      <c r="B20" s="3281" t="s">
        <v>1092</v>
      </c>
      <c r="C20" s="3281"/>
      <c r="D20" s="1300">
        <f>SUM(D17:D19)</f>
        <v>0</v>
      </c>
      <c r="E20" s="1300"/>
      <c r="F20" s="1301"/>
      <c r="G20" s="1298"/>
      <c r="H20" s="1305"/>
      <c r="I20" s="1306">
        <f>SUM(I17:I19)</f>
        <v>0</v>
      </c>
    </row>
    <row r="21" spans="1:9">
      <c r="A21" s="3279"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76">
        <f>C27-C30-C31-C32</f>
        <v>0</v>
      </c>
      <c r="F26" s="3276"/>
      <c r="G26" s="3276"/>
      <c r="H26" s="1729" t="s">
        <v>1340</v>
      </c>
    </row>
    <row r="27" spans="1:9">
      <c r="A27" s="1317">
        <v>1</v>
      </c>
      <c r="B27" s="1318" t="s">
        <v>1118</v>
      </c>
      <c r="C27" s="1318">
        <f>C28+C29</f>
        <v>0</v>
      </c>
      <c r="D27" s="1318"/>
      <c r="E27" s="3277"/>
      <c r="F27" s="3277"/>
      <c r="G27" s="3277"/>
    </row>
    <row r="28" spans="1:9">
      <c r="A28" s="1319" t="s">
        <v>1119</v>
      </c>
      <c r="B28" s="1318" t="s">
        <v>1120</v>
      </c>
      <c r="C28" s="1318"/>
      <c r="D28" s="1318"/>
      <c r="E28" s="3277"/>
      <c r="F28" s="3277"/>
      <c r="G28" s="3277"/>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8"/>
      <c r="F32" s="3278"/>
      <c r="G32" s="3278"/>
    </row>
    <row r="33" spans="1:7" hidden="1">
      <c r="A33" s="3273" t="s">
        <v>1129</v>
      </c>
      <c r="B33" s="3274"/>
      <c r="C33" s="3274"/>
      <c r="D33" s="3275"/>
      <c r="E33" s="3276"/>
      <c r="F33" s="3276"/>
      <c r="G33" s="3276"/>
    </row>
    <row r="34" spans="1:7" hidden="1">
      <c r="A34" s="1321">
        <v>1</v>
      </c>
      <c r="B34" s="1318" t="s">
        <v>1130</v>
      </c>
      <c r="C34" s="1318"/>
      <c r="D34" s="1318"/>
      <c r="E34" s="3277"/>
      <c r="F34" s="3277"/>
      <c r="G34" s="3277"/>
    </row>
    <row r="35" spans="1:7" hidden="1">
      <c r="A35" s="1321">
        <v>2</v>
      </c>
      <c r="B35" s="1318" t="s">
        <v>1131</v>
      </c>
      <c r="C35" s="1318"/>
      <c r="D35" s="1318"/>
      <c r="E35" s="3277"/>
      <c r="F35" s="3277"/>
      <c r="G35" s="3277"/>
    </row>
    <row r="36" spans="1:7" hidden="1">
      <c r="A36" s="1321">
        <v>3</v>
      </c>
      <c r="B36" s="1318" t="s">
        <v>1132</v>
      </c>
      <c r="C36" s="1318"/>
      <c r="D36" s="1318"/>
      <c r="E36" s="3277"/>
      <c r="F36" s="3277"/>
      <c r="G36" s="3277"/>
    </row>
    <row r="37" spans="1:7" hidden="1">
      <c r="A37" s="1321">
        <v>4</v>
      </c>
      <c r="B37" s="1318" t="s">
        <v>1133</v>
      </c>
      <c r="C37" s="1318"/>
      <c r="D37" s="1318"/>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03" t="s">
        <v>2536</v>
      </c>
      <c r="D4" s="3216"/>
      <c r="E4" s="3217" t="s">
        <v>2537</v>
      </c>
      <c r="F4" s="3218"/>
      <c r="G4" s="3203" t="s">
        <v>2538</v>
      </c>
      <c r="H4" s="3216"/>
      <c r="I4" s="3203" t="s">
        <v>2539</v>
      </c>
      <c r="J4" s="3216"/>
      <c r="K4" s="2587" t="s">
        <v>2540</v>
      </c>
      <c r="L4" s="1123"/>
      <c r="M4" s="1124"/>
      <c r="N4" s="1124"/>
      <c r="O4" s="1124"/>
      <c r="P4" s="3219" t="s">
        <v>2541</v>
      </c>
      <c r="Q4" s="3220"/>
      <c r="R4" s="3225" t="s">
        <v>2537</v>
      </c>
      <c r="S4" s="3226"/>
      <c r="T4" s="3225" t="s">
        <v>2538</v>
      </c>
      <c r="U4" s="3226"/>
      <c r="V4" s="3212" t="s">
        <v>2539</v>
      </c>
      <c r="W4" s="3212"/>
      <c r="X4" s="1805"/>
      <c r="Y4" s="3225" t="s">
        <v>2541</v>
      </c>
      <c r="Z4" s="3226"/>
      <c r="AA4" s="3213" t="s">
        <v>2537</v>
      </c>
      <c r="AB4" s="3213" t="s">
        <v>2538</v>
      </c>
      <c r="AC4" s="3213" t="s">
        <v>2539</v>
      </c>
    </row>
    <row r="5" spans="1:29" ht="15">
      <c r="A5" s="397"/>
      <c r="B5" s="398"/>
      <c r="C5" s="3233" t="s">
        <v>2542</v>
      </c>
      <c r="D5" s="3234"/>
      <c r="E5" s="3240" t="s">
        <v>2543</v>
      </c>
      <c r="F5" s="3241"/>
      <c r="G5" s="3233" t="s">
        <v>2544</v>
      </c>
      <c r="H5" s="3234"/>
      <c r="I5" s="3233" t="s">
        <v>2545</v>
      </c>
      <c r="J5" s="3234"/>
      <c r="K5" s="2588"/>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2588"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35" t="s">
        <v>2549</v>
      </c>
      <c r="Q7" s="3237"/>
      <c r="R7" s="763" t="s">
        <v>23</v>
      </c>
      <c r="S7" s="764">
        <f t="shared" ref="S7:S15" si="0">F7</f>
        <v>0</v>
      </c>
      <c r="T7" s="763" t="s">
        <v>23</v>
      </c>
      <c r="U7" s="764">
        <f t="shared" ref="U7:U15" si="1">H7</f>
        <v>0</v>
      </c>
      <c r="V7" s="763" t="s">
        <v>23</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35" t="s">
        <v>2552</v>
      </c>
      <c r="Q8" s="3236"/>
      <c r="R8" s="763" t="s">
        <v>23</v>
      </c>
      <c r="S8" s="764">
        <f t="shared" si="0"/>
        <v>0</v>
      </c>
      <c r="T8" s="763" t="s">
        <v>23</v>
      </c>
      <c r="U8" s="764">
        <f t="shared" si="1"/>
        <v>0</v>
      </c>
      <c r="V8" s="763" t="s">
        <v>23</v>
      </c>
      <c r="W8" s="764">
        <f t="shared" si="2"/>
        <v>0</v>
      </c>
      <c r="X8" s="765"/>
      <c r="Y8" s="3235" t="s">
        <v>2552</v>
      </c>
      <c r="Z8" s="3236"/>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05"/>
      <c r="Q11" s="1787" t="str">
        <f t="shared" si="6"/>
        <v>容积率</v>
      </c>
      <c r="R11" s="763" t="s">
        <v>21</v>
      </c>
      <c r="S11" s="764" t="e">
        <f t="shared" si="0"/>
        <v>#N/A</v>
      </c>
      <c r="T11" s="763" t="s">
        <v>21</v>
      </c>
      <c r="U11" s="764" t="e">
        <f t="shared" si="1"/>
        <v>#N/A</v>
      </c>
      <c r="V11" s="763" t="s">
        <v>21</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05"/>
      <c r="Q12" s="1787">
        <f t="shared" si="6"/>
        <v>111</v>
      </c>
      <c r="R12" s="763" t="s">
        <v>21</v>
      </c>
      <c r="S12" s="764">
        <f t="shared" si="0"/>
        <v>100</v>
      </c>
      <c r="T12" s="763" t="s">
        <v>21</v>
      </c>
      <c r="U12" s="764">
        <f t="shared" si="1"/>
        <v>100</v>
      </c>
      <c r="V12" s="763" t="s">
        <v>21</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05"/>
      <c r="Q13" s="1787">
        <f t="shared" si="6"/>
        <v>111</v>
      </c>
      <c r="R13" s="763" t="s">
        <v>21</v>
      </c>
      <c r="S13" s="764">
        <f t="shared" si="0"/>
        <v>100</v>
      </c>
      <c r="T13" s="763" t="s">
        <v>21</v>
      </c>
      <c r="U13" s="764">
        <f t="shared" si="1"/>
        <v>100</v>
      </c>
      <c r="V13" s="763" t="s">
        <v>21</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05"/>
      <c r="Q14" s="1787">
        <f t="shared" si="6"/>
        <v>111</v>
      </c>
      <c r="R14" s="763" t="s">
        <v>21</v>
      </c>
      <c r="S14" s="764">
        <f t="shared" si="0"/>
        <v>100</v>
      </c>
      <c r="T14" s="763" t="s">
        <v>21</v>
      </c>
      <c r="U14" s="764">
        <f t="shared" si="1"/>
        <v>100</v>
      </c>
      <c r="V14" s="763" t="s">
        <v>21</v>
      </c>
      <c r="W14" s="764">
        <f t="shared" si="2"/>
        <v>100</v>
      </c>
      <c r="X14" s="765"/>
      <c r="Y14" s="3053"/>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6" t="s">
        <v>2560</v>
      </c>
      <c r="Q15" s="1802" t="str">
        <f t="shared" si="6"/>
        <v>居住社区成熟度</v>
      </c>
      <c r="R15" s="767" t="s">
        <v>21</v>
      </c>
      <c r="S15" s="768">
        <f t="shared" si="0"/>
        <v>100</v>
      </c>
      <c r="T15" s="767" t="s">
        <v>21</v>
      </c>
      <c r="U15" s="768">
        <f t="shared" si="1"/>
        <v>100</v>
      </c>
      <c r="V15" s="767" t="s">
        <v>21</v>
      </c>
      <c r="W15" s="768">
        <f t="shared" si="2"/>
        <v>100</v>
      </c>
      <c r="X15" s="1805"/>
      <c r="Y15" s="3208"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47"/>
      <c r="Q17" s="1802" t="str">
        <f>B17</f>
        <v>交通便捷度</v>
      </c>
      <c r="R17" s="767" t="s">
        <v>21</v>
      </c>
      <c r="S17" s="768">
        <f>F17</f>
        <v>100</v>
      </c>
      <c r="T17" s="767" t="s">
        <v>21</v>
      </c>
      <c r="U17" s="768">
        <f>H17</f>
        <v>100</v>
      </c>
      <c r="V17" s="767" t="s">
        <v>21</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47"/>
      <c r="Q19" s="1802" t="str">
        <f>B19</f>
        <v>公共配套设施</v>
      </c>
      <c r="R19" s="767" t="s">
        <v>21</v>
      </c>
      <c r="S19" s="768">
        <f>F19</f>
        <v>100</v>
      </c>
      <c r="T19" s="767" t="s">
        <v>21</v>
      </c>
      <c r="U19" s="768">
        <f>H19</f>
        <v>100</v>
      </c>
      <c r="V19" s="767" t="s">
        <v>21</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47"/>
      <c r="Q23" s="1802" t="str">
        <f>B23</f>
        <v>自然及人文环境</v>
      </c>
      <c r="R23" s="767" t="s">
        <v>21</v>
      </c>
      <c r="S23" s="768">
        <f>F23</f>
        <v>100</v>
      </c>
      <c r="T23" s="767" t="s">
        <v>21</v>
      </c>
      <c r="U23" s="768">
        <f>H23</f>
        <v>100</v>
      </c>
      <c r="V23" s="767" t="s">
        <v>21</v>
      </c>
      <c r="W23" s="768">
        <f>J23</f>
        <v>100</v>
      </c>
      <c r="X23" s="1805"/>
      <c r="Y23" s="3209"/>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4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09"/>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47"/>
      <c r="Q26" s="1802" t="str">
        <f t="shared" si="11"/>
        <v>朝向</v>
      </c>
      <c r="R26" s="767" t="s">
        <v>21</v>
      </c>
      <c r="S26" s="768">
        <f t="shared" si="12"/>
        <v>100</v>
      </c>
      <c r="T26" s="767" t="s">
        <v>21</v>
      </c>
      <c r="U26" s="768">
        <f t="shared" si="13"/>
        <v>100</v>
      </c>
      <c r="V26" s="767" t="s">
        <v>21</v>
      </c>
      <c r="W26" s="768">
        <f t="shared" si="14"/>
        <v>100</v>
      </c>
      <c r="X26" s="1805"/>
      <c r="Y26" s="3209"/>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47"/>
      <c r="Q27" s="1787">
        <f t="shared" si="11"/>
        <v>111</v>
      </c>
      <c r="R27" s="763" t="s">
        <v>21</v>
      </c>
      <c r="S27" s="764">
        <f t="shared" si="12"/>
        <v>100</v>
      </c>
      <c r="T27" s="763" t="s">
        <v>21</v>
      </c>
      <c r="U27" s="764">
        <f t="shared" si="13"/>
        <v>100</v>
      </c>
      <c r="V27" s="763" t="s">
        <v>21</v>
      </c>
      <c r="W27" s="764">
        <f t="shared" si="14"/>
        <v>100</v>
      </c>
      <c r="X27" s="765"/>
      <c r="Y27" s="3209"/>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47"/>
      <c r="Q28" s="1802">
        <f t="shared" si="11"/>
        <v>111</v>
      </c>
      <c r="R28" s="767" t="s">
        <v>21</v>
      </c>
      <c r="S28" s="768">
        <f t="shared" si="12"/>
        <v>100</v>
      </c>
      <c r="T28" s="767" t="s">
        <v>21</v>
      </c>
      <c r="U28" s="768">
        <f t="shared" si="13"/>
        <v>100</v>
      </c>
      <c r="V28" s="767" t="s">
        <v>21</v>
      </c>
      <c r="W28" s="768">
        <f t="shared" si="14"/>
        <v>100</v>
      </c>
      <c r="X28" s="1805"/>
      <c r="Y28" s="3209"/>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47"/>
      <c r="Q29" s="1802">
        <f t="shared" si="11"/>
        <v>111</v>
      </c>
      <c r="R29" s="767" t="s">
        <v>21</v>
      </c>
      <c r="S29" s="768">
        <f t="shared" si="12"/>
        <v>100</v>
      </c>
      <c r="T29" s="767" t="s">
        <v>21</v>
      </c>
      <c r="U29" s="768">
        <f t="shared" si="13"/>
        <v>100</v>
      </c>
      <c r="V29" s="767" t="s">
        <v>21</v>
      </c>
      <c r="W29" s="768">
        <f t="shared" si="14"/>
        <v>100</v>
      </c>
      <c r="X29" s="1805"/>
      <c r="Y29" s="3209"/>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47"/>
      <c r="Q30" s="1802">
        <f t="shared" si="11"/>
        <v>111</v>
      </c>
      <c r="R30" s="767" t="s">
        <v>21</v>
      </c>
      <c r="S30" s="768">
        <f t="shared" si="12"/>
        <v>100</v>
      </c>
      <c r="T30" s="767" t="s">
        <v>21</v>
      </c>
      <c r="U30" s="768">
        <f t="shared" si="13"/>
        <v>100</v>
      </c>
      <c r="V30" s="767" t="s">
        <v>21</v>
      </c>
      <c r="W30" s="768">
        <f t="shared" si="14"/>
        <v>100</v>
      </c>
      <c r="X30" s="1805"/>
      <c r="Y30" s="3209"/>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47"/>
      <c r="Q31" s="1802">
        <f t="shared" si="11"/>
        <v>111</v>
      </c>
      <c r="R31" s="767" t="s">
        <v>21</v>
      </c>
      <c r="S31" s="768">
        <f t="shared" si="12"/>
        <v>100</v>
      </c>
      <c r="T31" s="767" t="s">
        <v>21</v>
      </c>
      <c r="U31" s="768">
        <f t="shared" si="13"/>
        <v>100</v>
      </c>
      <c r="V31" s="767" t="s">
        <v>21</v>
      </c>
      <c r="W31" s="768">
        <f t="shared" si="14"/>
        <v>100</v>
      </c>
      <c r="X31" s="1805"/>
      <c r="Y31" s="3209"/>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48" t="s">
        <v>2565</v>
      </c>
      <c r="Q32" s="1802" t="str">
        <f t="shared" si="11"/>
        <v>建筑类型</v>
      </c>
      <c r="R32" s="767" t="s">
        <v>21</v>
      </c>
      <c r="S32" s="768">
        <f t="shared" si="12"/>
        <v>100</v>
      </c>
      <c r="T32" s="767" t="s">
        <v>21</v>
      </c>
      <c r="U32" s="768">
        <f t="shared" si="13"/>
        <v>100</v>
      </c>
      <c r="V32" s="767" t="s">
        <v>21</v>
      </c>
      <c r="W32" s="768">
        <f t="shared" si="14"/>
        <v>100</v>
      </c>
      <c r="X32" s="1805"/>
      <c r="Y32" s="3211"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49"/>
      <c r="Q33" s="769" t="str">
        <f t="shared" si="11"/>
        <v>项目建筑规模</v>
      </c>
      <c r="R33" s="770" t="s">
        <v>21</v>
      </c>
      <c r="S33" s="771" t="e">
        <f t="shared" si="12"/>
        <v>#N/A</v>
      </c>
      <c r="T33" s="770" t="s">
        <v>21</v>
      </c>
      <c r="U33" s="771" t="e">
        <f t="shared" si="13"/>
        <v>#N/A</v>
      </c>
      <c r="V33" s="770" t="s">
        <v>21</v>
      </c>
      <c r="W33" s="771" t="e">
        <f t="shared" si="14"/>
        <v>#N/A</v>
      </c>
      <c r="X33" s="772"/>
      <c r="Y33" s="3211"/>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49"/>
      <c r="Q34" s="1802" t="str">
        <f t="shared" si="11"/>
        <v>建筑结构</v>
      </c>
      <c r="R34" s="767" t="s">
        <v>21</v>
      </c>
      <c r="S34" s="768">
        <f t="shared" si="12"/>
        <v>100</v>
      </c>
      <c r="T34" s="767" t="s">
        <v>21</v>
      </c>
      <c r="U34" s="768">
        <f t="shared" si="13"/>
        <v>100</v>
      </c>
      <c r="V34" s="767" t="s">
        <v>21</v>
      </c>
      <c r="W34" s="768">
        <f t="shared" si="14"/>
        <v>100</v>
      </c>
      <c r="X34" s="1805"/>
      <c r="Y34" s="3211"/>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49"/>
      <c r="Q35" s="1802" t="str">
        <f t="shared" si="11"/>
        <v>建筑品质</v>
      </c>
      <c r="R35" s="767" t="s">
        <v>21</v>
      </c>
      <c r="S35" s="768">
        <f t="shared" si="12"/>
        <v>100</v>
      </c>
      <c r="T35" s="767" t="s">
        <v>21</v>
      </c>
      <c r="U35" s="768">
        <f t="shared" si="13"/>
        <v>100</v>
      </c>
      <c r="V35" s="767" t="s">
        <v>21</v>
      </c>
      <c r="W35" s="768">
        <f t="shared" si="14"/>
        <v>100</v>
      </c>
      <c r="X35" s="1805"/>
      <c r="Y35" s="3211"/>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49"/>
      <c r="Q36" s="1802" t="str">
        <f t="shared" si="11"/>
        <v>公共部分装修</v>
      </c>
      <c r="R36" s="767" t="s">
        <v>21</v>
      </c>
      <c r="S36" s="768">
        <f t="shared" si="12"/>
        <v>100</v>
      </c>
      <c r="T36" s="767" t="s">
        <v>21</v>
      </c>
      <c r="U36" s="768">
        <f t="shared" si="13"/>
        <v>100</v>
      </c>
      <c r="V36" s="767" t="s">
        <v>21</v>
      </c>
      <c r="W36" s="768">
        <f t="shared" si="14"/>
        <v>100</v>
      </c>
      <c r="X36" s="1805"/>
      <c r="Y36" s="3211"/>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49"/>
      <c r="Q37" s="1787" t="str">
        <f t="shared" si="11"/>
        <v>成新度</v>
      </c>
      <c r="R37" s="763" t="s">
        <v>21</v>
      </c>
      <c r="S37" s="764" t="e">
        <f t="shared" si="12"/>
        <v>#N/A</v>
      </c>
      <c r="T37" s="763" t="s">
        <v>21</v>
      </c>
      <c r="U37" s="764" t="e">
        <f t="shared" si="13"/>
        <v>#N/A</v>
      </c>
      <c r="V37" s="763" t="s">
        <v>21</v>
      </c>
      <c r="W37" s="764" t="e">
        <f t="shared" si="14"/>
        <v>#N/A</v>
      </c>
      <c r="X37" s="765"/>
      <c r="Y37" s="3211"/>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49" t="s">
        <v>2565</v>
      </c>
      <c r="Q38" s="1802" t="str">
        <f t="shared" si="11"/>
        <v>物业管理</v>
      </c>
      <c r="R38" s="767" t="s">
        <v>21</v>
      </c>
      <c r="S38" s="768">
        <f t="shared" si="12"/>
        <v>100</v>
      </c>
      <c r="T38" s="767" t="s">
        <v>21</v>
      </c>
      <c r="U38" s="768">
        <f t="shared" si="13"/>
        <v>100</v>
      </c>
      <c r="V38" s="767" t="s">
        <v>21</v>
      </c>
      <c r="W38" s="768">
        <f t="shared" si="14"/>
        <v>100</v>
      </c>
      <c r="X38" s="1805"/>
      <c r="Y38" s="3211"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49"/>
      <c r="Q39" s="1802" t="str">
        <f t="shared" si="11"/>
        <v>市政基础设施</v>
      </c>
      <c r="R39" s="767" t="s">
        <v>21</v>
      </c>
      <c r="S39" s="768">
        <f t="shared" si="12"/>
        <v>100</v>
      </c>
      <c r="T39" s="767" t="s">
        <v>21</v>
      </c>
      <c r="U39" s="768">
        <f t="shared" si="13"/>
        <v>100</v>
      </c>
      <c r="V39" s="767" t="s">
        <v>21</v>
      </c>
      <c r="W39" s="768">
        <f t="shared" si="14"/>
        <v>100</v>
      </c>
      <c r="X39" s="1805"/>
      <c r="Y39" s="3211"/>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49"/>
      <c r="Q40" s="1802" t="str">
        <f t="shared" si="11"/>
        <v>房型</v>
      </c>
      <c r="R40" s="767" t="s">
        <v>21</v>
      </c>
      <c r="S40" s="768">
        <f t="shared" si="12"/>
        <v>100</v>
      </c>
      <c r="T40" s="767" t="s">
        <v>21</v>
      </c>
      <c r="U40" s="768">
        <f t="shared" si="13"/>
        <v>100</v>
      </c>
      <c r="V40" s="767" t="s">
        <v>21</v>
      </c>
      <c r="W40" s="768">
        <f t="shared" si="14"/>
        <v>100</v>
      </c>
      <c r="X40" s="1805"/>
      <c r="Y40" s="3211"/>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49"/>
      <c r="Q41" s="769" t="str">
        <f t="shared" si="11"/>
        <v>单套/主力户型建筑面积</v>
      </c>
      <c r="R41" s="770" t="s">
        <v>21</v>
      </c>
      <c r="S41" s="771">
        <f t="shared" si="12"/>
        <v>100</v>
      </c>
      <c r="T41" s="770" t="s">
        <v>21</v>
      </c>
      <c r="U41" s="771">
        <f t="shared" si="13"/>
        <v>100</v>
      </c>
      <c r="V41" s="770" t="s">
        <v>21</v>
      </c>
      <c r="W41" s="771">
        <f t="shared" si="14"/>
        <v>100</v>
      </c>
      <c r="X41" s="772"/>
      <c r="Y41" s="3211"/>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49"/>
      <c r="Q42" s="1802" t="str">
        <f t="shared" si="11"/>
        <v>内部装修</v>
      </c>
      <c r="R42" s="767" t="s">
        <v>21</v>
      </c>
      <c r="S42" s="768">
        <f t="shared" si="12"/>
        <v>100</v>
      </c>
      <c r="T42" s="767" t="s">
        <v>21</v>
      </c>
      <c r="U42" s="768">
        <f t="shared" si="13"/>
        <v>100</v>
      </c>
      <c r="V42" s="767" t="s">
        <v>21</v>
      </c>
      <c r="W42" s="768">
        <f t="shared" si="14"/>
        <v>100</v>
      </c>
      <c r="X42" s="1805"/>
      <c r="Y42" s="3211"/>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49"/>
      <c r="Q43" s="1802" t="str">
        <f t="shared" si="11"/>
        <v>内部装修维护情况</v>
      </c>
      <c r="R43" s="767" t="s">
        <v>21</v>
      </c>
      <c r="S43" s="768">
        <f t="shared" si="12"/>
        <v>100</v>
      </c>
      <c r="T43" s="767" t="s">
        <v>21</v>
      </c>
      <c r="U43" s="768">
        <f t="shared" si="13"/>
        <v>100</v>
      </c>
      <c r="V43" s="767" t="s">
        <v>21</v>
      </c>
      <c r="W43" s="768">
        <f t="shared" si="14"/>
        <v>100</v>
      </c>
      <c r="X43" s="1805"/>
      <c r="Y43" s="3211"/>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49"/>
      <c r="Q44" s="1787">
        <f t="shared" si="11"/>
        <v>111</v>
      </c>
      <c r="R44" s="763" t="s">
        <v>21</v>
      </c>
      <c r="S44" s="764">
        <f t="shared" si="12"/>
        <v>100</v>
      </c>
      <c r="T44" s="763" t="s">
        <v>21</v>
      </c>
      <c r="U44" s="764">
        <f t="shared" si="13"/>
        <v>100</v>
      </c>
      <c r="V44" s="763" t="s">
        <v>21</v>
      </c>
      <c r="W44" s="764">
        <f t="shared" si="14"/>
        <v>100</v>
      </c>
      <c r="X44" s="765"/>
      <c r="Y44" s="3211"/>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49"/>
      <c r="Q45" s="1802">
        <f t="shared" si="11"/>
        <v>111</v>
      </c>
      <c r="R45" s="767" t="s">
        <v>21</v>
      </c>
      <c r="S45" s="768">
        <f t="shared" si="12"/>
        <v>100</v>
      </c>
      <c r="T45" s="767" t="s">
        <v>21</v>
      </c>
      <c r="U45" s="768">
        <f t="shared" si="13"/>
        <v>100</v>
      </c>
      <c r="V45" s="767" t="s">
        <v>21</v>
      </c>
      <c r="W45" s="768">
        <f t="shared" si="14"/>
        <v>100</v>
      </c>
      <c r="X45" s="1805"/>
      <c r="Y45" s="3211"/>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50"/>
      <c r="Q46" s="1802">
        <f t="shared" si="11"/>
        <v>111</v>
      </c>
      <c r="R46" s="767" t="s">
        <v>20</v>
      </c>
      <c r="S46" s="768">
        <f t="shared" si="12"/>
        <v>100</v>
      </c>
      <c r="T46" s="767" t="s">
        <v>20</v>
      </c>
      <c r="U46" s="768">
        <f t="shared" si="13"/>
        <v>100</v>
      </c>
      <c r="V46" s="767" t="s">
        <v>20</v>
      </c>
      <c r="W46" s="768">
        <f t="shared" si="14"/>
        <v>100</v>
      </c>
      <c r="X46" s="1805"/>
      <c r="Y46" s="325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06" t="str">
        <f>A47</f>
        <v>成交单价（元/平方米）</v>
      </c>
      <c r="Q47" s="3206"/>
      <c r="R47" s="3242">
        <f>E47</f>
        <v>0</v>
      </c>
      <c r="S47" s="3242"/>
      <c r="T47" s="3242">
        <f>G47</f>
        <v>0</v>
      </c>
      <c r="U47" s="3242"/>
      <c r="V47" s="3242">
        <f>I47</f>
        <v>0</v>
      </c>
      <c r="W47" s="324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06" t="str">
        <f>A48</f>
        <v>比较价值（元/平方米）</v>
      </c>
      <c r="Q48" s="320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00" t="str">
        <f>A49</f>
        <v>估价对象XX用房的比较价值（楼面单价，元/平方米）</v>
      </c>
      <c r="Q49" s="3201"/>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09"/>
      <c r="Q18" s="1802"/>
      <c r="R18" s="767"/>
      <c r="S18" s="768"/>
      <c r="T18" s="767"/>
      <c r="U18" s="768"/>
      <c r="V18" s="767"/>
      <c r="W18" s="768"/>
      <c r="X18" s="1805"/>
      <c r="Y18" s="3209"/>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09"/>
      <c r="Q19" s="1802" t="str">
        <f>B19</f>
        <v>公共配套设施</v>
      </c>
      <c r="R19" s="767" t="s">
        <v>17</v>
      </c>
      <c r="S19" s="768">
        <f>F19</f>
        <v>100</v>
      </c>
      <c r="T19" s="767" t="s">
        <v>17</v>
      </c>
      <c r="U19" s="768">
        <f>H19</f>
        <v>100</v>
      </c>
      <c r="V19" s="767" t="s">
        <v>17</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09"/>
      <c r="Q20" s="1802"/>
      <c r="R20" s="767"/>
      <c r="S20" s="768"/>
      <c r="T20" s="767"/>
      <c r="U20" s="768"/>
      <c r="V20" s="767"/>
      <c r="W20" s="768"/>
      <c r="X20" s="1805"/>
      <c r="Y20" s="3209"/>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09"/>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09"/>
      <c r="Q22" s="1802"/>
      <c r="R22" s="767"/>
      <c r="S22" s="768"/>
      <c r="T22" s="767"/>
      <c r="U22" s="768"/>
      <c r="V22" s="767"/>
      <c r="W22" s="768"/>
      <c r="X22" s="1805"/>
      <c r="Y22" s="3209"/>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09"/>
      <c r="Q23" s="1802" t="str">
        <f>B23</f>
        <v>环境质量</v>
      </c>
      <c r="R23" s="767" t="s">
        <v>17</v>
      </c>
      <c r="S23" s="768">
        <f>F23</f>
        <v>100</v>
      </c>
      <c r="T23" s="767" t="s">
        <v>17</v>
      </c>
      <c r="U23" s="768">
        <f>H23</f>
        <v>100</v>
      </c>
      <c r="V23" s="767" t="s">
        <v>17</v>
      </c>
      <c r="W23" s="768">
        <f>J23</f>
        <v>100</v>
      </c>
      <c r="X23" s="1805"/>
      <c r="Y23" s="3209"/>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09"/>
      <c r="Q24" s="1802"/>
      <c r="R24" s="767"/>
      <c r="S24" s="768"/>
      <c r="T24" s="767"/>
      <c r="U24" s="768"/>
      <c r="V24" s="767"/>
      <c r="W24" s="768"/>
      <c r="X24" s="1805"/>
      <c r="Y24" s="3209"/>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09"/>
      <c r="Q25" s="1802">
        <f>B25</f>
        <v>111</v>
      </c>
      <c r="R25" s="767" t="s">
        <v>17</v>
      </c>
      <c r="S25" s="768">
        <f>F25</f>
        <v>100</v>
      </c>
      <c r="T25" s="767" t="s">
        <v>17</v>
      </c>
      <c r="U25" s="768">
        <f>H25</f>
        <v>100</v>
      </c>
      <c r="V25" s="767" t="s">
        <v>17</v>
      </c>
      <c r="W25" s="768">
        <f>J25</f>
        <v>100</v>
      </c>
      <c r="X25" s="1805"/>
      <c r="Y25" s="3209"/>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09"/>
      <c r="Q26" s="1802">
        <f t="shared" ref="Q26:Q40" si="11">B26</f>
        <v>111</v>
      </c>
      <c r="R26" s="767" t="s">
        <v>17</v>
      </c>
      <c r="S26" s="768">
        <f>F26</f>
        <v>100</v>
      </c>
      <c r="T26" s="767" t="s">
        <v>17</v>
      </c>
      <c r="U26" s="768">
        <f>H26</f>
        <v>100</v>
      </c>
      <c r="V26" s="767" t="s">
        <v>17</v>
      </c>
      <c r="W26" s="768">
        <f>J26</f>
        <v>100</v>
      </c>
      <c r="X26" s="1805"/>
      <c r="Y26" s="3209"/>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09"/>
      <c r="Q27" s="1787">
        <f t="shared" si="11"/>
        <v>111</v>
      </c>
      <c r="R27" s="763" t="s">
        <v>17</v>
      </c>
      <c r="S27" s="764">
        <f>F27</f>
        <v>100</v>
      </c>
      <c r="T27" s="763" t="s">
        <v>17</v>
      </c>
      <c r="U27" s="764">
        <f>H27</f>
        <v>100</v>
      </c>
      <c r="V27" s="763" t="s">
        <v>17</v>
      </c>
      <c r="W27" s="764">
        <f>J27</f>
        <v>100</v>
      </c>
      <c r="X27" s="765"/>
      <c r="Y27" s="3209"/>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09"/>
      <c r="Q28" s="1802">
        <f t="shared" si="11"/>
        <v>111</v>
      </c>
      <c r="R28" s="767" t="s">
        <v>17</v>
      </c>
      <c r="S28" s="768">
        <f t="shared" ref="S28:S40" si="12">F28</f>
        <v>100</v>
      </c>
      <c r="T28" s="767" t="s">
        <v>17</v>
      </c>
      <c r="U28" s="768">
        <f t="shared" ref="U28:U40" si="13">H28</f>
        <v>100</v>
      </c>
      <c r="V28" s="767" t="s">
        <v>17</v>
      </c>
      <c r="W28" s="768">
        <f t="shared" ref="W28:W40" si="14">J28</f>
        <v>100</v>
      </c>
      <c r="X28" s="1805"/>
      <c r="Y28" s="3209"/>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10" t="s">
        <v>2565</v>
      </c>
      <c r="Q29" s="1802" t="str">
        <f t="shared" si="11"/>
        <v>建筑类型</v>
      </c>
      <c r="R29" s="767" t="s">
        <v>17</v>
      </c>
      <c r="S29" s="768">
        <f t="shared" si="12"/>
        <v>100</v>
      </c>
      <c r="T29" s="767" t="s">
        <v>17</v>
      </c>
      <c r="U29" s="768">
        <f t="shared" si="13"/>
        <v>100</v>
      </c>
      <c r="V29" s="767" t="s">
        <v>17</v>
      </c>
      <c r="W29" s="768">
        <f t="shared" si="14"/>
        <v>100</v>
      </c>
      <c r="X29" s="1805"/>
      <c r="Y29" s="3211"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11"/>
      <c r="Q30" s="769" t="str">
        <f t="shared" si="11"/>
        <v>项目建筑规模</v>
      </c>
      <c r="R30" s="770" t="s">
        <v>17</v>
      </c>
      <c r="S30" s="771" t="e">
        <f t="shared" si="12"/>
        <v>#N/A</v>
      </c>
      <c r="T30" s="770" t="s">
        <v>17</v>
      </c>
      <c r="U30" s="771" t="e">
        <f t="shared" si="13"/>
        <v>#N/A</v>
      </c>
      <c r="V30" s="770" t="s">
        <v>17</v>
      </c>
      <c r="W30" s="771" t="e">
        <f t="shared" si="14"/>
        <v>#N/A</v>
      </c>
      <c r="X30" s="772"/>
      <c r="Y30" s="3211"/>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11"/>
      <c r="Q31" s="1802" t="str">
        <f t="shared" si="11"/>
        <v>建筑结构</v>
      </c>
      <c r="R31" s="767" t="s">
        <v>17</v>
      </c>
      <c r="S31" s="768">
        <f t="shared" si="12"/>
        <v>100</v>
      </c>
      <c r="T31" s="767" t="s">
        <v>17</v>
      </c>
      <c r="U31" s="768">
        <f t="shared" si="13"/>
        <v>100</v>
      </c>
      <c r="V31" s="767" t="s">
        <v>17</v>
      </c>
      <c r="W31" s="768">
        <f t="shared" si="14"/>
        <v>100</v>
      </c>
      <c r="X31" s="1805"/>
      <c r="Y31" s="3211"/>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11"/>
      <c r="Q32" s="1802" t="str">
        <f t="shared" si="11"/>
        <v>公共部分装修</v>
      </c>
      <c r="R32" s="767" t="s">
        <v>17</v>
      </c>
      <c r="S32" s="768">
        <f t="shared" si="12"/>
        <v>100</v>
      </c>
      <c r="T32" s="767" t="s">
        <v>17</v>
      </c>
      <c r="U32" s="768">
        <f t="shared" si="13"/>
        <v>100</v>
      </c>
      <c r="V32" s="767" t="s">
        <v>17</v>
      </c>
      <c r="W32" s="768">
        <f t="shared" si="14"/>
        <v>100</v>
      </c>
      <c r="X32" s="1805"/>
      <c r="Y32" s="3211"/>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11"/>
      <c r="Q33" s="1802" t="str">
        <f t="shared" si="11"/>
        <v>成新度</v>
      </c>
      <c r="R33" s="767" t="s">
        <v>17</v>
      </c>
      <c r="S33" s="768" t="e">
        <f t="shared" si="12"/>
        <v>#N/A</v>
      </c>
      <c r="T33" s="767" t="s">
        <v>17</v>
      </c>
      <c r="U33" s="768" t="e">
        <f t="shared" si="13"/>
        <v>#N/A</v>
      </c>
      <c r="V33" s="767" t="s">
        <v>17</v>
      </c>
      <c r="W33" s="768" t="e">
        <f t="shared" si="14"/>
        <v>#N/A</v>
      </c>
      <c r="X33" s="1805"/>
      <c r="Y33" s="3211"/>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11"/>
      <c r="Q34" s="1787" t="str">
        <f t="shared" si="11"/>
        <v>物业管理</v>
      </c>
      <c r="R34" s="763" t="s">
        <v>17</v>
      </c>
      <c r="S34" s="764">
        <f t="shared" si="12"/>
        <v>100</v>
      </c>
      <c r="T34" s="763" t="s">
        <v>17</v>
      </c>
      <c r="U34" s="764">
        <f t="shared" si="13"/>
        <v>100</v>
      </c>
      <c r="V34" s="763" t="s">
        <v>17</v>
      </c>
      <c r="W34" s="764">
        <f t="shared" si="14"/>
        <v>100</v>
      </c>
      <c r="X34" s="765"/>
      <c r="Y34" s="3211"/>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11" t="s">
        <v>2565</v>
      </c>
      <c r="Q35" s="1802" t="str">
        <f t="shared" si="11"/>
        <v>市政基础设施</v>
      </c>
      <c r="R35" s="767" t="s">
        <v>17</v>
      </c>
      <c r="S35" s="768">
        <f t="shared" si="12"/>
        <v>100</v>
      </c>
      <c r="T35" s="767" t="s">
        <v>17</v>
      </c>
      <c r="U35" s="768">
        <f t="shared" si="13"/>
        <v>100</v>
      </c>
      <c r="V35" s="767" t="s">
        <v>17</v>
      </c>
      <c r="W35" s="768">
        <f t="shared" si="14"/>
        <v>100</v>
      </c>
      <c r="X35" s="1805"/>
      <c r="Y35" s="3211"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11"/>
      <c r="Q36" s="1802" t="str">
        <f t="shared" si="11"/>
        <v>内部装修</v>
      </c>
      <c r="R36" s="767" t="s">
        <v>17</v>
      </c>
      <c r="S36" s="768">
        <f t="shared" si="12"/>
        <v>100</v>
      </c>
      <c r="T36" s="767" t="s">
        <v>17</v>
      </c>
      <c r="U36" s="768">
        <f t="shared" si="13"/>
        <v>100</v>
      </c>
      <c r="V36" s="767" t="s">
        <v>17</v>
      </c>
      <c r="W36" s="768">
        <f t="shared" si="14"/>
        <v>100</v>
      </c>
      <c r="X36" s="1805"/>
      <c r="Y36" s="3211"/>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11"/>
      <c r="Q37" s="1802" t="str">
        <f t="shared" si="11"/>
        <v>内部装修状况</v>
      </c>
      <c r="R37" s="767" t="s">
        <v>17</v>
      </c>
      <c r="S37" s="768">
        <f t="shared" si="12"/>
        <v>100</v>
      </c>
      <c r="T37" s="767" t="s">
        <v>17</v>
      </c>
      <c r="U37" s="768">
        <f t="shared" si="13"/>
        <v>100</v>
      </c>
      <c r="V37" s="767" t="s">
        <v>17</v>
      </c>
      <c r="W37" s="768">
        <f t="shared" si="14"/>
        <v>100</v>
      </c>
      <c r="X37" s="1805"/>
      <c r="Y37" s="3211"/>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11"/>
      <c r="Q38" s="769">
        <f t="shared" si="11"/>
        <v>111</v>
      </c>
      <c r="R38" s="770" t="s">
        <v>17</v>
      </c>
      <c r="S38" s="771">
        <f t="shared" si="12"/>
        <v>100</v>
      </c>
      <c r="T38" s="770" t="s">
        <v>17</v>
      </c>
      <c r="U38" s="771">
        <f t="shared" si="13"/>
        <v>100</v>
      </c>
      <c r="V38" s="770" t="s">
        <v>17</v>
      </c>
      <c r="W38" s="771">
        <f t="shared" si="14"/>
        <v>100</v>
      </c>
      <c r="X38" s="772"/>
      <c r="Y38" s="3211"/>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11"/>
      <c r="Q39" s="1802">
        <f t="shared" si="11"/>
        <v>111</v>
      </c>
      <c r="R39" s="767" t="s">
        <v>17</v>
      </c>
      <c r="S39" s="768">
        <f t="shared" si="12"/>
        <v>100</v>
      </c>
      <c r="T39" s="767" t="s">
        <v>17</v>
      </c>
      <c r="U39" s="768">
        <f t="shared" si="13"/>
        <v>100</v>
      </c>
      <c r="V39" s="767" t="s">
        <v>17</v>
      </c>
      <c r="W39" s="768">
        <f t="shared" si="14"/>
        <v>100</v>
      </c>
      <c r="X39" s="1805"/>
      <c r="Y39" s="3211"/>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1"/>
      <c r="Q40" s="1802">
        <f t="shared" si="11"/>
        <v>111</v>
      </c>
      <c r="R40" s="767" t="s">
        <v>17</v>
      </c>
      <c r="S40" s="768">
        <f t="shared" si="12"/>
        <v>100</v>
      </c>
      <c r="T40" s="767" t="s">
        <v>17</v>
      </c>
      <c r="U40" s="768">
        <f t="shared" si="13"/>
        <v>100</v>
      </c>
      <c r="V40" s="767" t="s">
        <v>17</v>
      </c>
      <c r="W40" s="768">
        <f t="shared" si="14"/>
        <v>100</v>
      </c>
      <c r="X40" s="1805"/>
      <c r="Y40" s="325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06" t="str">
        <f>A41</f>
        <v>成交单价（元/平方米）</v>
      </c>
      <c r="Q41" s="3206"/>
      <c r="R41" s="3242">
        <f>E41</f>
        <v>0</v>
      </c>
      <c r="S41" s="3242"/>
      <c r="T41" s="3242">
        <f>G41</f>
        <v>0</v>
      </c>
      <c r="U41" s="3242"/>
      <c r="V41" s="3242">
        <f>I41</f>
        <v>0</v>
      </c>
      <c r="W41" s="324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06" t="str">
        <f>A42</f>
        <v>比较价值（元/平方米）</v>
      </c>
      <c r="Q42" s="320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00" t="str">
        <f>A43</f>
        <v>估价对象XX用房的比较价值（楼面单价，元/平方米）</v>
      </c>
      <c r="Q43" s="3201"/>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3472</v>
      </c>
      <c r="C1" s="1612" t="s">
        <v>2530</v>
      </c>
      <c r="D1" s="1613" t="s">
        <v>48</v>
      </c>
      <c r="E1" s="1614"/>
      <c r="F1" s="2575" t="s">
        <v>3546</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62" t="s">
        <v>3520</v>
      </c>
      <c r="F5" s="3234"/>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2935" t="s">
        <v>3602</v>
      </c>
      <c r="F8" s="406">
        <f>SUMIF(51:51,E8,52:52)-SUMIF(51:51,C8,52:52)+100</f>
        <v>100</v>
      </c>
      <c r="G8" s="407"/>
      <c r="H8" s="404">
        <f>SUMIF(51:51,G8,52:52)-SUMIF(51:51,C8,52:52)+100</f>
        <v>0</v>
      </c>
      <c r="I8" s="407"/>
      <c r="J8" s="404">
        <f>SUMIF(51:51,I8,52:52)-SUMIF(51:51,C8,52:52)+100</f>
        <v>0</v>
      </c>
      <c r="K8" s="604"/>
      <c r="L8" s="1125"/>
      <c r="M8" s="1126"/>
      <c r="N8" s="1126"/>
      <c r="O8" s="1126"/>
      <c r="P8" s="3235" t="s">
        <v>2552</v>
      </c>
      <c r="Q8" s="3236"/>
      <c r="R8" s="763" t="s">
        <v>17</v>
      </c>
      <c r="S8" s="764">
        <f t="shared" si="0"/>
        <v>100</v>
      </c>
      <c r="T8" s="763" t="s">
        <v>17</v>
      </c>
      <c r="U8" s="764">
        <f t="shared" si="1"/>
        <v>0</v>
      </c>
      <c r="V8" s="763" t="s">
        <v>17</v>
      </c>
      <c r="W8" s="764">
        <f t="shared" si="2"/>
        <v>0</v>
      </c>
      <c r="X8" s="765"/>
      <c r="Y8" s="3235" t="s">
        <v>2552</v>
      </c>
      <c r="Z8" s="3236"/>
      <c r="AA8" s="766">
        <f t="shared" ref="AA8:AA36" si="3">D8/F8</f>
        <v>1</v>
      </c>
      <c r="AB8" s="766" t="e">
        <f t="shared" ref="AB8:AB36" si="4">D8/H8</f>
        <v>#DIV/0!</v>
      </c>
      <c r="AC8" s="766" t="e">
        <f t="shared" ref="AC8:AC36" si="5">D8/J8</f>
        <v>#DIV/0!</v>
      </c>
    </row>
    <row r="9" spans="1:29" s="111" customFormat="1">
      <c r="A9" s="66" t="s">
        <v>2553</v>
      </c>
      <c r="B9" s="633" t="s">
        <v>2554</v>
      </c>
      <c r="C9" s="2976" t="s">
        <v>3603</v>
      </c>
      <c r="D9" s="128">
        <v>100</v>
      </c>
      <c r="E9" s="2979" t="s">
        <v>3603</v>
      </c>
      <c r="F9" s="128">
        <f>SUMIF(53:53,E9,54:54)-SUMIF(53:53,C9,54:54)+100</f>
        <v>100</v>
      </c>
      <c r="G9" s="410"/>
      <c r="H9" s="128">
        <f>SUMIF(53:53,G9,54:54)-SUMIF(53:53,C9,54:54)+100</f>
        <v>0</v>
      </c>
      <c r="I9" s="410"/>
      <c r="J9" s="128">
        <f>SUMIF(53:53,I9,54:54)-SUMIF(53:53,C9,54:54)+100</f>
        <v>0</v>
      </c>
      <c r="K9" s="604"/>
      <c r="L9" s="1125"/>
      <c r="M9" s="1126"/>
      <c r="N9" s="1126"/>
      <c r="O9" s="1126"/>
      <c r="P9" s="3206" t="s">
        <v>2555</v>
      </c>
      <c r="Q9" s="1787" t="str">
        <f t="shared" ref="Q9:Q14" si="6">B9</f>
        <v>用途</v>
      </c>
      <c r="R9" s="763" t="s">
        <v>17</v>
      </c>
      <c r="S9" s="764">
        <f t="shared" si="0"/>
        <v>100</v>
      </c>
      <c r="T9" s="763" t="s">
        <v>17</v>
      </c>
      <c r="U9" s="764">
        <f t="shared" si="1"/>
        <v>0</v>
      </c>
      <c r="V9" s="763" t="s">
        <v>17</v>
      </c>
      <c r="W9" s="764">
        <f t="shared" si="2"/>
        <v>0</v>
      </c>
      <c r="X9" s="765"/>
      <c r="Y9" s="3053" t="s">
        <v>2556</v>
      </c>
      <c r="Z9" s="55" t="str">
        <f t="shared" ref="Z9:Z14" si="7">Q9</f>
        <v>用途</v>
      </c>
      <c r="AA9" s="766">
        <f t="shared" si="3"/>
        <v>1</v>
      </c>
      <c r="AB9" s="766" t="e">
        <f t="shared" si="4"/>
        <v>#DIV/0!</v>
      </c>
      <c r="AC9" s="766" t="e">
        <f t="shared" si="5"/>
        <v>#DIV/0!</v>
      </c>
    </row>
    <row r="10" spans="1:29" s="420" customFormat="1" ht="27">
      <c r="A10" s="634"/>
      <c r="B10" s="635" t="s">
        <v>2557</v>
      </c>
      <c r="C10" s="416" t="s">
        <v>3497</v>
      </c>
      <c r="D10" s="129">
        <v>100</v>
      </c>
      <c r="E10" s="416" t="s">
        <v>3497</v>
      </c>
      <c r="F10" s="129">
        <f>SUMIF(55:55,E10,56:56)-SUMIF(55:55,C10,56:56)+100</f>
        <v>100</v>
      </c>
      <c r="G10" s="417"/>
      <c r="H10" s="129">
        <f>SUMIF(55:55,G10,56:56)-SUMIF(55:55,C10,56:56)+100</f>
        <v>0</v>
      </c>
      <c r="I10" s="416"/>
      <c r="J10" s="129">
        <f>SUMIF(55:55,I10,56:56)-SUMIF(55:55,C10,56:56)+100</f>
        <v>0</v>
      </c>
      <c r="K10" s="605"/>
      <c r="L10" s="1128"/>
      <c r="M10" s="1129"/>
      <c r="N10" s="1129"/>
      <c r="O10" s="1129"/>
      <c r="P10" s="3206"/>
      <c r="Q10" s="1787" t="str">
        <f t="shared" si="6"/>
        <v>土地使用年限（年）</v>
      </c>
      <c r="R10" s="763" t="s">
        <v>17</v>
      </c>
      <c r="S10" s="764">
        <f t="shared" si="0"/>
        <v>100</v>
      </c>
      <c r="T10" s="763" t="s">
        <v>17</v>
      </c>
      <c r="U10" s="764">
        <f t="shared" si="1"/>
        <v>0</v>
      </c>
      <c r="V10" s="763" t="s">
        <v>17</v>
      </c>
      <c r="W10" s="764">
        <f t="shared" si="2"/>
        <v>0</v>
      </c>
      <c r="X10" s="765"/>
      <c r="Y10" s="3053"/>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08" t="s">
        <v>2560</v>
      </c>
      <c r="Q14" s="1802" t="str">
        <f t="shared" si="6"/>
        <v>交通便捷度</v>
      </c>
      <c r="R14" s="767" t="s">
        <v>17</v>
      </c>
      <c r="S14" s="768">
        <f t="shared" si="0"/>
        <v>100</v>
      </c>
      <c r="T14" s="767" t="s">
        <v>17</v>
      </c>
      <c r="U14" s="768">
        <f t="shared" si="1"/>
        <v>0</v>
      </c>
      <c r="V14" s="767" t="s">
        <v>17</v>
      </c>
      <c r="W14" s="768">
        <f t="shared" si="2"/>
        <v>0</v>
      </c>
      <c r="X14" s="1805"/>
      <c r="Y14" s="3208"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09"/>
      <c r="Q15" s="1802"/>
      <c r="R15" s="767"/>
      <c r="S15" s="768"/>
      <c r="T15" s="767"/>
      <c r="U15" s="768"/>
      <c r="V15" s="767"/>
      <c r="W15" s="768"/>
      <c r="X15" s="1805"/>
      <c r="Y15" s="3209"/>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09"/>
      <c r="Q16" s="1802" t="str">
        <f>B16</f>
        <v>公共配套设施</v>
      </c>
      <c r="R16" s="767" t="s">
        <v>17</v>
      </c>
      <c r="S16" s="768">
        <f>F16</f>
        <v>100</v>
      </c>
      <c r="T16" s="767" t="s">
        <v>17</v>
      </c>
      <c r="U16" s="768">
        <f>H16</f>
        <v>0</v>
      </c>
      <c r="V16" s="767" t="s">
        <v>17</v>
      </c>
      <c r="W16" s="768">
        <f>J16</f>
        <v>0</v>
      </c>
      <c r="X16" s="1805"/>
      <c r="Y16" s="3209"/>
      <c r="Z16" s="1806" t="str">
        <f>Q16</f>
        <v>公共配套设施</v>
      </c>
      <c r="AA16" s="1803">
        <f t="shared" si="3"/>
        <v>1</v>
      </c>
      <c r="AB16" s="1803" t="e">
        <f t="shared" si="4"/>
        <v>#DIV/0!</v>
      </c>
      <c r="AC16" s="1803" t="e">
        <f t="shared" si="5"/>
        <v>#DIV/0!</v>
      </c>
    </row>
    <row r="17" spans="1:29" ht="15">
      <c r="A17" s="397"/>
      <c r="B17" s="625"/>
      <c r="C17" s="2599" t="s">
        <v>3155</v>
      </c>
      <c r="D17" s="441"/>
      <c r="E17" s="440" t="s">
        <v>3508</v>
      </c>
      <c r="F17" s="442"/>
      <c r="G17" s="440"/>
      <c r="H17" s="441"/>
      <c r="I17" s="440"/>
      <c r="J17" s="441"/>
      <c r="K17" s="608"/>
      <c r="L17" s="1133"/>
      <c r="M17" s="1124"/>
      <c r="N17" s="1124"/>
      <c r="O17" s="1124"/>
      <c r="P17" s="3209"/>
      <c r="Q17" s="1802"/>
      <c r="R17" s="767"/>
      <c r="S17" s="768"/>
      <c r="T17" s="767"/>
      <c r="U17" s="768"/>
      <c r="V17" s="767"/>
      <c r="W17" s="768"/>
      <c r="X17" s="1805"/>
      <c r="Y17" s="3209"/>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09"/>
      <c r="Q18" s="1802" t="str">
        <f>B18</f>
        <v>基础设施水平</v>
      </c>
      <c r="R18" s="767" t="s">
        <v>17</v>
      </c>
      <c r="S18" s="768">
        <f>F18</f>
        <v>100</v>
      </c>
      <c r="T18" s="767" t="s">
        <v>17</v>
      </c>
      <c r="U18" s="768">
        <f>H18</f>
        <v>0</v>
      </c>
      <c r="V18" s="767" t="s">
        <v>17</v>
      </c>
      <c r="W18" s="768">
        <f>J18</f>
        <v>0</v>
      </c>
      <c r="X18" s="1805"/>
      <c r="Y18" s="3209"/>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09"/>
      <c r="Q19" s="1802"/>
      <c r="R19" s="767"/>
      <c r="S19" s="768"/>
      <c r="T19" s="767"/>
      <c r="U19" s="768"/>
      <c r="V19" s="767"/>
      <c r="W19" s="768"/>
      <c r="X19" s="1805"/>
      <c r="Y19" s="3209"/>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09"/>
      <c r="Q20" s="1802" t="str">
        <f>B20</f>
        <v>自然及人文环境</v>
      </c>
      <c r="R20" s="767" t="s">
        <v>17</v>
      </c>
      <c r="S20" s="768">
        <f>F20</f>
        <v>0</v>
      </c>
      <c r="T20" s="767" t="s">
        <v>17</v>
      </c>
      <c r="U20" s="768">
        <f>H20</f>
        <v>0</v>
      </c>
      <c r="V20" s="767" t="s">
        <v>17</v>
      </c>
      <c r="W20" s="768">
        <f>J20</f>
        <v>0</v>
      </c>
      <c r="X20" s="1805"/>
      <c r="Y20" s="3209"/>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09"/>
      <c r="Q21" s="1802"/>
      <c r="R21" s="767"/>
      <c r="S21" s="768"/>
      <c r="T21" s="767"/>
      <c r="U21" s="768"/>
      <c r="V21" s="767"/>
      <c r="W21" s="768"/>
      <c r="X21" s="1805"/>
      <c r="Y21" s="3209"/>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09"/>
      <c r="Q24" s="1802">
        <f t="shared" ref="Q24:Q36"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10"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11"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3604</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11"/>
      <c r="Q27" s="769" t="str">
        <f t="shared" si="11"/>
        <v>项目停车位配比</v>
      </c>
      <c r="R27" s="770" t="s">
        <v>17</v>
      </c>
      <c r="S27" s="771">
        <f t="shared" si="12"/>
        <v>100</v>
      </c>
      <c r="T27" s="770" t="s">
        <v>17</v>
      </c>
      <c r="U27" s="771">
        <f t="shared" si="13"/>
        <v>100</v>
      </c>
      <c r="V27" s="770" t="s">
        <v>17</v>
      </c>
      <c r="W27" s="771">
        <f t="shared" si="14"/>
        <v>100</v>
      </c>
      <c r="X27" s="772"/>
      <c r="Y27" s="3211"/>
      <c r="Z27" s="773" t="str">
        <f t="shared" si="15"/>
        <v>项目停车位配比</v>
      </c>
      <c r="AA27" s="1803">
        <f t="shared" si="3"/>
        <v>1</v>
      </c>
      <c r="AB27" s="1803">
        <f t="shared" si="4"/>
        <v>1</v>
      </c>
      <c r="AC27" s="1803">
        <f t="shared" si="5"/>
        <v>1</v>
      </c>
    </row>
    <row r="28" spans="1:29" ht="15">
      <c r="A28" s="649"/>
      <c r="B28" s="647" t="s">
        <v>2714</v>
      </c>
      <c r="C28" s="2977" t="s">
        <v>3605</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11"/>
      <c r="Q28" s="1802" t="str">
        <f t="shared" si="11"/>
        <v>公共部分装修</v>
      </c>
      <c r="R28" s="767" t="s">
        <v>17</v>
      </c>
      <c r="S28" s="768">
        <f t="shared" si="12"/>
        <v>100</v>
      </c>
      <c r="T28" s="767" t="s">
        <v>17</v>
      </c>
      <c r="U28" s="768">
        <f t="shared" si="13"/>
        <v>100</v>
      </c>
      <c r="V28" s="767" t="s">
        <v>17</v>
      </c>
      <c r="W28" s="768">
        <f t="shared" si="14"/>
        <v>100</v>
      </c>
      <c r="X28" s="1805"/>
      <c r="Y28" s="3211"/>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11"/>
      <c r="Q29" s="1802" t="str">
        <f t="shared" si="11"/>
        <v>成新率</v>
      </c>
      <c r="R29" s="767" t="s">
        <v>17</v>
      </c>
      <c r="S29" s="768" t="e">
        <f t="shared" si="12"/>
        <v>#N/A</v>
      </c>
      <c r="T29" s="767" t="s">
        <v>17</v>
      </c>
      <c r="U29" s="768" t="e">
        <f t="shared" si="13"/>
        <v>#N/A</v>
      </c>
      <c r="V29" s="767" t="s">
        <v>17</v>
      </c>
      <c r="W29" s="768" t="e">
        <f t="shared" si="14"/>
        <v>#N/A</v>
      </c>
      <c r="X29" s="1805"/>
      <c r="Y29" s="3211"/>
      <c r="Z29" s="1806" t="str">
        <f t="shared" si="15"/>
        <v>成新率</v>
      </c>
      <c r="AA29" s="1803" t="e">
        <f t="shared" si="3"/>
        <v>#N/A</v>
      </c>
      <c r="AB29" s="1803" t="e">
        <f t="shared" si="4"/>
        <v>#N/A</v>
      </c>
      <c r="AC29" s="1803" t="e">
        <f t="shared" si="5"/>
        <v>#N/A</v>
      </c>
    </row>
    <row r="30" spans="1:29" ht="15">
      <c r="A30" s="649"/>
      <c r="B30" s="647" t="s">
        <v>2716</v>
      </c>
      <c r="C30" s="2988" t="s">
        <v>3606</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11"/>
      <c r="Q30" s="1802" t="str">
        <f t="shared" si="11"/>
        <v>物业等级</v>
      </c>
      <c r="R30" s="767" t="s">
        <v>17</v>
      </c>
      <c r="S30" s="768">
        <f t="shared" si="12"/>
        <v>100</v>
      </c>
      <c r="T30" s="767" t="s">
        <v>17</v>
      </c>
      <c r="U30" s="768">
        <f t="shared" si="13"/>
        <v>100</v>
      </c>
      <c r="V30" s="767" t="s">
        <v>17</v>
      </c>
      <c r="W30" s="768">
        <f t="shared" si="14"/>
        <v>100</v>
      </c>
      <c r="X30" s="1805"/>
      <c r="Y30" s="3211"/>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11"/>
      <c r="Q31" s="1787" t="str">
        <f t="shared" si="11"/>
        <v>停车位面积</v>
      </c>
      <c r="R31" s="763" t="s">
        <v>17</v>
      </c>
      <c r="S31" s="764" t="e">
        <f t="shared" si="12"/>
        <v>#N/A</v>
      </c>
      <c r="T31" s="763" t="s">
        <v>17</v>
      </c>
      <c r="U31" s="764" t="e">
        <f t="shared" si="13"/>
        <v>#N/A</v>
      </c>
      <c r="V31" s="763" t="s">
        <v>17</v>
      </c>
      <c r="W31" s="764" t="e">
        <f t="shared" si="14"/>
        <v>#N/A</v>
      </c>
      <c r="X31" s="765"/>
      <c r="Y31" s="3211"/>
      <c r="Z31" s="55" t="str">
        <f t="shared" si="15"/>
        <v>停车位面积</v>
      </c>
      <c r="AA31" s="766" t="e">
        <f t="shared" si="3"/>
        <v>#N/A</v>
      </c>
      <c r="AB31" s="766" t="e">
        <f t="shared" si="4"/>
        <v>#N/A</v>
      </c>
      <c r="AC31" s="766" t="e">
        <f t="shared" si="5"/>
        <v>#N/A</v>
      </c>
    </row>
    <row r="32" spans="1:29" ht="15">
      <c r="A32" s="649"/>
      <c r="B32" s="647" t="s">
        <v>2718</v>
      </c>
      <c r="C32" s="2977" t="s">
        <v>3607</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11" t="s">
        <v>2565</v>
      </c>
      <c r="Q32" s="1802" t="str">
        <f t="shared" si="11"/>
        <v>车位类型</v>
      </c>
      <c r="R32" s="767" t="s">
        <v>17</v>
      </c>
      <c r="S32" s="768">
        <f t="shared" si="12"/>
        <v>100</v>
      </c>
      <c r="T32" s="767" t="s">
        <v>17</v>
      </c>
      <c r="U32" s="768">
        <f t="shared" si="13"/>
        <v>100</v>
      </c>
      <c r="V32" s="767" t="s">
        <v>17</v>
      </c>
      <c r="W32" s="768">
        <f t="shared" si="14"/>
        <v>100</v>
      </c>
      <c r="X32" s="1805"/>
      <c r="Y32" s="3211" t="s">
        <v>2565</v>
      </c>
      <c r="Z32" s="1806" t="str">
        <f t="shared" si="15"/>
        <v>车位类型</v>
      </c>
      <c r="AA32" s="1803">
        <f t="shared" si="3"/>
        <v>1</v>
      </c>
      <c r="AB32" s="1803">
        <f t="shared" si="4"/>
        <v>1</v>
      </c>
      <c r="AC32" s="1803">
        <f t="shared" si="5"/>
        <v>1</v>
      </c>
    </row>
    <row r="33" spans="1:29" ht="15">
      <c r="A33" s="649"/>
      <c r="B33" s="647" t="s">
        <v>2719</v>
      </c>
      <c r="C33" s="2977" t="s">
        <v>3608</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11"/>
      <c r="Q33" s="1802" t="str">
        <f t="shared" si="11"/>
        <v>是否直接入户</v>
      </c>
      <c r="R33" s="767" t="s">
        <v>17</v>
      </c>
      <c r="S33" s="768">
        <f t="shared" si="12"/>
        <v>100</v>
      </c>
      <c r="T33" s="767" t="s">
        <v>17</v>
      </c>
      <c r="U33" s="768">
        <f t="shared" si="13"/>
        <v>100</v>
      </c>
      <c r="V33" s="767" t="s">
        <v>17</v>
      </c>
      <c r="W33" s="768">
        <f t="shared" si="14"/>
        <v>100</v>
      </c>
      <c r="X33" s="1805"/>
      <c r="Y33" s="3211"/>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11"/>
      <c r="Q35" s="769">
        <f t="shared" si="11"/>
        <v>111</v>
      </c>
      <c r="R35" s="770" t="s">
        <v>17</v>
      </c>
      <c r="S35" s="771">
        <f t="shared" si="12"/>
        <v>100</v>
      </c>
      <c r="T35" s="770" t="s">
        <v>17</v>
      </c>
      <c r="U35" s="771">
        <f t="shared" si="13"/>
        <v>100</v>
      </c>
      <c r="V35" s="770" t="s">
        <v>17</v>
      </c>
      <c r="W35" s="771">
        <f t="shared" si="14"/>
        <v>100</v>
      </c>
      <c r="X35" s="772"/>
      <c r="Y35" s="3211"/>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11"/>
      <c r="Q36" s="1802">
        <f t="shared" si="11"/>
        <v>111</v>
      </c>
      <c r="R36" s="767" t="s">
        <v>17</v>
      </c>
      <c r="S36" s="768">
        <f t="shared" si="12"/>
        <v>100</v>
      </c>
      <c r="T36" s="767" t="s">
        <v>17</v>
      </c>
      <c r="U36" s="768">
        <f t="shared" si="13"/>
        <v>100</v>
      </c>
      <c r="V36" s="767" t="s">
        <v>17</v>
      </c>
      <c r="W36" s="768">
        <f t="shared" si="14"/>
        <v>100</v>
      </c>
      <c r="X36" s="1805"/>
      <c r="Y36" s="3211"/>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06" t="str">
        <f>A37</f>
        <v>成交单价</v>
      </c>
      <c r="Q37" s="3206"/>
      <c r="R37" s="3242">
        <f>E37</f>
        <v>0</v>
      </c>
      <c r="S37" s="3242"/>
      <c r="T37" s="3242">
        <f>G37</f>
        <v>0</v>
      </c>
      <c r="U37" s="3242"/>
      <c r="V37" s="3242">
        <f>I37</f>
        <v>0</v>
      </c>
      <c r="W37" s="324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06" t="str">
        <f>A38</f>
        <v>比较价值（元/平方米）</v>
      </c>
      <c r="Q38" s="3206"/>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00" t="str">
        <f>A39</f>
        <v>估价对象XX用房的比较价值（楼面单价，元/平方米）</v>
      </c>
      <c r="Q39" s="3201"/>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6" t="s">
        <v>2555</v>
      </c>
      <c r="Q9" s="1787" t="str">
        <f t="shared" ref="Q9:Q14" si="6">B9</f>
        <v>用途</v>
      </c>
      <c r="R9" s="763" t="s">
        <v>17</v>
      </c>
      <c r="S9" s="764">
        <f t="shared" si="0"/>
        <v>100</v>
      </c>
      <c r="T9" s="763" t="s">
        <v>17</v>
      </c>
      <c r="U9" s="764">
        <f t="shared" si="1"/>
        <v>100</v>
      </c>
      <c r="V9" s="763" t="s">
        <v>17</v>
      </c>
      <c r="W9" s="764">
        <f t="shared" si="2"/>
        <v>100</v>
      </c>
      <c r="X9" s="765"/>
      <c r="Y9" s="3053"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08" t="s">
        <v>2560</v>
      </c>
      <c r="Q14" s="1802" t="str">
        <f t="shared" si="6"/>
        <v>交通便捷度</v>
      </c>
      <c r="R14" s="767" t="s">
        <v>17</v>
      </c>
      <c r="S14" s="768">
        <f t="shared" si="0"/>
        <v>100</v>
      </c>
      <c r="T14" s="767" t="s">
        <v>17</v>
      </c>
      <c r="U14" s="768">
        <f t="shared" si="1"/>
        <v>100</v>
      </c>
      <c r="V14" s="767" t="s">
        <v>17</v>
      </c>
      <c r="W14" s="768">
        <f t="shared" si="2"/>
        <v>100</v>
      </c>
      <c r="X14" s="1805"/>
      <c r="Y14" s="3208"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09"/>
      <c r="Q15" s="1802"/>
      <c r="R15" s="767"/>
      <c r="S15" s="768"/>
      <c r="T15" s="767"/>
      <c r="U15" s="768"/>
      <c r="V15" s="767"/>
      <c r="W15" s="768"/>
      <c r="X15" s="1805"/>
      <c r="Y15" s="3209"/>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09"/>
      <c r="Q16" s="1802" t="str">
        <f>B16</f>
        <v>公共配套设施</v>
      </c>
      <c r="R16" s="767" t="s">
        <v>17</v>
      </c>
      <c r="S16" s="768">
        <f>F16</f>
        <v>100</v>
      </c>
      <c r="T16" s="767" t="s">
        <v>17</v>
      </c>
      <c r="U16" s="768">
        <f>H16</f>
        <v>100</v>
      </c>
      <c r="V16" s="767" t="s">
        <v>17</v>
      </c>
      <c r="W16" s="768">
        <f>J16</f>
        <v>100</v>
      </c>
      <c r="X16" s="1805"/>
      <c r="Y16" s="3209"/>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09"/>
      <c r="Q17" s="1802"/>
      <c r="R17" s="767"/>
      <c r="S17" s="768"/>
      <c r="T17" s="767"/>
      <c r="U17" s="768"/>
      <c r="V17" s="767"/>
      <c r="W17" s="768"/>
      <c r="X17" s="1805"/>
      <c r="Y17" s="3209"/>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09"/>
      <c r="Q18" s="1802" t="str">
        <f>B18</f>
        <v>基础设施水平</v>
      </c>
      <c r="R18" s="767" t="s">
        <v>17</v>
      </c>
      <c r="S18" s="768">
        <f>F18</f>
        <v>100</v>
      </c>
      <c r="T18" s="767" t="s">
        <v>17</v>
      </c>
      <c r="U18" s="768">
        <f>H18</f>
        <v>100</v>
      </c>
      <c r="V18" s="767" t="s">
        <v>17</v>
      </c>
      <c r="W18" s="768">
        <f>J18</f>
        <v>100</v>
      </c>
      <c r="X18" s="1805"/>
      <c r="Y18" s="3209"/>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09"/>
      <c r="Q19" s="1802"/>
      <c r="R19" s="767"/>
      <c r="S19" s="768"/>
      <c r="T19" s="767"/>
      <c r="U19" s="768"/>
      <c r="V19" s="767"/>
      <c r="W19" s="768"/>
      <c r="X19" s="1805"/>
      <c r="Y19" s="3209"/>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09"/>
      <c r="Q20" s="1802" t="str">
        <f>B20</f>
        <v>自然及人文环境</v>
      </c>
      <c r="R20" s="767" t="s">
        <v>17</v>
      </c>
      <c r="S20" s="768">
        <f>F20</f>
        <v>100</v>
      </c>
      <c r="T20" s="767" t="s">
        <v>17</v>
      </c>
      <c r="U20" s="768">
        <f>H20</f>
        <v>100</v>
      </c>
      <c r="V20" s="767" t="s">
        <v>17</v>
      </c>
      <c r="W20" s="768">
        <f>J20</f>
        <v>100</v>
      </c>
      <c r="X20" s="1805"/>
      <c r="Y20" s="3209"/>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09"/>
      <c r="Q21" s="1802"/>
      <c r="R21" s="767"/>
      <c r="S21" s="768"/>
      <c r="T21" s="767"/>
      <c r="U21" s="768"/>
      <c r="V21" s="767"/>
      <c r="W21" s="768"/>
      <c r="X21" s="1805"/>
      <c r="Y21" s="3209"/>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09"/>
      <c r="Q24" s="1802">
        <f t="shared" ref="Q24:Q34"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10"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11"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11"/>
      <c r="Q27" s="769" t="str">
        <f t="shared" si="11"/>
        <v>成新率</v>
      </c>
      <c r="R27" s="770" t="s">
        <v>17</v>
      </c>
      <c r="S27" s="771" t="e">
        <f t="shared" si="12"/>
        <v>#N/A</v>
      </c>
      <c r="T27" s="770" t="s">
        <v>17</v>
      </c>
      <c r="U27" s="771" t="e">
        <f t="shared" si="13"/>
        <v>#N/A</v>
      </c>
      <c r="V27" s="770" t="s">
        <v>17</v>
      </c>
      <c r="W27" s="771" t="e">
        <f t="shared" si="14"/>
        <v>#N/A</v>
      </c>
      <c r="X27" s="772"/>
      <c r="Y27" s="3211"/>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11"/>
      <c r="Q28" s="1802" t="str">
        <f t="shared" si="11"/>
        <v>物业等级</v>
      </c>
      <c r="R28" s="767" t="s">
        <v>17</v>
      </c>
      <c r="S28" s="768">
        <f t="shared" si="12"/>
        <v>100</v>
      </c>
      <c r="T28" s="767" t="s">
        <v>17</v>
      </c>
      <c r="U28" s="768">
        <f t="shared" si="13"/>
        <v>100</v>
      </c>
      <c r="V28" s="767" t="s">
        <v>17</v>
      </c>
      <c r="W28" s="768">
        <f t="shared" si="14"/>
        <v>100</v>
      </c>
      <c r="X28" s="1805"/>
      <c r="Y28" s="3211"/>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11"/>
      <c r="Q29" s="1802" t="str">
        <f t="shared" si="11"/>
        <v>有无电梯</v>
      </c>
      <c r="R29" s="767" t="s">
        <v>17</v>
      </c>
      <c r="S29" s="768">
        <f t="shared" si="12"/>
        <v>100</v>
      </c>
      <c r="T29" s="767" t="s">
        <v>17</v>
      </c>
      <c r="U29" s="768">
        <f t="shared" si="13"/>
        <v>100</v>
      </c>
      <c r="V29" s="767" t="s">
        <v>17</v>
      </c>
      <c r="W29" s="768">
        <f t="shared" si="14"/>
        <v>100</v>
      </c>
      <c r="X29" s="1805"/>
      <c r="Y29" s="3211"/>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11"/>
      <c r="Q30" s="1802" t="str">
        <f t="shared" si="11"/>
        <v>建筑面积</v>
      </c>
      <c r="R30" s="767" t="s">
        <v>17</v>
      </c>
      <c r="S30" s="768" t="e">
        <f t="shared" si="12"/>
        <v>#N/A</v>
      </c>
      <c r="T30" s="767" t="s">
        <v>17</v>
      </c>
      <c r="U30" s="768" t="e">
        <f t="shared" si="13"/>
        <v>#N/A</v>
      </c>
      <c r="V30" s="767" t="s">
        <v>17</v>
      </c>
      <c r="W30" s="768" t="e">
        <f t="shared" si="14"/>
        <v>#N/A</v>
      </c>
      <c r="X30" s="1805"/>
      <c r="Y30" s="3211"/>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11"/>
      <c r="Q31" s="1787" t="str">
        <f t="shared" si="11"/>
        <v>是否封闭</v>
      </c>
      <c r="R31" s="763" t="s">
        <v>17</v>
      </c>
      <c r="S31" s="764">
        <f t="shared" si="12"/>
        <v>100</v>
      </c>
      <c r="T31" s="763" t="s">
        <v>17</v>
      </c>
      <c r="U31" s="764">
        <f t="shared" si="13"/>
        <v>100</v>
      </c>
      <c r="V31" s="763" t="s">
        <v>17</v>
      </c>
      <c r="W31" s="764">
        <f t="shared" si="14"/>
        <v>100</v>
      </c>
      <c r="X31" s="765"/>
      <c r="Y31" s="3211"/>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11" t="s">
        <v>2565</v>
      </c>
      <c r="Q32" s="1802">
        <f t="shared" si="11"/>
        <v>111</v>
      </c>
      <c r="R32" s="767" t="s">
        <v>17</v>
      </c>
      <c r="S32" s="768">
        <f t="shared" si="12"/>
        <v>100</v>
      </c>
      <c r="T32" s="767" t="s">
        <v>17</v>
      </c>
      <c r="U32" s="768">
        <f t="shared" si="13"/>
        <v>100</v>
      </c>
      <c r="V32" s="767" t="s">
        <v>17</v>
      </c>
      <c r="W32" s="768">
        <f t="shared" si="14"/>
        <v>100</v>
      </c>
      <c r="X32" s="1805"/>
      <c r="Y32" s="3211"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11"/>
      <c r="Q33" s="1802">
        <f t="shared" si="11"/>
        <v>111</v>
      </c>
      <c r="R33" s="767" t="s">
        <v>17</v>
      </c>
      <c r="S33" s="768">
        <f t="shared" si="12"/>
        <v>100</v>
      </c>
      <c r="T33" s="767" t="s">
        <v>17</v>
      </c>
      <c r="U33" s="768">
        <f t="shared" si="13"/>
        <v>100</v>
      </c>
      <c r="V33" s="767" t="s">
        <v>17</v>
      </c>
      <c r="W33" s="768">
        <f t="shared" si="14"/>
        <v>100</v>
      </c>
      <c r="X33" s="1805"/>
      <c r="Y33" s="3211"/>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06" t="str">
        <f>A35</f>
        <v>成交单价（元/平方米）</v>
      </c>
      <c r="Q35" s="3206"/>
      <c r="R35" s="3242">
        <f>E35</f>
        <v>0</v>
      </c>
      <c r="S35" s="3242"/>
      <c r="T35" s="3242">
        <f>G35</f>
        <v>0</v>
      </c>
      <c r="U35" s="3242"/>
      <c r="V35" s="3242">
        <f>I35</f>
        <v>0</v>
      </c>
      <c r="W35" s="324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06" t="str">
        <f>A36</f>
        <v>比较价值（元/平方米）</v>
      </c>
      <c r="Q36" s="320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00" t="str">
        <f>A37</f>
        <v>估价对象XX用房的比较价值（楼面单价，元/平方米）</v>
      </c>
      <c r="Q37" s="3201"/>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09"/>
      <c r="Q19" s="1802" t="str">
        <f t="shared" ref="Q19:Q33" si="8">B19</f>
        <v>区域土地利用方向</v>
      </c>
      <c r="R19" s="767" t="s">
        <v>17</v>
      </c>
      <c r="S19" s="768">
        <f>F19</f>
        <v>100</v>
      </c>
      <c r="T19" s="767" t="s">
        <v>17</v>
      </c>
      <c r="U19" s="768">
        <f>H19</f>
        <v>100</v>
      </c>
      <c r="V19" s="767" t="s">
        <v>17</v>
      </c>
      <c r="W19" s="768">
        <f>J19</f>
        <v>100</v>
      </c>
      <c r="X19" s="1805"/>
      <c r="Y19" s="3209"/>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09"/>
      <c r="Q20" s="1802"/>
      <c r="R20" s="767"/>
      <c r="S20" s="768"/>
      <c r="T20" s="767"/>
      <c r="U20" s="768"/>
      <c r="V20" s="767"/>
      <c r="W20" s="768"/>
      <c r="X20" s="1805"/>
      <c r="Y20" s="3209"/>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09"/>
      <c r="Q21" s="1802" t="str">
        <f t="shared" si="8"/>
        <v>环境状况</v>
      </c>
      <c r="R21" s="767" t="s">
        <v>17</v>
      </c>
      <c r="S21" s="768">
        <f>F21</f>
        <v>100</v>
      </c>
      <c r="T21" s="767" t="s">
        <v>17</v>
      </c>
      <c r="U21" s="768">
        <f>H21</f>
        <v>100</v>
      </c>
      <c r="V21" s="767" t="s">
        <v>17</v>
      </c>
      <c r="W21" s="768">
        <f>J21</f>
        <v>100</v>
      </c>
      <c r="X21" s="1805"/>
      <c r="Y21" s="3209"/>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09"/>
      <c r="Q23" s="1787" t="str">
        <f t="shared" si="8"/>
        <v>公共配套设施</v>
      </c>
      <c r="R23" s="763" t="s">
        <v>17</v>
      </c>
      <c r="S23" s="764">
        <f>F23</f>
        <v>100</v>
      </c>
      <c r="T23" s="763" t="s">
        <v>17</v>
      </c>
      <c r="U23" s="764">
        <f>H23</f>
        <v>100</v>
      </c>
      <c r="V23" s="763" t="s">
        <v>17</v>
      </c>
      <c r="W23" s="764">
        <f>J23</f>
        <v>100</v>
      </c>
      <c r="X23" s="765"/>
      <c r="Y23" s="3209"/>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09"/>
      <c r="Q24" s="1787"/>
      <c r="R24" s="763"/>
      <c r="S24" s="764"/>
      <c r="T24" s="763"/>
      <c r="U24" s="764"/>
      <c r="V24" s="763"/>
      <c r="W24" s="764"/>
      <c r="X24" s="765"/>
      <c r="Y24" s="3209"/>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09"/>
      <c r="Q25" s="1787" t="str">
        <f t="shared" ref="Q25" si="9">B25</f>
        <v>基础设施水平</v>
      </c>
      <c r="R25" s="763" t="s">
        <v>17</v>
      </c>
      <c r="S25" s="764">
        <f>F25</f>
        <v>100</v>
      </c>
      <c r="T25" s="763" t="s">
        <v>17</v>
      </c>
      <c r="U25" s="764">
        <f>H25</f>
        <v>100</v>
      </c>
      <c r="V25" s="763" t="s">
        <v>17</v>
      </c>
      <c r="W25" s="764">
        <f>J25</f>
        <v>100</v>
      </c>
      <c r="X25" s="765"/>
      <c r="Y25" s="3209"/>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09"/>
      <c r="Q26" s="1787"/>
      <c r="R26" s="763"/>
      <c r="S26" s="764"/>
      <c r="T26" s="763"/>
      <c r="U26" s="764"/>
      <c r="V26" s="763"/>
      <c r="W26" s="764"/>
      <c r="X26" s="765"/>
      <c r="Y26" s="3209"/>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09"/>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09"/>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09"/>
      <c r="Q28" s="1802" t="str">
        <f t="shared" si="8"/>
        <v>毗邻道路的类型与等级</v>
      </c>
      <c r="R28" s="767" t="s">
        <v>17</v>
      </c>
      <c r="S28" s="768">
        <f t="shared" si="10"/>
        <v>100</v>
      </c>
      <c r="T28" s="767" t="s">
        <v>17</v>
      </c>
      <c r="U28" s="768">
        <f t="shared" si="11"/>
        <v>100</v>
      </c>
      <c r="V28" s="767" t="s">
        <v>17</v>
      </c>
      <c r="W28" s="768">
        <f t="shared" si="12"/>
        <v>100</v>
      </c>
      <c r="X28" s="1805"/>
      <c r="Y28" s="3209"/>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09"/>
      <c r="Q29" s="1802"/>
      <c r="R29" s="767"/>
      <c r="S29" s="768"/>
      <c r="T29" s="767"/>
      <c r="U29" s="768"/>
      <c r="V29" s="767"/>
      <c r="W29" s="768"/>
      <c r="X29" s="1805"/>
      <c r="Y29" s="3209"/>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09"/>
      <c r="Q30" s="1802" t="str">
        <f t="shared" si="8"/>
        <v>土地级别</v>
      </c>
      <c r="R30" s="767" t="s">
        <v>17</v>
      </c>
      <c r="S30" s="768">
        <f t="shared" si="10"/>
        <v>100</v>
      </c>
      <c r="T30" s="767" t="s">
        <v>17</v>
      </c>
      <c r="U30" s="768">
        <f t="shared" si="11"/>
        <v>100</v>
      </c>
      <c r="V30" s="767" t="s">
        <v>17</v>
      </c>
      <c r="W30" s="768">
        <f t="shared" si="12"/>
        <v>100</v>
      </c>
      <c r="X30" s="1805"/>
      <c r="Y30" s="3209"/>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09"/>
      <c r="Q31" s="1802">
        <f t="shared" si="8"/>
        <v>111</v>
      </c>
      <c r="R31" s="767" t="s">
        <v>17</v>
      </c>
      <c r="S31" s="768">
        <f t="shared" si="10"/>
        <v>100</v>
      </c>
      <c r="T31" s="767" t="s">
        <v>17</v>
      </c>
      <c r="U31" s="768">
        <f t="shared" si="11"/>
        <v>100</v>
      </c>
      <c r="V31" s="767" t="s">
        <v>17</v>
      </c>
      <c r="W31" s="768">
        <f t="shared" si="12"/>
        <v>100</v>
      </c>
      <c r="X31" s="1805"/>
      <c r="Y31" s="3209"/>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10" t="s">
        <v>2565</v>
      </c>
      <c r="Q32" s="1802">
        <f t="shared" si="8"/>
        <v>111</v>
      </c>
      <c r="R32" s="767" t="s">
        <v>17</v>
      </c>
      <c r="S32" s="768">
        <f t="shared" si="10"/>
        <v>100</v>
      </c>
      <c r="T32" s="767" t="s">
        <v>17</v>
      </c>
      <c r="U32" s="768">
        <f t="shared" si="11"/>
        <v>100</v>
      </c>
      <c r="V32" s="767" t="s">
        <v>17</v>
      </c>
      <c r="W32" s="768">
        <f t="shared" si="12"/>
        <v>100</v>
      </c>
      <c r="X32" s="1805"/>
      <c r="Y32" s="3211"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11"/>
      <c r="Q33" s="1802">
        <f t="shared" si="8"/>
        <v>111</v>
      </c>
      <c r="R33" s="770" t="s">
        <v>17</v>
      </c>
      <c r="S33" s="771">
        <f t="shared" si="10"/>
        <v>100</v>
      </c>
      <c r="T33" s="770" t="s">
        <v>17</v>
      </c>
      <c r="U33" s="771">
        <f t="shared" si="11"/>
        <v>100</v>
      </c>
      <c r="V33" s="770" t="s">
        <v>17</v>
      </c>
      <c r="W33" s="771">
        <f t="shared" si="12"/>
        <v>100</v>
      </c>
      <c r="X33" s="772"/>
      <c r="Y33" s="3211"/>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11"/>
      <c r="Q34" s="1802" t="str">
        <f>B34</f>
        <v>宗地面积</v>
      </c>
      <c r="R34" s="767" t="s">
        <v>17</v>
      </c>
      <c r="S34" s="768" t="e">
        <f t="shared" si="10"/>
        <v>#N/A</v>
      </c>
      <c r="T34" s="767" t="s">
        <v>17</v>
      </c>
      <c r="U34" s="768" t="e">
        <f t="shared" si="11"/>
        <v>#N/A</v>
      </c>
      <c r="V34" s="767" t="s">
        <v>17</v>
      </c>
      <c r="W34" s="768" t="e">
        <f t="shared" si="12"/>
        <v>#N/A</v>
      </c>
      <c r="X34" s="1805"/>
      <c r="Y34" s="3211"/>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11"/>
      <c r="Q35" s="1802" t="str">
        <f t="shared" ref="Q35:Q40" si="14">B35</f>
        <v>宗地形状</v>
      </c>
      <c r="R35" s="767" t="s">
        <v>17</v>
      </c>
      <c r="S35" s="768">
        <f t="shared" si="10"/>
        <v>100</v>
      </c>
      <c r="T35" s="767" t="s">
        <v>17</v>
      </c>
      <c r="U35" s="768">
        <f t="shared" si="11"/>
        <v>100</v>
      </c>
      <c r="V35" s="767" t="s">
        <v>17</v>
      </c>
      <c r="W35" s="768">
        <f t="shared" si="12"/>
        <v>100</v>
      </c>
      <c r="X35" s="1805"/>
      <c r="Y35" s="3211"/>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11"/>
      <c r="Q36" s="1802" t="str">
        <f t="shared" si="14"/>
        <v>宗地开发程度</v>
      </c>
      <c r="R36" s="763" t="s">
        <v>17</v>
      </c>
      <c r="S36" s="764">
        <f t="shared" si="10"/>
        <v>100</v>
      </c>
      <c r="T36" s="763" t="s">
        <v>17</v>
      </c>
      <c r="U36" s="764">
        <f t="shared" si="11"/>
        <v>100</v>
      </c>
      <c r="V36" s="763" t="s">
        <v>17</v>
      </c>
      <c r="W36" s="764">
        <f t="shared" si="12"/>
        <v>100</v>
      </c>
      <c r="X36" s="765"/>
      <c r="Y36" s="3211"/>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11" t="s">
        <v>2565</v>
      </c>
      <c r="Q37" s="1802" t="str">
        <f t="shared" si="14"/>
        <v>工程地质条件</v>
      </c>
      <c r="R37" s="767" t="s">
        <v>17</v>
      </c>
      <c r="S37" s="768">
        <f t="shared" si="10"/>
        <v>100</v>
      </c>
      <c r="T37" s="767" t="s">
        <v>17</v>
      </c>
      <c r="U37" s="768">
        <f t="shared" si="11"/>
        <v>100</v>
      </c>
      <c r="V37" s="767" t="s">
        <v>17</v>
      </c>
      <c r="W37" s="768">
        <f t="shared" si="12"/>
        <v>100</v>
      </c>
      <c r="X37" s="1805"/>
      <c r="Y37" s="3211"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11"/>
      <c r="Q38" s="1802">
        <f t="shared" si="14"/>
        <v>111</v>
      </c>
      <c r="R38" s="767" t="s">
        <v>17</v>
      </c>
      <c r="S38" s="768">
        <f t="shared" si="10"/>
        <v>100</v>
      </c>
      <c r="T38" s="767" t="s">
        <v>17</v>
      </c>
      <c r="U38" s="768">
        <f t="shared" si="11"/>
        <v>100</v>
      </c>
      <c r="V38" s="767" t="s">
        <v>17</v>
      </c>
      <c r="W38" s="768">
        <f t="shared" si="12"/>
        <v>100</v>
      </c>
      <c r="X38" s="1805"/>
      <c r="Y38" s="3211"/>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11"/>
      <c r="Q39" s="1802">
        <f t="shared" si="14"/>
        <v>111</v>
      </c>
      <c r="R39" s="767" t="s">
        <v>17</v>
      </c>
      <c r="S39" s="768">
        <f t="shared" si="10"/>
        <v>100</v>
      </c>
      <c r="T39" s="767" t="s">
        <v>17</v>
      </c>
      <c r="U39" s="768">
        <f t="shared" si="11"/>
        <v>100</v>
      </c>
      <c r="V39" s="767" t="s">
        <v>17</v>
      </c>
      <c r="W39" s="768">
        <f t="shared" si="12"/>
        <v>100</v>
      </c>
      <c r="X39" s="1805"/>
      <c r="Y39" s="3211"/>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11"/>
      <c r="Q40" s="1802">
        <f t="shared" si="14"/>
        <v>111</v>
      </c>
      <c r="R40" s="770" t="s">
        <v>17</v>
      </c>
      <c r="S40" s="771">
        <f t="shared" si="10"/>
        <v>100</v>
      </c>
      <c r="T40" s="770" t="s">
        <v>17</v>
      </c>
      <c r="U40" s="771">
        <f t="shared" si="11"/>
        <v>100</v>
      </c>
      <c r="V40" s="770" t="s">
        <v>17</v>
      </c>
      <c r="W40" s="771">
        <f t="shared" si="12"/>
        <v>100</v>
      </c>
      <c r="X40" s="772"/>
      <c r="Y40" s="3211"/>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06" t="str">
        <f>A41</f>
        <v>成交单价</v>
      </c>
      <c r="Q41" s="3206"/>
      <c r="R41" s="3212">
        <f>E41</f>
        <v>0</v>
      </c>
      <c r="S41" s="3212"/>
      <c r="T41" s="3212">
        <f>G41</f>
        <v>0</v>
      </c>
      <c r="U41" s="3212"/>
      <c r="V41" s="3212">
        <f>I41</f>
        <v>0</v>
      </c>
      <c r="W41" s="3212"/>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6" t="str">
        <f>A42</f>
        <v>比较价值（元/平方米）</v>
      </c>
      <c r="Q42" s="3206"/>
      <c r="R42" s="3199" t="e">
        <f>ROUND(PRODUCT(R41,AA7:AA40),0)</f>
        <v>#DIV/0!</v>
      </c>
      <c r="S42" s="3199"/>
      <c r="T42" s="3199" t="e">
        <f>ROUND(PRODUCT(T41,AB7:AB40),0)</f>
        <v>#DIV/0!</v>
      </c>
      <c r="U42" s="3199"/>
      <c r="V42" s="3199" t="e">
        <f>ROUND(PRODUCT(V41,AC7:AC40),0)</f>
        <v>#DIV/0!</v>
      </c>
      <c r="W42" s="3199"/>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00" t="str">
        <f>A43</f>
        <v>估价对象XX用房的比较价值（楼面单价，元/平方米）</v>
      </c>
      <c r="Q43" s="3201"/>
      <c r="R43" s="3202" t="e">
        <f>ROUND(AVERAGE(R42:V42),0)</f>
        <v>#DIV/0!</v>
      </c>
      <c r="S43" s="3202"/>
      <c r="T43" s="3202"/>
      <c r="U43" s="3202"/>
      <c r="V43" s="3202"/>
      <c r="W43" s="3202"/>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03" t="s">
        <v>2764</v>
      </c>
      <c r="H50" s="3204"/>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05"/>
      <c r="H51" s="320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07"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07"/>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07"/>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07"/>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01"/>
      <c r="B4" s="3302"/>
      <c r="C4" s="3302"/>
      <c r="D4" s="3303"/>
      <c r="E4" s="3303"/>
      <c r="F4" s="3303"/>
      <c r="G4" s="3303"/>
      <c r="H4" s="3303"/>
      <c r="I4" s="3303"/>
      <c r="J4" s="3304"/>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305"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306"/>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298" t="s">
        <v>2840</v>
      </c>
      <c r="X8" s="329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306"/>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00"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6"/>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0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06"/>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00"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305"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0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7"/>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00"/>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07"/>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08"/>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05"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6"/>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15"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16"/>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6"/>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17"/>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9" t="s">
        <v>2974</v>
      </c>
      <c r="B90" s="3309"/>
      <c r="C90" s="3309"/>
      <c r="D90" s="3309"/>
      <c r="E90" s="3309"/>
      <c r="F90" s="3309"/>
      <c r="G90" s="3309"/>
      <c r="H90" s="3309"/>
      <c r="I90" s="3309"/>
      <c r="J90" s="3309"/>
      <c r="K90" s="2883"/>
      <c r="L90" s="2883"/>
      <c r="M90" s="2883"/>
      <c r="N90" s="2883"/>
    </row>
    <row r="91" spans="1:37">
      <c r="A91" s="3311" t="s">
        <v>2975</v>
      </c>
      <c r="B91" s="3311" t="s">
        <v>2976</v>
      </c>
      <c r="C91" s="2837" t="s">
        <v>2977</v>
      </c>
      <c r="D91" s="2838"/>
      <c r="E91" s="2838"/>
      <c r="F91" s="2838"/>
      <c r="G91" s="2838"/>
      <c r="H91" s="2838"/>
      <c r="I91" s="2838"/>
      <c r="J91" s="2884"/>
      <c r="K91" s="2885"/>
      <c r="L91" s="2885"/>
      <c r="M91" s="2885"/>
      <c r="N91" s="2885"/>
    </row>
    <row r="92" spans="1:37">
      <c r="A92" s="3311"/>
      <c r="B92" s="3311"/>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12"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3"/>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2"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13"/>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13"/>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13"/>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13"/>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13"/>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13"/>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13"/>
      <c r="B108" s="3169"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4"/>
      <c r="B109" s="3170"/>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10" t="s">
        <v>2982</v>
      </c>
      <c r="B110" s="3310"/>
      <c r="C110" s="3310"/>
      <c r="D110" s="3310"/>
      <c r="E110" s="3310"/>
      <c r="F110" s="3310"/>
      <c r="G110" s="3310"/>
      <c r="H110" s="3310"/>
      <c r="I110" s="3310"/>
      <c r="J110" s="3310"/>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191600</v>
      </c>
      <c r="E5" s="1951"/>
    </row>
    <row r="6" spans="1:5" ht="15.75">
      <c r="A6" s="1951"/>
      <c r="B6" s="3011"/>
      <c r="C6" s="1954" t="s">
        <v>1625</v>
      </c>
      <c r="D6" s="1033" t="str">
        <f ca="1">NUMBERSTRING(INT(D5*10000),2)&amp;"元整"</f>
        <v>壹拾玖亿壹仟陆佰万元整</v>
      </c>
      <c r="E6" s="1951"/>
    </row>
    <row r="7" spans="1:5" ht="15.75">
      <c r="A7" s="1951"/>
      <c r="B7" s="3016"/>
      <c r="C7" s="1955" t="s">
        <v>1626</v>
      </c>
      <c r="D7" s="1034">
        <f ca="1">结果表!H102</f>
        <v>18527</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191600</v>
      </c>
      <c r="E13" s="1951"/>
    </row>
    <row r="14" spans="1:5" ht="15.75">
      <c r="A14" s="1951"/>
      <c r="B14" s="3011"/>
      <c r="C14" s="1954" t="s">
        <v>1625</v>
      </c>
      <c r="D14" s="1033" t="str">
        <f ca="1">NUMBERSTRING(INT(D13*10000),2)&amp;"元整"</f>
        <v>壹拾玖亿壹仟陆佰万元整</v>
      </c>
      <c r="E14" s="1951"/>
    </row>
    <row r="15" spans="1:5" ht="15">
      <c r="A15" s="1951"/>
      <c r="B15" s="3016"/>
      <c r="C15" s="1955" t="s">
        <v>1635</v>
      </c>
      <c r="D15" s="1045">
        <f ca="1">结果表!H108</f>
        <v>18527</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3" t="s">
        <v>1151</v>
      </c>
      <c r="H1" s="3323"/>
      <c r="I1" s="3323"/>
      <c r="J1" s="3323"/>
      <c r="K1" s="3323"/>
      <c r="L1" s="3323"/>
      <c r="N1" s="3323" t="s">
        <v>1152</v>
      </c>
      <c r="O1" s="3323"/>
      <c r="P1" s="3323"/>
      <c r="Q1" s="3323"/>
      <c r="R1" s="1439"/>
      <c r="S1" s="3323" t="s">
        <v>1153</v>
      </c>
      <c r="T1" s="3323"/>
      <c r="U1" s="3323"/>
      <c r="V1" s="3323"/>
      <c r="X1" s="3322" t="s">
        <v>1154</v>
      </c>
      <c r="Y1" s="3323"/>
      <c r="Z1" s="3323"/>
      <c r="AA1" s="3323"/>
      <c r="AB1" s="3323"/>
      <c r="AD1" s="3322" t="s">
        <v>1155</v>
      </c>
      <c r="AE1" s="3323"/>
      <c r="AF1" s="3323"/>
      <c r="AG1" s="3323"/>
      <c r="AH1" s="3323"/>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1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1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1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1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1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1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1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1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1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1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1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19">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0">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0">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1">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19">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0">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0">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91" t="s">
        <v>33</v>
      </c>
      <c r="D22" s="3192"/>
      <c r="E22" s="3192"/>
      <c r="F22" s="3192"/>
      <c r="G22" s="3192"/>
      <c r="H22" s="3192"/>
      <c r="I22" s="3192"/>
      <c r="J22" s="3192"/>
      <c r="K22" s="3192"/>
      <c r="L22" s="3192"/>
      <c r="M22" s="3192"/>
      <c r="N22" s="3192"/>
      <c r="O22" s="3192"/>
      <c r="P22" s="319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66260</v>
      </c>
      <c r="C2" s="2" t="s">
        <v>133</v>
      </c>
      <c r="D2" s="236"/>
      <c r="E2" s="236"/>
      <c r="F2" s="236"/>
      <c r="G2" s="236"/>
    </row>
    <row r="3" spans="1:7" s="237" customFormat="1" ht="18" customHeight="1" thickBot="1">
      <c r="A3" s="240" t="s">
        <v>85</v>
      </c>
      <c r="B3" s="241">
        <f ca="1">ROUND(B2*10000/'数据-汇总表'!E3,0)</f>
        <v>6407</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24484</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22044</v>
      </c>
      <c r="D34" s="254"/>
      <c r="E34" s="257"/>
      <c r="F34" s="294">
        <f>IF('数据-取费表'!B24=0,1,'数据-取费表'!N16)</f>
        <v>0.7</v>
      </c>
      <c r="G34" s="256" t="s">
        <v>116</v>
      </c>
    </row>
    <row r="35" spans="1:7" ht="13.5" customHeight="1">
      <c r="A35" s="944" t="s">
        <v>796</v>
      </c>
      <c r="B35" s="252" t="s">
        <v>60</v>
      </c>
      <c r="C35" s="257">
        <f>ROUND(C34*F35,0)</f>
        <v>661</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331</v>
      </c>
      <c r="D38" s="257"/>
      <c r="E38" s="257"/>
      <c r="F38" s="296">
        <f>'数据-取费表'!B36</f>
        <v>1.4999999999999999E-2</v>
      </c>
      <c r="G38" s="256" t="s">
        <v>117</v>
      </c>
    </row>
    <row r="39" spans="1:7" s="251" customFormat="1" ht="13.5" customHeight="1">
      <c r="A39" s="941" t="s">
        <v>783</v>
      </c>
      <c r="B39" s="247" t="s">
        <v>104</v>
      </c>
      <c r="C39" s="269">
        <f>ROUND(C33*F20,0)</f>
        <v>490</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1553</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1523</v>
      </c>
      <c r="D42" s="275"/>
      <c r="E42" s="275"/>
      <c r="F42" s="276"/>
      <c r="G42" s="3196" t="s">
        <v>121</v>
      </c>
    </row>
    <row r="43" spans="1:7" ht="13.5" customHeight="1">
      <c r="A43" s="944" t="s">
        <v>792</v>
      </c>
      <c r="B43" s="252" t="s">
        <v>1064</v>
      </c>
      <c r="C43" s="275">
        <f ca="1">ROUND(IF('数据-取费表'!B22&lt;=1,C39*F22*'数据-取费表'!B21/2,C39*(POWER((1+F22),'数据-取费表'!B21/2)-1)),0)</f>
        <v>30</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4745</v>
      </c>
      <c r="D45" s="272">
        <f>C47</f>
        <v>3.8E-3</v>
      </c>
      <c r="E45" s="273" t="s">
        <v>129</v>
      </c>
      <c r="F45" s="283"/>
      <c r="G45" s="284" t="s">
        <v>1072</v>
      </c>
    </row>
    <row r="46" spans="1:7" s="251" customFormat="1" ht="13.5" customHeight="1">
      <c r="A46" s="944" t="s">
        <v>794</v>
      </c>
      <c r="B46" s="285" t="s">
        <v>1065</v>
      </c>
      <c r="C46" s="286">
        <f>ROUND((C33+C39)*F27,0)</f>
        <v>4745</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33895</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33895</v>
      </c>
      <c r="D51" s="269"/>
      <c r="E51" s="269"/>
      <c r="F51" s="301"/>
      <c r="G51" s="271" t="s">
        <v>64</v>
      </c>
    </row>
    <row r="52" spans="1:7" s="245" customFormat="1" ht="16.5" thickBot="1">
      <c r="A52" s="302" t="s">
        <v>65</v>
      </c>
      <c r="B52" s="303"/>
      <c r="C52" s="304">
        <f ca="1">C31+C51</f>
        <v>66260</v>
      </c>
      <c r="D52" s="303"/>
      <c r="E52" s="303"/>
      <c r="F52" s="303"/>
      <c r="G52" s="305"/>
    </row>
    <row r="55" spans="1:7" ht="15">
      <c r="B55" s="307" t="s">
        <v>66</v>
      </c>
      <c r="C55" s="308"/>
    </row>
    <row r="56" spans="1:7">
      <c r="B56" s="310" t="s">
        <v>67</v>
      </c>
      <c r="C56" s="311">
        <f ca="1">ROUND(C51/C52,3)</f>
        <v>0.51200000000000001</v>
      </c>
    </row>
    <row r="57" spans="1:7">
      <c r="B57" s="310" t="s">
        <v>68</v>
      </c>
      <c r="C57" s="312">
        <f ca="1">1-C56</f>
        <v>0.48799999999999999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191600</v>
      </c>
      <c r="I4" s="1037">
        <f ca="1">结果表!I118</f>
        <v>18527</v>
      </c>
    </row>
    <row r="5" spans="1:9" ht="30" customHeight="1">
      <c r="A5" s="3024" t="s">
        <v>1641</v>
      </c>
      <c r="B5" s="3024"/>
      <c r="C5" s="3024"/>
      <c r="D5" s="3025" t="e">
        <f ca="1">结果表!D119</f>
        <v>#REF!</v>
      </c>
      <c r="E5" s="3025"/>
      <c r="F5" s="3025" t="e">
        <f ca="1">结果表!F119</f>
        <v>#REF!</v>
      </c>
      <c r="G5" s="3025"/>
      <c r="H5" s="3025" t="str">
        <f ca="1">结果表!H119</f>
        <v>壹拾玖亿壹仟陆佰万元整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1641</v>
      </c>
      <c r="B7" s="3024"/>
      <c r="C7" s="3024"/>
      <c r="D7" s="3026" t="str">
        <f>结果表!D121</f>
        <v>零元整</v>
      </c>
      <c r="E7" s="3027"/>
      <c r="F7" s="3027"/>
      <c r="G7" s="3027"/>
      <c r="H7" s="3027"/>
      <c r="I7" s="3028"/>
    </row>
    <row r="8" spans="1:9" ht="15.75">
      <c r="A8" s="3023" t="str">
        <f>结果表!A122</f>
        <v>房地产抵押价值</v>
      </c>
      <c r="B8" s="3023"/>
      <c r="C8" s="3023"/>
      <c r="D8" s="3023">
        <f ca="1">结果表!D122</f>
        <v>191600</v>
      </c>
      <c r="E8" s="3023"/>
      <c r="F8" s="3023"/>
      <c r="G8" s="3023"/>
      <c r="H8" s="3023"/>
      <c r="I8" s="3023"/>
    </row>
    <row r="9" spans="1:9" ht="15">
      <c r="A9" s="3024" t="s">
        <v>1641</v>
      </c>
      <c r="B9" s="3024"/>
      <c r="C9" s="3024"/>
      <c r="D9" s="3025" t="str">
        <f ca="1">结果表!D123</f>
        <v>壹拾玖亿壹仟陆佰万元整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1641</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3549</v>
      </c>
    </row>
    <row r="2" spans="1:3">
      <c r="A2" s="2983" t="s">
        <v>3550</v>
      </c>
      <c r="B2" s="2983" t="s">
        <v>3551</v>
      </c>
      <c r="C2" s="2983" t="s">
        <v>3552</v>
      </c>
    </row>
    <row r="3" spans="1:3">
      <c r="A3" s="2983" t="s">
        <v>3553</v>
      </c>
      <c r="B3">
        <v>15244.95</v>
      </c>
      <c r="C3" s="2983" t="s">
        <v>3554</v>
      </c>
    </row>
    <row r="4" spans="1:3">
      <c r="A4" s="2983" t="s">
        <v>3609</v>
      </c>
      <c r="B4">
        <v>4042.11</v>
      </c>
      <c r="C4" s="2983" t="s">
        <v>3554</v>
      </c>
    </row>
    <row r="5" spans="1:3" ht="14.25">
      <c r="A5" s="2983" t="s">
        <v>3610</v>
      </c>
      <c r="B5">
        <v>7275.56</v>
      </c>
      <c r="C5" s="2983" t="s">
        <v>3554</v>
      </c>
    </row>
    <row r="6" spans="1:3" ht="14.25">
      <c r="A6" s="2983" t="s">
        <v>3611</v>
      </c>
      <c r="B6">
        <v>21950.62</v>
      </c>
      <c r="C6" s="2983" t="s">
        <v>3554</v>
      </c>
    </row>
    <row r="7" spans="1:3" ht="14.25">
      <c r="A7" s="2983" t="s">
        <v>3612</v>
      </c>
      <c r="B7">
        <v>23486.38</v>
      </c>
      <c r="C7" s="2983" t="s">
        <v>3554</v>
      </c>
    </row>
    <row r="8" spans="1:3" ht="14.25">
      <c r="A8" s="2983" t="s">
        <v>3613</v>
      </c>
      <c r="B8">
        <v>7675.95</v>
      </c>
      <c r="C8" s="2983" t="s">
        <v>3554</v>
      </c>
    </row>
    <row r="9" spans="1:3" ht="14.25">
      <c r="A9" s="2983" t="s">
        <v>3614</v>
      </c>
      <c r="B9">
        <v>20976.18</v>
      </c>
      <c r="C9" s="2983" t="s">
        <v>3554</v>
      </c>
    </row>
    <row r="10" spans="1:3" ht="14.25">
      <c r="A10" s="2983" t="s">
        <v>3615</v>
      </c>
      <c r="B10">
        <v>11352.64</v>
      </c>
      <c r="C10" s="2983" t="s">
        <v>3554</v>
      </c>
    </row>
    <row r="11" spans="1:3" ht="14.25">
      <c r="A11" s="2983" t="s">
        <v>3616</v>
      </c>
      <c r="B11">
        <v>12866.75</v>
      </c>
      <c r="C11" s="2983" t="s">
        <v>3554</v>
      </c>
    </row>
    <row r="12" spans="1:3" ht="14.25">
      <c r="A12" s="2983" t="s">
        <v>3617</v>
      </c>
      <c r="B12">
        <v>24783.39</v>
      </c>
      <c r="C12" s="2983" t="s">
        <v>3554</v>
      </c>
    </row>
    <row r="13" spans="1:3">
      <c r="A13" s="2983" t="s">
        <v>3618</v>
      </c>
      <c r="B13">
        <f>SUM(B3:B12)</f>
        <v>149654.53</v>
      </c>
    </row>
    <row r="15" spans="1:3">
      <c r="A15" s="2983" t="s">
        <v>3619</v>
      </c>
      <c r="B15">
        <v>56144.93</v>
      </c>
    </row>
    <row r="16" spans="1:3">
      <c r="A16" s="2983" t="s">
        <v>3620</v>
      </c>
      <c r="B16">
        <f>'数据-汇总表'!E31</f>
        <v>103416.52</v>
      </c>
    </row>
    <row r="17" spans="1:2">
      <c r="A17" s="2983" t="s">
        <v>3621</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7" t="s">
        <v>1663</v>
      </c>
      <c r="B1" s="3037"/>
      <c r="C1" s="3037"/>
      <c r="D1" s="3037"/>
    </row>
    <row r="2" spans="1:4" ht="18">
      <c r="A2" s="3038" t="s">
        <v>1647</v>
      </c>
      <c r="B2" s="3038"/>
      <c r="C2" s="3038"/>
      <c r="D2" s="3038"/>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8" t="s">
        <v>1653</v>
      </c>
      <c r="B6" s="3038"/>
      <c r="C6" s="3038"/>
      <c r="D6" s="3038"/>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9"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1657</v>
      </c>
      <c r="B16" s="3033"/>
      <c r="C16" s="3033"/>
      <c r="D16" s="3033"/>
    </row>
    <row r="17" spans="1:4" ht="144" customHeight="1">
      <c r="A17" s="3033" t="s">
        <v>1658</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1659</v>
      </c>
      <c r="B22" s="3035"/>
      <c r="C22" s="3035"/>
      <c r="D22" s="3035"/>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43171</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2018-03-12T09:21:20Z</dcterms:modified>
</cp:coreProperties>
</file>