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4"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externalReferences>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1" i="6" l="1"/>
  <c r="C38" i="39" l="1"/>
  <c r="Q72" i="82" l="1"/>
  <c r="Q59" i="82"/>
  <c r="K59" i="82"/>
  <c r="P74" i="82" s="1"/>
  <c r="Q58" i="82"/>
  <c r="Q51" i="82"/>
  <c r="J50" i="82"/>
  <c r="J51" i="82" s="1"/>
  <c r="M47" i="82"/>
  <c r="D46" i="82"/>
  <c r="F33" i="82"/>
  <c r="F61" i="82" s="1"/>
  <c r="F23" i="82"/>
  <c r="F21" i="82"/>
  <c r="F20" i="82"/>
  <c r="M19" i="82"/>
  <c r="F18" i="82"/>
  <c r="F17" i="82"/>
  <c r="F15" i="82"/>
  <c r="D23" i="82" l="1"/>
  <c r="D22" i="82"/>
  <c r="D24" i="82"/>
  <c r="P61" i="82"/>
  <c r="B13" i="79"/>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Q20" i="3" l="1"/>
  <c r="U20" i="3"/>
  <c r="O20" i="3"/>
  <c r="M20" i="3"/>
  <c r="I20" i="3"/>
  <c r="Q19" i="3"/>
  <c r="O19" i="3"/>
  <c r="M19" i="3"/>
  <c r="I19" i="3"/>
  <c r="U18" i="3"/>
  <c r="O18" i="3"/>
  <c r="I18" i="3"/>
  <c r="Q17" i="3"/>
  <c r="U17" i="3"/>
  <c r="O17" i="3"/>
  <c r="M17" i="3"/>
  <c r="I17" i="3"/>
  <c r="U16" i="3"/>
  <c r="Q16" i="3"/>
  <c r="I16" i="3"/>
  <c r="U15" i="3"/>
  <c r="Q15" i="3"/>
  <c r="O15" i="3"/>
  <c r="M15" i="3"/>
  <c r="I15" i="3"/>
  <c r="Q14" i="3"/>
  <c r="U14" i="3"/>
  <c r="M14" i="3"/>
  <c r="I14" i="3"/>
  <c r="U13" i="3"/>
  <c r="S13" i="3"/>
  <c r="G24" i="6" s="1"/>
  <c r="E57" i="39" s="1"/>
  <c r="Q13" i="3"/>
  <c r="F23" i="6" s="1"/>
  <c r="M13" i="3"/>
  <c r="I13" i="3"/>
  <c r="F19" i="6" l="1"/>
  <c r="G25" i="6"/>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E11" i="76"/>
  <c r="B12" i="76"/>
  <c r="B10" i="76"/>
  <c r="E10" i="76"/>
  <c r="B13" i="76"/>
  <c r="E7" i="76"/>
  <c r="B8" i="76"/>
  <c r="B7" i="76"/>
  <c r="E13" i="76"/>
  <c r="E9" i="76"/>
  <c r="E8" i="76"/>
  <c r="B11"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F4" i="73"/>
  <c r="D5" i="73"/>
  <c r="F5" i="73"/>
  <c r="I1" i="73" l="1"/>
  <c r="B39" i="1" s="1"/>
  <c r="D3" i="73"/>
  <c r="D6" i="73"/>
  <c r="D7" i="73"/>
  <c r="D4"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R493" i="3"/>
  <c r="BS493" i="3"/>
  <c r="BS5" i="3" s="1"/>
  <c r="BT493" i="3"/>
  <c r="H494" i="3"/>
  <c r="G494" i="3" s="1"/>
  <c r="AC494" i="3"/>
  <c r="BB494" i="3"/>
  <c r="BB5" i="3" s="1"/>
  <c r="BC494" i="3"/>
  <c r="BD494" i="3"/>
  <c r="BE494" i="3"/>
  <c r="BF494" i="3"/>
  <c r="BG494" i="3"/>
  <c r="BH494" i="3"/>
  <c r="BH5" i="3" s="1"/>
  <c r="BI494" i="3"/>
  <c r="BJ494" i="3"/>
  <c r="BK494" i="3"/>
  <c r="BM494" i="3"/>
  <c r="BL494" i="3" s="1"/>
  <c r="AZ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AZ497" i="3" s="1"/>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J34" i="39" s="1"/>
  <c r="AC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U46" i="34" s="1"/>
  <c r="B127" i="34"/>
  <c r="B99" i="34"/>
  <c r="F32" i="34" s="1"/>
  <c r="B97" i="34"/>
  <c r="B95" i="34"/>
  <c r="H30" i="34" s="1"/>
  <c r="B93" i="34"/>
  <c r="B75" i="34"/>
  <c r="F14" i="34" s="1"/>
  <c r="S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H22" i="35"/>
  <c r="AB22" i="35" s="1"/>
  <c r="W28" i="35"/>
  <c r="U31" i="35"/>
  <c r="S34" i="35"/>
  <c r="W22" i="35"/>
  <c r="S31" i="35"/>
  <c r="F36" i="34"/>
  <c r="J35" i="34"/>
  <c r="S34" i="34"/>
  <c r="H39" i="33"/>
  <c r="AB39" i="33" s="1"/>
  <c r="F26" i="33"/>
  <c r="AA26" i="33" s="1"/>
  <c r="S9" i="33"/>
  <c r="U33" i="33"/>
  <c r="S40" i="33"/>
  <c r="W33" i="33"/>
  <c r="W39" i="33"/>
  <c r="H39" i="37"/>
  <c r="AB39" i="37" s="1"/>
  <c r="S27" i="35"/>
  <c r="F11" i="40"/>
  <c r="AA11" i="40" s="1"/>
  <c r="H11" i="40"/>
  <c r="AB11" i="40" s="1"/>
  <c r="AA9" i="40"/>
  <c r="AC9" i="40"/>
  <c r="U9" i="40"/>
  <c r="U38" i="40"/>
  <c r="W31" i="40"/>
  <c r="U34" i="40"/>
  <c r="S38" i="40"/>
  <c r="U40" i="40"/>
  <c r="F42" i="39"/>
  <c r="AA42" i="39" s="1"/>
  <c r="H40" i="39"/>
  <c r="AB40" i="39" s="1"/>
  <c r="H39" i="39"/>
  <c r="U39" i="39" s="1"/>
  <c r="S38" i="39"/>
  <c r="E109" i="39"/>
  <c r="F34" i="39" s="1"/>
  <c r="AA34" i="39" s="1"/>
  <c r="F31" i="39"/>
  <c r="AA31" i="39" s="1"/>
  <c r="E101" i="39"/>
  <c r="H19" i="39"/>
  <c r="AB19" i="39" s="1"/>
  <c r="F19" i="39"/>
  <c r="AA19" i="39" s="1"/>
  <c r="H17" i="39"/>
  <c r="AB17" i="39" s="1"/>
  <c r="J23" i="40"/>
  <c r="AC23" i="40" s="1"/>
  <c r="F21" i="40"/>
  <c r="AA21" i="40" s="1"/>
  <c r="J21" i="40"/>
  <c r="W21" i="40" s="1"/>
  <c r="H42" i="39"/>
  <c r="AB42" i="39" s="1"/>
  <c r="F109" i="39"/>
  <c r="G109" i="39" s="1"/>
  <c r="H109" i="39" s="1"/>
  <c r="I109" i="39" s="1"/>
  <c r="J109" i="39" s="1"/>
  <c r="K109" i="39" s="1"/>
  <c r="L109" i="39" s="1"/>
  <c r="M109" i="39" s="1"/>
  <c r="F101" i="39"/>
  <c r="G101" i="39" s="1"/>
  <c r="H27" i="39"/>
  <c r="U27" i="39" s="1"/>
  <c r="J19" i="39"/>
  <c r="AC19" i="39" s="1"/>
  <c r="J27" i="39"/>
  <c r="AC27" i="39" s="1"/>
  <c r="F27" i="39"/>
  <c r="F11" i="21"/>
  <c r="S11" i="21" s="1"/>
  <c r="S40" i="21"/>
  <c r="U34" i="2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S34" i="36" s="1"/>
  <c r="AB8" i="36"/>
  <c r="S8" i="36"/>
  <c r="U8" i="35"/>
  <c r="F23" i="35"/>
  <c r="AA23" i="35" s="1"/>
  <c r="J32" i="35"/>
  <c r="AC32" i="35" s="1"/>
  <c r="J16" i="35"/>
  <c r="AC16" i="35" s="1"/>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F19" i="34"/>
  <c r="F15" i="34"/>
  <c r="S15" i="34" s="1"/>
  <c r="J15" i="34"/>
  <c r="AC15" i="34" s="1"/>
  <c r="H15" i="34"/>
  <c r="AB15" i="34" s="1"/>
  <c r="W8" i="34"/>
  <c r="J28" i="34"/>
  <c r="W28" i="34" s="1"/>
  <c r="F41" i="33"/>
  <c r="AA41" i="33" s="1"/>
  <c r="F32" i="33"/>
  <c r="AA32" i="33" s="1"/>
  <c r="J19" i="33"/>
  <c r="AC19" i="33" s="1"/>
  <c r="J15" i="33"/>
  <c r="AC15" i="33" s="1"/>
  <c r="U40" i="33"/>
  <c r="W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J19" i="34"/>
  <c r="AC19" i="34" s="1"/>
  <c r="J17" i="34"/>
  <c r="W17" i="34" s="1"/>
  <c r="AA15" i="34"/>
  <c r="H37" i="33"/>
  <c r="AB37" i="33" s="1"/>
  <c r="H15" i="33"/>
  <c r="AB15" i="33" s="1"/>
  <c r="F28" i="40"/>
  <c r="AA28" i="40" s="1"/>
  <c r="AA42" i="34"/>
  <c r="S42" i="34"/>
  <c r="J37" i="34"/>
  <c r="AC37" i="34"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J10" i="36"/>
  <c r="AC10" i="36" s="1"/>
  <c r="AA14" i="37"/>
  <c r="AC13" i="36"/>
  <c r="S11" i="36"/>
  <c r="AC28" i="21"/>
  <c r="BA585" i="3"/>
  <c r="F17" i="21"/>
  <c r="AA17" i="21" s="1"/>
  <c r="H17" i="21"/>
  <c r="AB17" i="21" s="1"/>
  <c r="F15" i="21"/>
  <c r="S15" i="21" s="1"/>
  <c r="AB11" i="21"/>
  <c r="J41" i="39"/>
  <c r="W41" i="39" s="1"/>
  <c r="AC45" i="39"/>
  <c r="W44"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6" i="3"/>
  <c r="AZ556" i="3" s="1"/>
  <c r="BA552" i="3"/>
  <c r="BA546" i="3"/>
  <c r="AZ546" i="3" s="1"/>
  <c r="BA542" i="3"/>
  <c r="AZ542" i="3" s="1"/>
  <c r="BA538" i="3"/>
  <c r="BA534" i="3"/>
  <c r="AZ534" i="3" s="1"/>
  <c r="BA530" i="3"/>
  <c r="BA522" i="3"/>
  <c r="AZ522" i="3" s="1"/>
  <c r="BA518" i="3"/>
  <c r="BA514" i="3"/>
  <c r="BA506" i="3"/>
  <c r="AZ506" i="3" s="1"/>
  <c r="BA500" i="3"/>
  <c r="AZ500" i="3" s="1"/>
  <c r="BA494" i="3"/>
  <c r="BA581" i="3"/>
  <c r="BA577" i="3"/>
  <c r="BA573" i="3"/>
  <c r="BA569" i="3"/>
  <c r="BA565" i="3"/>
  <c r="BA561" i="3"/>
  <c r="BA555" i="3"/>
  <c r="BA549" i="3"/>
  <c r="BA545" i="3"/>
  <c r="BA541" i="3"/>
  <c r="BA537" i="3"/>
  <c r="BA533" i="3"/>
  <c r="BA529" i="3"/>
  <c r="BA525" i="3"/>
  <c r="BA519" i="3"/>
  <c r="BA515" i="3"/>
  <c r="BA511" i="3"/>
  <c r="BA505" i="3"/>
  <c r="BA501" i="3"/>
  <c r="AZ501" i="3" s="1"/>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Z521" i="3" s="1"/>
  <c r="AC521" i="3"/>
  <c r="G521" i="3"/>
  <c r="BQ521" i="3"/>
  <c r="BL521" i="3"/>
  <c r="G519" i="3"/>
  <c r="G515" i="3"/>
  <c r="G511" i="3"/>
  <c r="BQ519" i="3"/>
  <c r="BL519" i="3"/>
  <c r="AZ519" i="3" s="1"/>
  <c r="BQ517" i="3"/>
  <c r="BQ515" i="3"/>
  <c r="BQ513" i="3"/>
  <c r="BL513" i="3" s="1"/>
  <c r="BQ511" i="3"/>
  <c r="BL511" i="3"/>
  <c r="AZ511" i="3" s="1"/>
  <c r="AC509" i="3"/>
  <c r="G509" i="3" s="1"/>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14" i="37"/>
  <c r="U33" i="37"/>
  <c r="U39" i="37"/>
  <c r="W26" i="37"/>
  <c r="U26" i="37"/>
  <c r="AB13" i="34"/>
  <c r="AB37" i="34"/>
  <c r="AC31" i="33"/>
  <c r="W44" i="33"/>
  <c r="U19" i="21"/>
  <c r="W44" i="21"/>
  <c r="U26" i="21"/>
  <c r="AC46" i="21"/>
  <c r="U12" i="21"/>
  <c r="AB38" i="21"/>
  <c r="F43" i="33"/>
  <c r="AA43" i="33" s="1"/>
  <c r="W15" i="34"/>
  <c r="W40" i="37"/>
  <c r="H37" i="21"/>
  <c r="U37" i="21" s="1"/>
  <c r="S42" i="21"/>
  <c r="H19" i="34"/>
  <c r="AB19" i="34"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43" i="39"/>
  <c r="AB45" i="39"/>
  <c r="U44" i="39"/>
  <c r="H37" i="39"/>
  <c r="AB37" i="39" s="1"/>
  <c r="J25" i="39"/>
  <c r="F15" i="39"/>
  <c r="AA15" i="39" s="1"/>
  <c r="H15" i="39"/>
  <c r="U15" i="39" s="1"/>
  <c r="J15" i="39"/>
  <c r="W15" i="39" s="1"/>
  <c r="S42" i="39"/>
  <c r="W9"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14"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75" i="3"/>
  <c r="AZ136" i="3"/>
  <c r="AZ144" i="3"/>
  <c r="AZ152" i="3"/>
  <c r="AZ93" i="3"/>
  <c r="AZ101" i="3"/>
  <c r="AZ109" i="3"/>
  <c r="AZ120" i="3"/>
  <c r="G534" i="3"/>
  <c r="G522" i="3"/>
  <c r="G51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M5" i="3"/>
  <c r="BD5" i="3"/>
  <c r="AZ317" i="3"/>
  <c r="AZ333" i="3"/>
  <c r="BQ5" i="3"/>
  <c r="G538" i="3"/>
  <c r="G502" i="3"/>
  <c r="BP5" i="3"/>
  <c r="BK5" i="3"/>
  <c r="BG5" i="3"/>
  <c r="BC5" i="3"/>
  <c r="G17" i="3"/>
  <c r="BA17" i="3"/>
  <c r="AZ352" i="3"/>
  <c r="AZ356" i="3"/>
  <c r="AZ364" i="3"/>
  <c r="BA15" i="3"/>
  <c r="BR5" i="3"/>
  <c r="AZ384" i="3"/>
  <c r="AZ396" i="3"/>
  <c r="AZ394" i="3"/>
  <c r="BL493" i="3"/>
  <c r="AZ376" i="3"/>
  <c r="AZ382" i="3"/>
  <c r="U36" i="40"/>
  <c r="N4" i="43"/>
  <c r="F36" i="43"/>
  <c r="F81" i="43"/>
  <c r="H83" i="43" s="1"/>
  <c r="H113" i="43"/>
  <c r="F48" i="43"/>
  <c r="H52" i="43" s="1"/>
  <c r="N7" i="43"/>
  <c r="F70" i="43"/>
  <c r="H73" i="43" s="1"/>
  <c r="M6" i="43"/>
  <c r="M11" i="43"/>
  <c r="E17" i="43"/>
  <c r="F39" i="43"/>
  <c r="I17" i="43"/>
  <c r="F35" i="43"/>
  <c r="J17" i="43"/>
  <c r="F6" i="1"/>
  <c r="U17" i="39"/>
  <c r="U43" i="21"/>
  <c r="U35" i="21"/>
  <c r="U10" i="21"/>
  <c r="F48" i="9"/>
  <c r="O52" i="9" s="1"/>
  <c r="W37" i="37"/>
  <c r="AC44" i="34"/>
  <c r="S15" i="37"/>
  <c r="U13" i="37"/>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F20" i="35"/>
  <c r="AA20" i="35" s="1"/>
  <c r="AB29" i="36"/>
  <c r="H32" i="37"/>
  <c r="AB32"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AE13" i="1"/>
  <c r="AE11" i="1"/>
  <c r="AE10" i="1"/>
  <c r="AZ587" i="3" l="1"/>
  <c r="U23" i="35"/>
  <c r="AB23" i="35"/>
  <c r="AB9" i="36"/>
  <c r="U9" i="36"/>
  <c r="U11" i="36"/>
  <c r="AB11" i="36"/>
  <c r="AC24" i="36"/>
  <c r="W24" i="36"/>
  <c r="W12" i="37"/>
  <c r="AC12" i="37"/>
  <c r="AB13" i="33"/>
  <c r="U13" i="33"/>
  <c r="AC29" i="33"/>
  <c r="W29" i="33"/>
  <c r="U31" i="33"/>
  <c r="AB31" i="33"/>
  <c r="U45" i="33"/>
  <c r="AB45" i="33"/>
  <c r="W12" i="34"/>
  <c r="AC12" i="34"/>
  <c r="U12" i="35"/>
  <c r="AB12" i="35"/>
  <c r="AC11" i="35"/>
  <c r="W11" i="35"/>
  <c r="AB34" i="35"/>
  <c r="U34" i="35"/>
  <c r="AC12" i="36"/>
  <c r="W12" i="36"/>
  <c r="AC37" i="39"/>
  <c r="W37" i="39"/>
  <c r="W12" i="40"/>
  <c r="AC12" i="40"/>
  <c r="AZ557" i="3"/>
  <c r="AZ540" i="3"/>
  <c r="AZ512" i="3"/>
  <c r="AZ510" i="3"/>
  <c r="AZ508" i="3"/>
  <c r="AZ502" i="3"/>
  <c r="AZ499" i="3"/>
  <c r="M20" i="15"/>
  <c r="F34" i="82"/>
  <c r="F62" i="82" s="1"/>
  <c r="M20" i="82"/>
  <c r="F34" i="81"/>
  <c r="F62" i="81" s="1"/>
  <c r="M20" i="81"/>
  <c r="F34" i="80"/>
  <c r="F62" i="80" s="1"/>
  <c r="M20" i="80"/>
  <c r="AZ402" i="3"/>
  <c r="AZ418" i="3"/>
  <c r="F29" i="6"/>
  <c r="AZ507" i="3"/>
  <c r="AZ513" i="3"/>
  <c r="AZ553" i="3"/>
  <c r="AZ571" i="3"/>
  <c r="AZ579" i="3"/>
  <c r="AZ583" i="3"/>
  <c r="AZ581" i="3"/>
  <c r="AZ518" i="3"/>
  <c r="AZ538" i="3"/>
  <c r="AZ552" i="3"/>
  <c r="AC21" i="40"/>
  <c r="H20" i="35"/>
  <c r="U20" i="35" s="1"/>
  <c r="AC33" i="40"/>
  <c r="U12" i="40"/>
  <c r="AC35" i="21"/>
  <c r="AC5" i="3"/>
  <c r="AZ331" i="3"/>
  <c r="AZ326" i="3"/>
  <c r="AZ311" i="3"/>
  <c r="AZ372" i="3"/>
  <c r="AZ347" i="3"/>
  <c r="AZ344" i="3"/>
  <c r="AZ337" i="3"/>
  <c r="AZ320" i="3"/>
  <c r="AZ313" i="3"/>
  <c r="AZ305" i="3"/>
  <c r="AZ362" i="3"/>
  <c r="W8" i="39"/>
  <c r="W14" i="39"/>
  <c r="H41" i="39"/>
  <c r="F25" i="39"/>
  <c r="AA25" i="39" s="1"/>
  <c r="H25" i="39"/>
  <c r="AB25" i="39" s="1"/>
  <c r="F12" i="37"/>
  <c r="S12" i="37" s="1"/>
  <c r="F36" i="35"/>
  <c r="S36" i="35" s="1"/>
  <c r="W16" i="35"/>
  <c r="AC45" i="33"/>
  <c r="AA13" i="33"/>
  <c r="W37" i="34"/>
  <c r="W47" i="34"/>
  <c r="AC8" i="37"/>
  <c r="AB28" i="37"/>
  <c r="AC32" i="36"/>
  <c r="H24" i="35"/>
  <c r="AB24" i="35" s="1"/>
  <c r="H41" i="34"/>
  <c r="U41" i="34" s="1"/>
  <c r="AB27" i="37"/>
  <c r="AA12" i="21"/>
  <c r="BL503" i="3"/>
  <c r="AZ503" i="3" s="1"/>
  <c r="BL517" i="3"/>
  <c r="AZ517" i="3" s="1"/>
  <c r="BL523" i="3"/>
  <c r="AZ523" i="3" s="1"/>
  <c r="BL527" i="3"/>
  <c r="AZ527" i="3" s="1"/>
  <c r="BL531" i="3"/>
  <c r="AZ531" i="3" s="1"/>
  <c r="BL535" i="3"/>
  <c r="AZ535" i="3" s="1"/>
  <c r="BL539" i="3"/>
  <c r="AZ539" i="3" s="1"/>
  <c r="BL543" i="3"/>
  <c r="AZ543" i="3" s="1"/>
  <c r="BL547" i="3"/>
  <c r="AZ547" i="3" s="1"/>
  <c r="BL551" i="3"/>
  <c r="AZ551" i="3" s="1"/>
  <c r="BL559" i="3"/>
  <c r="AZ559" i="3" s="1"/>
  <c r="BL569" i="3"/>
  <c r="AZ569" i="3" s="1"/>
  <c r="BL577" i="3"/>
  <c r="AZ577" i="3" s="1"/>
  <c r="W35" i="39"/>
  <c r="W11" i="36"/>
  <c r="W31" i="34"/>
  <c r="AB30" i="21"/>
  <c r="AB11" i="35"/>
  <c r="AA44" i="33"/>
  <c r="F12" i="40"/>
  <c r="F40" i="37"/>
  <c r="AA40" i="37" s="1"/>
  <c r="J46" i="34"/>
  <c r="J30" i="34"/>
  <c r="F45" i="33"/>
  <c r="F29" i="33"/>
  <c r="S29" i="33" s="1"/>
  <c r="F31" i="21"/>
  <c r="S31" i="21" s="1"/>
  <c r="H29" i="21"/>
  <c r="U29" i="21" s="1"/>
  <c r="H27" i="21"/>
  <c r="AB27" i="21" s="1"/>
  <c r="AC38" i="34"/>
  <c r="F17" i="34"/>
  <c r="AA17" i="34" s="1"/>
  <c r="F23" i="34"/>
  <c r="AA23" i="34" s="1"/>
  <c r="W33" i="37"/>
  <c r="AC34" i="36"/>
  <c r="S26" i="33"/>
  <c r="E113" i="33"/>
  <c r="F113" i="33" s="1"/>
  <c r="G113" i="33" s="1"/>
  <c r="H113" i="33" s="1"/>
  <c r="I113" i="33" s="1"/>
  <c r="J113" i="33" s="1"/>
  <c r="K113" i="33" s="1"/>
  <c r="L113" i="33" s="1"/>
  <c r="M113" i="33" s="1"/>
  <c r="S9" i="34"/>
  <c r="H17" i="34"/>
  <c r="J23" i="34"/>
  <c r="S10" i="37"/>
  <c r="J20" i="35"/>
  <c r="W20" i="35" s="1"/>
  <c r="H14" i="35"/>
  <c r="AB14" i="35" s="1"/>
  <c r="F14" i="35"/>
  <c r="AA14" i="35" s="1"/>
  <c r="S10" i="36"/>
  <c r="F24" i="36"/>
  <c r="AA24" i="36" s="1"/>
  <c r="F33" i="36"/>
  <c r="AA33" i="36" s="1"/>
  <c r="F37" i="39"/>
  <c r="AA37" i="39" s="1"/>
  <c r="W32" i="40"/>
  <c r="S40" i="39"/>
  <c r="J17" i="39"/>
  <c r="J31" i="39"/>
  <c r="F17" i="39"/>
  <c r="AA17" i="39" s="1"/>
  <c r="H34" i="39"/>
  <c r="U34" i="39" s="1"/>
  <c r="F41" i="39"/>
  <c r="S41" i="39" s="1"/>
  <c r="S40" i="40"/>
  <c r="S34" i="40"/>
  <c r="AC40" i="40"/>
  <c r="W8" i="40"/>
  <c r="U35" i="33"/>
  <c r="W34" i="35"/>
  <c r="AC27" i="35"/>
  <c r="J33" i="36"/>
  <c r="W31" i="37"/>
  <c r="W25" i="37"/>
  <c r="U9" i="39"/>
  <c r="F35" i="39"/>
  <c r="BL586" i="3"/>
  <c r="AZ586" i="3" s="1"/>
  <c r="BL585" i="3"/>
  <c r="AZ585" i="3" s="1"/>
  <c r="J38" i="33"/>
  <c r="AC38" i="33" s="1"/>
  <c r="F12" i="34"/>
  <c r="J23" i="35"/>
  <c r="J36" i="35"/>
  <c r="J14" i="35"/>
  <c r="H12" i="36"/>
  <c r="H24" i="36"/>
  <c r="AB24" i="36" s="1"/>
  <c r="H39" i="40"/>
  <c r="G582" i="3"/>
  <c r="G566" i="3"/>
  <c r="G552" i="3"/>
  <c r="BA551" i="3"/>
  <c r="G551" i="3"/>
  <c r="BL550" i="3"/>
  <c r="BA550" i="3"/>
  <c r="BL548" i="3"/>
  <c r="AZ548" i="3" s="1"/>
  <c r="G526" i="3"/>
  <c r="B61" i="72"/>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AZ434" i="3"/>
  <c r="AZ443" i="3"/>
  <c r="AZ446" i="3"/>
  <c r="AZ450" i="3"/>
  <c r="AZ459" i="3"/>
  <c r="AZ462" i="3"/>
  <c r="AZ477" i="3"/>
  <c r="AZ480" i="3"/>
  <c r="AZ481" i="3"/>
  <c r="AZ395" i="3"/>
  <c r="AZ211" i="3"/>
  <c r="AZ220" i="3"/>
  <c r="AZ230" i="3"/>
  <c r="AZ262"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65" i="3"/>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F3" i="35"/>
  <c r="G1" i="82"/>
  <c r="G1" i="81"/>
  <c r="G1" i="80"/>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L100" i="43"/>
  <c r="F11" i="1"/>
  <c r="G11" i="1" s="1"/>
  <c r="F9" i="1"/>
  <c r="G9" i="1" s="1"/>
  <c r="F10" i="1"/>
  <c r="G10" i="1" s="1"/>
  <c r="BL21" i="3"/>
  <c r="G22" i="3"/>
  <c r="D3" i="35"/>
  <c r="AA29"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AZ21" i="3" s="1"/>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12" i="3"/>
  <c r="AZ428" i="3"/>
  <c r="AZ433"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6"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1" i="6"/>
  <c r="E61" i="39" s="1"/>
  <c r="BL17" i="3"/>
  <c r="AZ17" i="3" s="1"/>
  <c r="BL13" i="3"/>
  <c r="J56" i="9"/>
  <c r="J57" i="9" s="1"/>
  <c r="A24" i="51"/>
  <c r="B18" i="72" s="1"/>
  <c r="U29" i="34"/>
  <c r="E5" i="6"/>
  <c r="D9" i="11" s="1"/>
  <c r="C9" i="11" s="1"/>
  <c r="E32" i="6"/>
  <c r="L19" i="6" s="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8" i="15"/>
  <c r="F8" i="67"/>
  <c r="F43" i="15"/>
  <c r="F26" i="15"/>
  <c r="M6" i="67"/>
  <c r="M22" i="67"/>
  <c r="F42" i="67"/>
  <c r="L47" i="15"/>
  <c r="M23" i="67"/>
  <c r="F13" i="15"/>
  <c r="F6" i="67"/>
  <c r="M22" i="15"/>
  <c r="F16" i="67"/>
  <c r="F7" i="15"/>
  <c r="M29" i="15"/>
  <c r="M26" i="67"/>
  <c r="L47" i="67"/>
  <c r="J15" i="15"/>
  <c r="F36" i="67"/>
  <c r="M28" i="67"/>
  <c r="C76" i="15"/>
  <c r="M24" i="15"/>
  <c r="F36" i="15"/>
  <c r="F37" i="67"/>
  <c r="J15" i="67"/>
  <c r="F8" i="15"/>
  <c r="F9" i="67"/>
  <c r="F16" i="15"/>
  <c r="F42" i="15"/>
  <c r="F40" i="15"/>
  <c r="M6" i="15"/>
  <c r="M9" i="15"/>
  <c r="M9" i="67"/>
  <c r="F40" i="67"/>
  <c r="F9" i="15"/>
  <c r="M8" i="67"/>
  <c r="F37" i="15"/>
  <c r="F26" i="67"/>
  <c r="M28" i="15"/>
  <c r="F43" i="81"/>
  <c r="C76" i="67"/>
  <c r="M23" i="15"/>
  <c r="F7" i="67"/>
  <c r="F6" i="15"/>
  <c r="G1" i="73"/>
  <c r="F38" i="67"/>
  <c r="L48" i="67"/>
  <c r="F13" i="67"/>
  <c r="M26" i="15"/>
  <c r="F38" i="15"/>
  <c r="F43" i="67"/>
  <c r="M24" i="67"/>
  <c r="F7" i="81"/>
  <c r="L48" i="15"/>
  <c r="M29" i="67"/>
  <c r="M29" i="81"/>
  <c r="W14" i="35" l="1"/>
  <c r="AC14" i="35"/>
  <c r="AC23" i="35"/>
  <c r="W23" i="35"/>
  <c r="AA45" i="33"/>
  <c r="S45" i="33"/>
  <c r="S12" i="40"/>
  <c r="AA12" i="40"/>
  <c r="F53" i="9"/>
  <c r="F28" i="82"/>
  <c r="C28" i="82" s="1"/>
  <c r="M18" i="82"/>
  <c r="F32" i="82"/>
  <c r="F60" i="82" s="1"/>
  <c r="F32" i="81"/>
  <c r="F60" i="81" s="1"/>
  <c r="F28" i="81"/>
  <c r="M18" i="81"/>
  <c r="F32" i="80"/>
  <c r="F60" i="80" s="1"/>
  <c r="F28" i="80"/>
  <c r="M18" i="80"/>
  <c r="E4" i="4"/>
  <c r="B5" i="62" s="1"/>
  <c r="B73" i="72" s="1"/>
  <c r="AC15" i="21"/>
  <c r="AA11" i="37"/>
  <c r="C7" i="43"/>
  <c r="E14" i="6"/>
  <c r="E64" i="39" s="1"/>
  <c r="G30" i="6"/>
  <c r="G31" i="6" s="1"/>
  <c r="E10" i="6"/>
  <c r="G5" i="3"/>
  <c r="B3" i="3" s="1"/>
  <c r="AB41" i="34"/>
  <c r="U24" i="36"/>
  <c r="S14" i="35"/>
  <c r="U39" i="40"/>
  <c r="AB39" i="40"/>
  <c r="U12" i="36"/>
  <c r="AB12" i="36"/>
  <c r="AC36" i="35"/>
  <c r="W36" i="35"/>
  <c r="S12" i="34"/>
  <c r="AA12" i="34"/>
  <c r="AA35" i="39"/>
  <c r="S35" i="39"/>
  <c r="W33" i="36"/>
  <c r="AC33" i="36"/>
  <c r="U17" i="34"/>
  <c r="AB17" i="34"/>
  <c r="W30" i="34"/>
  <c r="AC30" i="34"/>
  <c r="C28" i="81"/>
  <c r="C28" i="80"/>
  <c r="E13" i="6"/>
  <c r="E58" i="40" s="1"/>
  <c r="E15" i="6"/>
  <c r="E60" i="40" s="1"/>
  <c r="E12" i="6"/>
  <c r="M7" i="81"/>
  <c r="F50" i="81"/>
  <c r="F71" i="81"/>
  <c r="F27" i="6"/>
  <c r="F31" i="6" s="1"/>
  <c r="E56" i="39"/>
  <c r="E51" i="40"/>
  <c r="O8" i="1"/>
  <c r="P8" i="1" s="1"/>
  <c r="M11" i="1"/>
  <c r="O11" i="1" s="1"/>
  <c r="P11" i="1" s="1"/>
  <c r="M12" i="1"/>
  <c r="M10" i="1"/>
  <c r="E56" i="40"/>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K14" i="1"/>
  <c r="M14" i="1" s="1"/>
  <c r="O14" i="1" s="1"/>
  <c r="P14" i="1" s="1"/>
  <c r="BL5" i="3"/>
  <c r="C19" i="43"/>
  <c r="J59" i="9"/>
  <c r="J61" i="9" s="1"/>
  <c r="E3" i="6"/>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2"/>
  <c r="M17" i="15"/>
  <c r="M17" i="81"/>
  <c r="M17" i="67"/>
  <c r="F31" i="67"/>
  <c r="F31" i="15"/>
  <c r="F59" i="15"/>
  <c r="F59" i="67"/>
  <c r="F31" i="81"/>
  <c r="F31" i="80"/>
  <c r="F42" i="81"/>
  <c r="F38" i="81"/>
  <c r="F9" i="80"/>
  <c r="F43" i="82"/>
  <c r="F37" i="82"/>
  <c r="J15" i="81"/>
  <c r="M29" i="80"/>
  <c r="M28" i="81"/>
  <c r="M23" i="81"/>
  <c r="M6" i="80"/>
  <c r="F16" i="82"/>
  <c r="M22" i="82"/>
  <c r="F40" i="81"/>
  <c r="F8" i="81"/>
  <c r="F36" i="80"/>
  <c r="M28" i="82"/>
  <c r="F8" i="82"/>
  <c r="M24" i="81"/>
  <c r="M23" i="80"/>
  <c r="M8" i="82"/>
  <c r="C76" i="81"/>
  <c r="M27" i="81"/>
  <c r="F42" i="80"/>
  <c r="F7" i="80"/>
  <c r="L48" i="82"/>
  <c r="M8" i="81"/>
  <c r="F37" i="80"/>
  <c r="F7" i="82"/>
  <c r="M26" i="81"/>
  <c r="L48" i="81"/>
  <c r="M26" i="80"/>
  <c r="F26" i="82"/>
  <c r="M9" i="82"/>
  <c r="C76" i="80"/>
  <c r="J15" i="82"/>
  <c r="F6" i="81"/>
  <c r="F9" i="81"/>
  <c r="M27" i="80"/>
  <c r="M24" i="80"/>
  <c r="F36" i="82"/>
  <c r="F36" i="81"/>
  <c r="M9" i="80"/>
  <c r="F40" i="82"/>
  <c r="M9" i="81"/>
  <c r="F38" i="80"/>
  <c r="F16" i="80"/>
  <c r="F9" i="82"/>
  <c r="F38" i="82"/>
  <c r="F26" i="81"/>
  <c r="J15" i="80"/>
  <c r="F8" i="80"/>
  <c r="M26" i="82"/>
  <c r="M27" i="82"/>
  <c r="L47" i="81"/>
  <c r="F42" i="82"/>
  <c r="C16" i="15"/>
  <c r="F13" i="81"/>
  <c r="M22" i="80"/>
  <c r="M8" i="80"/>
  <c r="C76" i="82"/>
  <c r="M24" i="82"/>
  <c r="M28" i="80"/>
  <c r="M29" i="82"/>
  <c r="C16" i="67"/>
  <c r="M22" i="81"/>
  <c r="F40" i="80"/>
  <c r="L48" i="80"/>
  <c r="M23" i="82"/>
  <c r="F37" i="81"/>
  <c r="F16" i="81"/>
  <c r="F6" i="80"/>
  <c r="F43" i="80"/>
  <c r="F6" i="82"/>
  <c r="F13" i="82"/>
  <c r="F26" i="80"/>
  <c r="M6" i="82"/>
  <c r="M6" i="81"/>
  <c r="F13" i="80"/>
  <c r="L47" i="82"/>
  <c r="L47" i="80"/>
  <c r="E27" i="6" l="1"/>
  <c r="F50" i="82"/>
  <c r="M7" i="82"/>
  <c r="N59" i="82"/>
  <c r="L58" i="82"/>
  <c r="M59" i="82"/>
  <c r="L59" i="82" s="1"/>
  <c r="F51" i="82"/>
  <c r="C49" i="82" s="1"/>
  <c r="C48" i="82" s="1"/>
  <c r="F68" i="82"/>
  <c r="C6" i="82"/>
  <c r="C10" i="82"/>
  <c r="J6" i="82"/>
  <c r="M59" i="80"/>
  <c r="L59" i="80" s="1"/>
  <c r="L58" i="80"/>
  <c r="N59" i="80"/>
  <c r="F71" i="80"/>
  <c r="F51" i="80"/>
  <c r="F65" i="80"/>
  <c r="F64" i="80"/>
  <c r="C6" i="80"/>
  <c r="C10" i="80"/>
  <c r="C27" i="80"/>
  <c r="Q71" i="80"/>
  <c r="N59" i="81"/>
  <c r="L58" i="81"/>
  <c r="M59" i="81"/>
  <c r="L59" i="81" s="1"/>
  <c r="F51" i="81"/>
  <c r="C6" i="81"/>
  <c r="C10" i="81"/>
  <c r="C27" i="81"/>
  <c r="F68" i="81"/>
  <c r="F64" i="81"/>
  <c r="F65" i="81"/>
  <c r="F66" i="82"/>
  <c r="F65" i="82"/>
  <c r="L57" i="82"/>
  <c r="J59" i="82"/>
  <c r="I54" i="82"/>
  <c r="J57" i="82"/>
  <c r="J55" i="82" s="1"/>
  <c r="J58" i="82" s="1"/>
  <c r="Q50" i="82" s="1"/>
  <c r="L56" i="82"/>
  <c r="J60" i="82"/>
  <c r="Q48" i="82" s="1"/>
  <c r="L60" i="82"/>
  <c r="L46" i="82"/>
  <c r="J53" i="82"/>
  <c r="F64" i="82"/>
  <c r="Q71" i="82"/>
  <c r="C27" i="82"/>
  <c r="F71" i="82"/>
  <c r="M7" i="80"/>
  <c r="J6" i="80" s="1"/>
  <c r="F50" i="80"/>
  <c r="L57" i="80"/>
  <c r="J57" i="80"/>
  <c r="J55" i="80" s="1"/>
  <c r="J58" i="80" s="1"/>
  <c r="Q50" i="80" s="1"/>
  <c r="L56" i="80"/>
  <c r="L60" i="80"/>
  <c r="J60" i="80"/>
  <c r="Q48" i="80" s="1"/>
  <c r="J59" i="80"/>
  <c r="J53" i="80"/>
  <c r="I54" i="80"/>
  <c r="L46" i="80"/>
  <c r="F68" i="80"/>
  <c r="F66" i="80"/>
  <c r="L57" i="81"/>
  <c r="L60" i="81"/>
  <c r="L56" i="81"/>
  <c r="J53" i="81"/>
  <c r="J60" i="81"/>
  <c r="Q48" i="81" s="1"/>
  <c r="J57" i="81"/>
  <c r="J55" i="81" s="1"/>
  <c r="J58" i="81" s="1"/>
  <c r="Q50" i="81" s="1"/>
  <c r="I54" i="81"/>
  <c r="J59" i="81"/>
  <c r="L46" i="81"/>
  <c r="F66" i="81"/>
  <c r="Q71" i="81"/>
  <c r="C24" i="82"/>
  <c r="E57" i="40"/>
  <c r="E62" i="39"/>
  <c r="E66" i="39" s="1"/>
  <c r="J6" i="81"/>
  <c r="J10" i="81"/>
  <c r="O12" i="1"/>
  <c r="P12" i="1" s="1"/>
  <c r="C49" i="81"/>
  <c r="C48" i="81" s="1"/>
  <c r="F24" i="80"/>
  <c r="F24" i="81"/>
  <c r="C24" i="80"/>
  <c r="O10" i="1"/>
  <c r="P10" i="1" s="1"/>
  <c r="S13" i="1"/>
  <c r="E13" i="70"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E6" i="6"/>
  <c r="D19" i="11"/>
  <c r="C19" i="11" s="1"/>
  <c r="C20" i="11" s="1"/>
  <c r="C17" i="4"/>
  <c r="B4" i="52" s="1"/>
  <c r="B43" i="72" s="1"/>
  <c r="D37" i="11"/>
  <c r="L18" i="9"/>
  <c r="D14" i="12"/>
  <c r="D17" i="12" s="1"/>
  <c r="C17" i="12" s="1"/>
  <c r="D3" i="37"/>
  <c r="M18" i="9"/>
  <c r="B118" i="9" s="1"/>
  <c r="B14" i="74" s="1"/>
  <c r="B1" i="74"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59" i="82"/>
  <c r="M17" i="80"/>
  <c r="M17" i="82"/>
  <c r="F59" i="81"/>
  <c r="F59" i="80"/>
  <c r="C16" i="82"/>
  <c r="C16" i="81"/>
  <c r="C16" i="80"/>
  <c r="K24" i="6" l="1"/>
  <c r="K22" i="6"/>
  <c r="K25" i="6"/>
  <c r="K20" i="6"/>
  <c r="E31" i="6"/>
  <c r="B16" i="79" s="1"/>
  <c r="B17" i="79" s="1"/>
  <c r="A3" i="3" s="1"/>
  <c r="K21" i="6"/>
  <c r="K26" i="6"/>
  <c r="M26" i="6" s="1"/>
  <c r="I26" i="6" s="1"/>
  <c r="S26" i="6" s="1"/>
  <c r="K23" i="6"/>
  <c r="K19" i="6"/>
  <c r="J10" i="80"/>
  <c r="C5" i="81"/>
  <c r="C32" i="81" s="1"/>
  <c r="J5" i="80"/>
  <c r="C5" i="80"/>
  <c r="C32" i="80" s="1"/>
  <c r="Q52" i="81"/>
  <c r="F1" i="81"/>
  <c r="Q66" i="81"/>
  <c r="Q57" i="81"/>
  <c r="Q57" i="80"/>
  <c r="Q66" i="80"/>
  <c r="Q52" i="82"/>
  <c r="F1" i="82"/>
  <c r="Q66" i="82"/>
  <c r="Q57" i="82"/>
  <c r="Q73" i="81"/>
  <c r="Q60" i="81"/>
  <c r="C49" i="80"/>
  <c r="C48" i="80" s="1"/>
  <c r="Q61" i="80"/>
  <c r="Q74" i="80"/>
  <c r="C60" i="82"/>
  <c r="C66" i="82"/>
  <c r="Q60" i="82"/>
  <c r="Q73" i="82"/>
  <c r="F1" i="80"/>
  <c r="Q52" i="80"/>
  <c r="Q61" i="81"/>
  <c r="Q74" i="81"/>
  <c r="Q60" i="80"/>
  <c r="Q73" i="80"/>
  <c r="J10" i="82"/>
  <c r="J5" i="82" s="1"/>
  <c r="C5" i="82"/>
  <c r="Q61" i="82"/>
  <c r="Q74" i="82"/>
  <c r="O16" i="1"/>
  <c r="J5" i="81"/>
  <c r="J18" i="81" s="1"/>
  <c r="J24" i="80"/>
  <c r="J26" i="80"/>
  <c r="J18" i="80"/>
  <c r="J26" i="81"/>
  <c r="C66" i="81"/>
  <c r="C60" i="81"/>
  <c r="C24" i="81"/>
  <c r="AR13" i="1"/>
  <c r="AQ13" i="1"/>
  <c r="T13" i="1"/>
  <c r="Q61" i="15"/>
  <c r="E37" i="43"/>
  <c r="AA7" i="36"/>
  <c r="R36" i="36" s="1"/>
  <c r="E36" i="36" s="1"/>
  <c r="E40" i="36" s="1"/>
  <c r="F40" i="36" s="1"/>
  <c r="AC11" i="37"/>
  <c r="W11" i="37"/>
  <c r="AB7" i="37"/>
  <c r="T42" i="37" s="1"/>
  <c r="G42" i="37" s="1"/>
  <c r="G46" i="37" s="1"/>
  <c r="H46" i="37" s="1"/>
  <c r="J5" i="67"/>
  <c r="J5" i="15"/>
  <c r="AB7" i="36"/>
  <c r="T36" i="36" s="1"/>
  <c r="C38" i="15"/>
  <c r="E38" i="4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AE9" i="1"/>
  <c r="AE12" i="1"/>
  <c r="M23" i="6" l="1"/>
  <c r="I23" i="6" s="1"/>
  <c r="S23" i="6" s="1"/>
  <c r="S10" i="1"/>
  <c r="M21" i="6"/>
  <c r="I21" i="6" s="1"/>
  <c r="S21" i="6" s="1"/>
  <c r="S8" i="1"/>
  <c r="S7" i="1"/>
  <c r="M20" i="6"/>
  <c r="I20" i="6" s="1"/>
  <c r="S20" i="6" s="1"/>
  <c r="M22" i="6"/>
  <c r="I22" i="6" s="1"/>
  <c r="S22" i="6" s="1"/>
  <c r="S9" i="1"/>
  <c r="S6" i="1"/>
  <c r="M19" i="6"/>
  <c r="K27" i="6"/>
  <c r="E388"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O6"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97" i="3"/>
  <c r="E143" i="3"/>
  <c r="E285" i="3"/>
  <c r="E337" i="3"/>
  <c r="E359" i="3"/>
  <c r="E410" i="3"/>
  <c r="E574" i="3"/>
  <c r="E516" i="3"/>
  <c r="E239" i="3"/>
  <c r="E117" i="3"/>
  <c r="E161" i="3"/>
  <c r="E290" i="3"/>
  <c r="E135" i="3"/>
  <c r="E61" i="3"/>
  <c r="E185" i="3"/>
  <c r="E169" i="3"/>
  <c r="E216" i="3"/>
  <c r="E298" i="3"/>
  <c r="E231" i="3"/>
  <c r="E321" i="3"/>
  <c r="E380" i="3"/>
  <c r="E338" i="3"/>
  <c r="E439" i="3"/>
  <c r="E418" i="3"/>
  <c r="E538" i="3"/>
  <c r="E506" i="3"/>
  <c r="E561" i="3"/>
  <c r="E523" i="3"/>
  <c r="AR6" i="3"/>
  <c r="S6" i="3"/>
  <c r="H6" i="3" s="1"/>
  <c r="E533" i="3"/>
  <c r="E390" i="3"/>
  <c r="E270" i="3"/>
  <c r="E293" i="3"/>
  <c r="E124" i="3"/>
  <c r="E246" i="3"/>
  <c r="E280" i="3"/>
  <c r="E336" i="3"/>
  <c r="E399" i="3"/>
  <c r="X6" i="3"/>
  <c r="E555" i="3"/>
  <c r="I4" i="6"/>
  <c r="G3" i="43" s="1"/>
  <c r="E125" i="3"/>
  <c r="E217" i="3"/>
  <c r="E366" i="3"/>
  <c r="E526" i="3"/>
  <c r="E553" i="3"/>
  <c r="E268" i="3"/>
  <c r="E282" i="3"/>
  <c r="E322" i="3"/>
  <c r="N6" i="3"/>
  <c r="AJ6" i="3"/>
  <c r="E69" i="3"/>
  <c r="E114" i="3"/>
  <c r="E278" i="3"/>
  <c r="E415" i="3"/>
  <c r="E563" i="3"/>
  <c r="E395" i="3"/>
  <c r="E172" i="3"/>
  <c r="E260" i="3"/>
  <c r="E445" i="3"/>
  <c r="E550" i="3"/>
  <c r="E535" i="3"/>
  <c r="E329" i="3"/>
  <c r="E539" i="3"/>
  <c r="E545" i="3"/>
  <c r="E151" i="3"/>
  <c r="E201" i="3"/>
  <c r="E229" i="3"/>
  <c r="E247" i="3"/>
  <c r="E396" i="3"/>
  <c r="E431" i="3"/>
  <c r="E569" i="3"/>
  <c r="E579" i="3"/>
  <c r="E509" i="3"/>
  <c r="AY6" i="3"/>
  <c r="M25" i="6"/>
  <c r="I25" i="6" s="1"/>
  <c r="S25" i="6" s="1"/>
  <c r="S12" i="1"/>
  <c r="M24" i="6"/>
  <c r="I24" i="6" s="1"/>
  <c r="S24" i="6" s="1"/>
  <c r="S11" i="1"/>
  <c r="C38" i="80"/>
  <c r="C38" i="81"/>
  <c r="C60" i="80"/>
  <c r="C66" i="80"/>
  <c r="C32" i="82"/>
  <c r="C38" i="82"/>
  <c r="J24" i="82"/>
  <c r="J26" i="82"/>
  <c r="J18" i="82"/>
  <c r="J24" i="81"/>
  <c r="AA7" i="34"/>
  <c r="C36" i="11"/>
  <c r="J24" i="67"/>
  <c r="J18" i="67"/>
  <c r="J24" i="15"/>
  <c r="J18" i="15"/>
  <c r="G36" i="36"/>
  <c r="R37" i="36"/>
  <c r="AB7" i="34"/>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17" i="15"/>
  <c r="C17" i="81"/>
  <c r="C17" i="82"/>
  <c r="C17" i="80"/>
  <c r="AC6" i="3" l="1"/>
  <c r="E6" i="3" s="1"/>
  <c r="E11" i="70"/>
  <c r="AQ11" i="1"/>
  <c r="AR11" i="1"/>
  <c r="T11" i="1"/>
  <c r="S5" i="43"/>
  <c r="T5" i="43" s="1"/>
  <c r="V5" i="43" s="1"/>
  <c r="S3" i="43"/>
  <c r="T3" i="43" s="1"/>
  <c r="V3" i="43" s="1"/>
  <c r="S4" i="43"/>
  <c r="T4" i="43" s="1"/>
  <c r="V4" i="43" s="1"/>
  <c r="S2" i="43"/>
  <c r="T2" i="43" s="1"/>
  <c r="V2" i="43" s="1"/>
  <c r="D101" i="43"/>
  <c r="AA11" i="43"/>
  <c r="AA13" i="43" s="1"/>
  <c r="G22" i="43"/>
  <c r="AE11" i="43"/>
  <c r="AE13" i="43" s="1"/>
  <c r="L101" i="43"/>
  <c r="Z7" i="43"/>
  <c r="E101" i="43"/>
  <c r="C101" i="43"/>
  <c r="J101" i="43"/>
  <c r="Z11" i="43"/>
  <c r="Z13" i="43" s="1"/>
  <c r="Y11" i="43"/>
  <c r="Y13" i="43" s="1"/>
  <c r="AB11" i="43"/>
  <c r="AB13" i="43" s="1"/>
  <c r="M101" i="43"/>
  <c r="F101" i="43"/>
  <c r="G101" i="43"/>
  <c r="C23" i="43"/>
  <c r="C21" i="43" s="1"/>
  <c r="S7" i="43"/>
  <c r="T7" i="43" s="1"/>
  <c r="V7" i="43" s="1"/>
  <c r="F22" i="43"/>
  <c r="AD11" i="43"/>
  <c r="AD13" i="43" s="1"/>
  <c r="N104" i="46"/>
  <c r="AI11" i="43"/>
  <c r="AI13" i="43" s="1"/>
  <c r="AH11" i="43"/>
  <c r="AH13" i="43" s="1"/>
  <c r="AC11" i="43"/>
  <c r="AC13" i="43" s="1"/>
  <c r="AF11" i="43"/>
  <c r="AF13" i="43" s="1"/>
  <c r="H101" i="43"/>
  <c r="E22" i="43"/>
  <c r="D22" i="43" s="1"/>
  <c r="N101" i="43"/>
  <c r="I101" i="43"/>
  <c r="AG11" i="43"/>
  <c r="AG13" i="43" s="1"/>
  <c r="AJ11" i="43"/>
  <c r="AJ13" i="43" s="1"/>
  <c r="H22" i="43"/>
  <c r="B113" i="43"/>
  <c r="K101" i="43"/>
  <c r="S6" i="43"/>
  <c r="T6" i="43" s="1"/>
  <c r="V6" i="43" s="1"/>
  <c r="I19" i="6"/>
  <c r="M27" i="6"/>
  <c r="E9" i="70"/>
  <c r="AQ9" i="1"/>
  <c r="AR9" i="1"/>
  <c r="T9" i="1"/>
  <c r="E8" i="70"/>
  <c r="AQ8" i="1"/>
  <c r="T8" i="1"/>
  <c r="AR8" i="1"/>
  <c r="E10" i="70"/>
  <c r="AR10" i="1"/>
  <c r="AQ10" i="1"/>
  <c r="T10" i="1"/>
  <c r="E12" i="70"/>
  <c r="AR12" i="1"/>
  <c r="AQ12" i="1"/>
  <c r="T12" i="1"/>
  <c r="AY8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Q6" i="1"/>
  <c r="AR6" i="1"/>
  <c r="E6" i="70"/>
  <c r="T6" i="1"/>
  <c r="E7" i="70"/>
  <c r="AR7" i="1"/>
  <c r="AQ7" i="1"/>
  <c r="T7" i="1"/>
  <c r="R13" i="1"/>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C14" i="82"/>
  <c r="C14" i="80"/>
  <c r="C14" i="81"/>
  <c r="C15" i="81" l="1"/>
  <c r="C18" i="81"/>
  <c r="C15" i="82"/>
  <c r="C18" i="82"/>
  <c r="C18" i="80"/>
  <c r="C15" i="80"/>
  <c r="C19" i="80" s="1"/>
  <c r="B115" i="43"/>
  <c r="I115" i="43"/>
  <c r="J115" i="43" s="1"/>
  <c r="K115" i="43" s="1"/>
  <c r="L115" i="43" s="1"/>
  <c r="M115" i="43" s="1"/>
  <c r="B116" i="43"/>
  <c r="C116" i="43" s="1"/>
  <c r="B118" i="43"/>
  <c r="C118" i="43" s="1"/>
  <c r="G118" i="43"/>
  <c r="H118" i="43" s="1"/>
  <c r="I117" i="43"/>
  <c r="J117" i="43" s="1"/>
  <c r="K117" i="43" s="1"/>
  <c r="L117" i="43" s="1"/>
  <c r="M117" i="43" s="1"/>
  <c r="D115" i="43"/>
  <c r="E115" i="43" s="1"/>
  <c r="F115" i="43" s="1"/>
  <c r="G115" i="43" s="1"/>
  <c r="H115" i="43" s="1"/>
  <c r="I116" i="43"/>
  <c r="J116" i="43" s="1"/>
  <c r="K116" i="43" s="1"/>
  <c r="L116" i="43" s="1"/>
  <c r="M116" i="43" s="1"/>
  <c r="B117" i="43"/>
  <c r="C117" i="43" s="1"/>
  <c r="D117" i="43"/>
  <c r="E117" i="43" s="1"/>
  <c r="F117" i="43" s="1"/>
  <c r="G117" i="43" s="1"/>
  <c r="H117" i="43" s="1"/>
  <c r="D116" i="43"/>
  <c r="E116" i="43" s="1"/>
  <c r="F116" i="43" s="1"/>
  <c r="G116" i="43" s="1"/>
  <c r="H116" i="43" s="1"/>
  <c r="I118" i="43"/>
  <c r="J118" i="43" s="1"/>
  <c r="K118" i="43" s="1"/>
  <c r="L118" i="43" s="1"/>
  <c r="M118" i="43" s="1"/>
  <c r="D118" i="43"/>
  <c r="E118" i="43" s="1"/>
  <c r="F118" i="43" s="1"/>
  <c r="I106" i="43"/>
  <c r="I104" i="43"/>
  <c r="I102" i="43"/>
  <c r="I103" i="43"/>
  <c r="I107" i="43"/>
  <c r="I109" i="43"/>
  <c r="I105" i="43"/>
  <c r="C29" i="43"/>
  <c r="F109" i="43"/>
  <c r="F104" i="43"/>
  <c r="F107" i="43"/>
  <c r="F106" i="43"/>
  <c r="F103" i="43"/>
  <c r="F105" i="43"/>
  <c r="F102" i="43"/>
  <c r="C104" i="43"/>
  <c r="C106" i="43"/>
  <c r="C103" i="43"/>
  <c r="C107" i="43"/>
  <c r="C105" i="43"/>
  <c r="C102" i="43"/>
  <c r="C109" i="43"/>
  <c r="D19" i="6"/>
  <c r="D26" i="6"/>
  <c r="C18" i="4"/>
  <c r="D8" i="6"/>
  <c r="D23" i="6"/>
  <c r="D14" i="6"/>
  <c r="D5" i="6"/>
  <c r="D12" i="6"/>
  <c r="D11" i="6"/>
  <c r="D13" i="6"/>
  <c r="D28" i="6"/>
  <c r="E61" i="40"/>
  <c r="H22" i="6"/>
  <c r="H21" i="6"/>
  <c r="H24" i="6"/>
  <c r="H20" i="6"/>
  <c r="M19" i="9"/>
  <c r="C118" i="9" s="1"/>
  <c r="C14" i="74" s="1"/>
  <c r="B2" i="74" s="1"/>
  <c r="D25" i="6"/>
  <c r="D15" i="6"/>
  <c r="D22" i="6"/>
  <c r="R22" i="6" s="1"/>
  <c r="R9" i="1" s="1"/>
  <c r="D21" i="6"/>
  <c r="R21" i="6" s="1"/>
  <c r="R8" i="1" s="1"/>
  <c r="D24" i="6"/>
  <c r="R24" i="6" s="1"/>
  <c r="R11" i="1" s="1"/>
  <c r="D20" i="6"/>
  <c r="R20" i="6" s="1"/>
  <c r="R7" i="1" s="1"/>
  <c r="D6" i="6"/>
  <c r="D9" i="6"/>
  <c r="D10" i="6"/>
  <c r="L19" i="9"/>
  <c r="D29" i="6"/>
  <c r="H25" i="6"/>
  <c r="R25" i="6" s="1"/>
  <c r="R12" i="1" s="1"/>
  <c r="H23" i="6"/>
  <c r="H26" i="6"/>
  <c r="H19" i="6"/>
  <c r="S19" i="6"/>
  <c r="S27" i="6" s="1"/>
  <c r="I27" i="6"/>
  <c r="K102" i="43"/>
  <c r="K106" i="43"/>
  <c r="K109" i="43"/>
  <c r="K107" i="43"/>
  <c r="K103" i="43"/>
  <c r="K104" i="43"/>
  <c r="K105" i="43"/>
  <c r="N104" i="43"/>
  <c r="N109" i="43"/>
  <c r="N103" i="43"/>
  <c r="N105" i="43"/>
  <c r="N106" i="43"/>
  <c r="N107" i="43"/>
  <c r="N102" i="43"/>
  <c r="H106" i="43"/>
  <c r="H104" i="43"/>
  <c r="H107" i="43"/>
  <c r="H105" i="43"/>
  <c r="H103" i="43"/>
  <c r="H109" i="43"/>
  <c r="H102" i="43"/>
  <c r="G105" i="43"/>
  <c r="G103" i="43"/>
  <c r="G107" i="43"/>
  <c r="G109" i="43"/>
  <c r="G104" i="43"/>
  <c r="G102" i="43"/>
  <c r="G106" i="43"/>
  <c r="M109" i="43"/>
  <c r="M107" i="43"/>
  <c r="M102" i="43"/>
  <c r="M103" i="43"/>
  <c r="M104" i="43"/>
  <c r="M105" i="43"/>
  <c r="M106" i="43"/>
  <c r="J104" i="43"/>
  <c r="J103" i="43"/>
  <c r="J107" i="43"/>
  <c r="J105" i="43"/>
  <c r="J102" i="43"/>
  <c r="J106" i="43"/>
  <c r="J109" i="43"/>
  <c r="E107" i="43"/>
  <c r="E109" i="43"/>
  <c r="E104" i="43"/>
  <c r="E105" i="43"/>
  <c r="E102" i="43"/>
  <c r="E103" i="43"/>
  <c r="E106" i="43"/>
  <c r="L109" i="43"/>
  <c r="L103" i="43"/>
  <c r="L102" i="43"/>
  <c r="L104" i="43"/>
  <c r="L107" i="43"/>
  <c r="L105" i="43"/>
  <c r="L106" i="43"/>
  <c r="D104" i="43"/>
  <c r="D105" i="43"/>
  <c r="D102" i="43"/>
  <c r="D103" i="43"/>
  <c r="D107" i="43"/>
  <c r="D106" i="43"/>
  <c r="D109" i="43"/>
  <c r="C49" i="21"/>
  <c r="C24" i="68"/>
  <c r="C22" i="12"/>
  <c r="C33" i="68"/>
  <c r="I63" i="40"/>
  <c r="H65" i="40"/>
  <c r="C39" i="11"/>
  <c r="C43" i="11" s="1"/>
  <c r="C41" i="11" s="1"/>
  <c r="I70" i="39"/>
  <c r="F35" i="80"/>
  <c r="M21" i="67"/>
  <c r="F35" i="82"/>
  <c r="F35" i="81"/>
  <c r="M21" i="80"/>
  <c r="F35" i="67"/>
  <c r="M21" i="82"/>
  <c r="M21" i="81"/>
  <c r="C19" i="82" l="1"/>
  <c r="C19" i="81"/>
  <c r="C20" i="81" s="1"/>
  <c r="C20" i="80"/>
  <c r="C26" i="80" s="1"/>
  <c r="C23" i="80"/>
  <c r="C29" i="80" s="1"/>
  <c r="C20" i="82"/>
  <c r="C26" i="82" s="1"/>
  <c r="H27" i="6"/>
  <c r="D16" i="6"/>
  <c r="D30" i="6"/>
  <c r="J20" i="81"/>
  <c r="F63" i="81"/>
  <c r="C62" i="81" s="1"/>
  <c r="C34" i="81"/>
  <c r="J20" i="82"/>
  <c r="C34" i="82"/>
  <c r="F63" i="82"/>
  <c r="C62" i="82" s="1"/>
  <c r="F63" i="67"/>
  <c r="C62" i="67" s="1"/>
  <c r="C34" i="67"/>
  <c r="J20" i="67"/>
  <c r="J20" i="80"/>
  <c r="F63" i="80"/>
  <c r="C62" i="80" s="1"/>
  <c r="C34" i="80"/>
  <c r="R26" i="6"/>
  <c r="E29" i="43"/>
  <c r="C26" i="43" s="1"/>
  <c r="C30" i="43"/>
  <c r="E30" i="43" s="1"/>
  <c r="C27" i="43" s="1"/>
  <c r="C115" i="43"/>
  <c r="D113" i="43"/>
  <c r="J22" i="43" s="1"/>
  <c r="R23" i="6"/>
  <c r="R10" i="1" s="1"/>
  <c r="A10" i="51"/>
  <c r="B9" i="72" s="1"/>
  <c r="C4" i="52"/>
  <c r="B45" i="72" s="1"/>
  <c r="A7" i="51"/>
  <c r="B7" i="72" s="1"/>
  <c r="D27" i="6"/>
  <c r="D31" i="6" s="1"/>
  <c r="R19" i="6"/>
  <c r="C57" i="80"/>
  <c r="J19" i="80"/>
  <c r="J17" i="80" s="1"/>
  <c r="C13" i="80"/>
  <c r="C33" i="80"/>
  <c r="C31" i="80" s="1"/>
  <c r="C36" i="80"/>
  <c r="J14" i="80"/>
  <c r="Q49" i="80"/>
  <c r="C39" i="68"/>
  <c r="C43" i="68" s="1"/>
  <c r="C42" i="68"/>
  <c r="J63" i="40"/>
  <c r="I65" i="40"/>
  <c r="C46" i="11"/>
  <c r="C45" i="11" s="1"/>
  <c r="C49" i="11" s="1"/>
  <c r="C51" i="11" s="1"/>
  <c r="C52" i="11" s="1"/>
  <c r="B2" i="11" s="1"/>
  <c r="B3" i="11" s="1"/>
  <c r="J70" i="39"/>
  <c r="E6" i="76"/>
  <c r="C23" i="81" l="1"/>
  <c r="C26" i="81"/>
  <c r="C29" i="81"/>
  <c r="C57" i="81" s="1"/>
  <c r="C64" i="81" s="1"/>
  <c r="C23" i="82"/>
  <c r="C29" i="82" s="1"/>
  <c r="E2" i="76"/>
  <c r="I6" i="6"/>
  <c r="I5" i="6"/>
  <c r="B2" i="43"/>
  <c r="R6" i="1"/>
  <c r="R27" i="6"/>
  <c r="C61" i="81"/>
  <c r="C59" i="81" s="1"/>
  <c r="J19" i="81"/>
  <c r="J17" i="81" s="1"/>
  <c r="C33" i="81"/>
  <c r="C31" i="81" s="1"/>
  <c r="J22" i="80"/>
  <c r="J13" i="80"/>
  <c r="J23" i="80" s="1"/>
  <c r="Q70" i="80"/>
  <c r="C56" i="80"/>
  <c r="C65" i="80" s="1"/>
  <c r="C75" i="80"/>
  <c r="C37" i="80"/>
  <c r="C30" i="80" s="1"/>
  <c r="C39" i="80" s="1"/>
  <c r="C61" i="80"/>
  <c r="C59" i="80" s="1"/>
  <c r="C64" i="80"/>
  <c r="C41" i="68"/>
  <c r="C46" i="68"/>
  <c r="C45" i="68" s="1"/>
  <c r="K63" i="40"/>
  <c r="J65" i="40"/>
  <c r="K70" i="39"/>
  <c r="C56" i="11"/>
  <c r="C57" i="11" s="1"/>
  <c r="M21" i="15"/>
  <c r="B6" i="76"/>
  <c r="F35" i="15"/>
  <c r="L51" i="80"/>
  <c r="J14" i="81" l="1"/>
  <c r="C13" i="81"/>
  <c r="C75" i="81" s="1"/>
  <c r="Q49" i="81"/>
  <c r="C36" i="81"/>
  <c r="C57" i="82"/>
  <c r="Q49" i="82"/>
  <c r="C33" i="82"/>
  <c r="C31" i="82" s="1"/>
  <c r="J14" i="82"/>
  <c r="J19" i="82"/>
  <c r="J17" i="82" s="1"/>
  <c r="C13" i="82"/>
  <c r="C36" i="82"/>
  <c r="B2" i="76"/>
  <c r="B3" i="76" s="1"/>
  <c r="C34" i="15"/>
  <c r="F63" i="15"/>
  <c r="C62" i="15" s="1"/>
  <c r="J20" i="15"/>
  <c r="B3" i="43"/>
  <c r="C11" i="33"/>
  <c r="C11" i="39"/>
  <c r="C11" i="34"/>
  <c r="R16" i="1"/>
  <c r="Q70" i="81"/>
  <c r="C37" i="81"/>
  <c r="C30" i="81" s="1"/>
  <c r="C39" i="81" s="1"/>
  <c r="C56" i="81"/>
  <c r="C65" i="81" s="1"/>
  <c r="C58" i="81" s="1"/>
  <c r="C67" i="81" s="1"/>
  <c r="J13" i="81"/>
  <c r="J23" i="81" s="1"/>
  <c r="J22" i="81"/>
  <c r="J16" i="80"/>
  <c r="J25" i="80" s="1"/>
  <c r="Q67" i="80"/>
  <c r="Q69" i="80"/>
  <c r="Q68" i="80" s="1"/>
  <c r="C58" i="80"/>
  <c r="C67" i="80" s="1"/>
  <c r="C80" i="80"/>
  <c r="C79" i="80" s="1"/>
  <c r="C49" i="68"/>
  <c r="C51" i="68" s="1"/>
  <c r="L63" i="40"/>
  <c r="K65" i="40"/>
  <c r="L70" i="39"/>
  <c r="E2" i="70"/>
  <c r="C34" i="69"/>
  <c r="L51" i="81"/>
  <c r="C17" i="67"/>
  <c r="C56" i="82" l="1"/>
  <c r="C65" i="82" s="1"/>
  <c r="Q70" i="82"/>
  <c r="C75" i="82"/>
  <c r="C37" i="82"/>
  <c r="C30" i="82" s="1"/>
  <c r="C39" i="82" s="1"/>
  <c r="J13" i="82"/>
  <c r="J23" i="82" s="1"/>
  <c r="J22" i="82"/>
  <c r="C64" i="82"/>
  <c r="C61" i="82"/>
  <c r="C59" i="82" s="1"/>
  <c r="C58" i="82" s="1"/>
  <c r="C67" i="82" s="1"/>
  <c r="F11" i="34"/>
  <c r="J11" i="34"/>
  <c r="H11" i="34"/>
  <c r="F11" i="33"/>
  <c r="H11" i="33"/>
  <c r="J11" i="33"/>
  <c r="F11" i="39"/>
  <c r="J11" i="39"/>
  <c r="H11" i="39"/>
  <c r="Q67" i="81"/>
  <c r="C80" i="81"/>
  <c r="C79" i="81" s="1"/>
  <c r="Q69" i="81"/>
  <c r="Q68" i="81" s="1"/>
  <c r="J16" i="81"/>
  <c r="J25" i="81" s="1"/>
  <c r="M63" i="40"/>
  <c r="L65" i="40"/>
  <c r="M70" i="39"/>
  <c r="C35" i="69"/>
  <c r="C38" i="69"/>
  <c r="D10" i="69"/>
  <c r="L51" i="82"/>
  <c r="C80" i="82" l="1"/>
  <c r="C79" i="82" s="1"/>
  <c r="Q67" i="82"/>
  <c r="J16" i="82"/>
  <c r="J25" i="82" s="1"/>
  <c r="Q69" i="82"/>
  <c r="Q68" i="82" s="1"/>
  <c r="W11" i="39"/>
  <c r="AC11" i="39"/>
  <c r="W11" i="33"/>
  <c r="AC11" i="33"/>
  <c r="AA11" i="33"/>
  <c r="S11" i="33"/>
  <c r="AC11" i="34"/>
  <c r="V49" i="34" s="1"/>
  <c r="I49" i="34" s="1"/>
  <c r="I53" i="34" s="1"/>
  <c r="J53" i="34" s="1"/>
  <c r="W11" i="34"/>
  <c r="U11" i="39"/>
  <c r="AB11" i="39"/>
  <c r="AA11" i="39"/>
  <c r="S11" i="39"/>
  <c r="U11" i="33"/>
  <c r="AB11" i="33"/>
  <c r="AB11" i="34"/>
  <c r="T49" i="34" s="1"/>
  <c r="G49" i="34" s="1"/>
  <c r="U11" i="34"/>
  <c r="S11" i="34"/>
  <c r="AA11" i="34"/>
  <c r="R49" i="34" s="1"/>
  <c r="N63" i="40"/>
  <c r="M65" i="40"/>
  <c r="O70" i="39"/>
  <c r="N70" i="39"/>
  <c r="D19" i="69"/>
  <c r="C10" i="69"/>
  <c r="C8" i="69" s="1"/>
  <c r="C5" i="69" s="1"/>
  <c r="R50" i="34" l="1"/>
  <c r="E49" i="34"/>
  <c r="G54" i="34"/>
  <c r="H54" i="34" s="1"/>
  <c r="G53" i="34"/>
  <c r="H53" i="34" s="1"/>
  <c r="O63" i="40"/>
  <c r="O65" i="40" s="1"/>
  <c r="N65" i="40"/>
  <c r="C23" i="69"/>
  <c r="C19" i="69"/>
  <c r="C24" i="69" s="1"/>
  <c r="D37" i="69"/>
  <c r="C37" i="69" s="1"/>
  <c r="C33" i="69" s="1"/>
  <c r="C14" i="67"/>
  <c r="I54" i="34" l="1"/>
  <c r="J54" i="34" s="1"/>
  <c r="E54" i="34"/>
  <c r="F54" i="34" s="1"/>
  <c r="E53" i="34"/>
  <c r="F53" i="34" s="1"/>
  <c r="C49" i="34"/>
  <c r="C50" i="34"/>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2"/>
  <c r="F41" i="67"/>
  <c r="F41" i="15"/>
  <c r="M27" i="67"/>
  <c r="F41" i="81"/>
  <c r="M27" i="15"/>
  <c r="F41" i="80"/>
  <c r="J29" i="82" l="1"/>
  <c r="F69" i="82"/>
  <c r="C68" i="82" s="1"/>
  <c r="C71" i="82" s="1"/>
  <c r="C40" i="82"/>
  <c r="Q47" i="82" s="1"/>
  <c r="Q53" i="82" s="1"/>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C83" i="82" l="1"/>
  <c r="C82" i="82" s="1"/>
  <c r="Q56" i="82"/>
  <c r="Q62" i="82" s="1"/>
  <c r="B2" i="82"/>
  <c r="C43" i="82"/>
  <c r="Q65" i="82"/>
  <c r="Q75" i="82" s="1"/>
  <c r="C46" i="82"/>
  <c r="B3" i="82"/>
  <c r="C43" i="80"/>
  <c r="Q65" i="81"/>
  <c r="Q75" i="81" s="1"/>
  <c r="Q47" i="80"/>
  <c r="Q53" i="80" s="1"/>
  <c r="Q65" i="80"/>
  <c r="Q75" i="80" s="1"/>
  <c r="Q47" i="81"/>
  <c r="Q53" i="81" s="1"/>
  <c r="C83" i="80"/>
  <c r="C82" i="80" s="1"/>
  <c r="Q56" i="80"/>
  <c r="Q62" i="80" s="1"/>
  <c r="C46" i="81"/>
  <c r="C83" i="81"/>
  <c r="C82" i="81" s="1"/>
  <c r="Q56" i="81"/>
  <c r="Q62" i="81" s="1"/>
  <c r="B2" i="81"/>
  <c r="B3" i="81" s="1"/>
  <c r="C46" i="80"/>
  <c r="B3" i="80"/>
  <c r="E8"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8" i="1"/>
  <c r="AO7" i="1"/>
  <c r="E2" i="69"/>
  <c r="AO6" i="1"/>
  <c r="AO9" i="1"/>
  <c r="B9" i="70" l="1"/>
  <c r="B12" i="70"/>
  <c r="B3" i="15"/>
  <c r="B8" i="70"/>
  <c r="B7" i="70"/>
  <c r="B6" i="70"/>
  <c r="C46" i="15"/>
  <c r="B2" i="69"/>
  <c r="B3" i="69" s="1"/>
  <c r="B3" i="67"/>
  <c r="E2" i="68"/>
  <c r="D2" i="37"/>
  <c r="F20" i="31"/>
  <c r="D2" i="34"/>
  <c r="D2" i="35"/>
  <c r="D2" i="21"/>
  <c r="D2" i="33"/>
  <c r="D2" i="36"/>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B3" i="68" s="1"/>
  <c r="C20" i="9"/>
  <c r="C19" i="9"/>
  <c r="C21" i="9" l="1"/>
  <c r="C102" i="9"/>
  <c r="C103" i="9"/>
  <c r="AD3" i="71" l="1"/>
  <c r="P21" i="43" s="1"/>
  <c r="P22" i="43" l="1"/>
  <c r="P23" i="43"/>
  <c r="B71" i="39" s="1"/>
  <c r="P24" i="43"/>
  <c r="B66" i="40" s="1"/>
  <c r="P25" i="43"/>
  <c r="H6" i="12" l="1"/>
  <c r="H8" i="12" s="1"/>
  <c r="C6" i="12"/>
  <c r="C8" i="12" l="1"/>
  <c r="D6" i="12"/>
  <c r="F6" i="12" l="1"/>
  <c r="F8" i="12" l="1"/>
  <c r="C4" i="12" s="1"/>
  <c r="G6" i="12"/>
  <c r="G8" i="12" s="1"/>
  <c r="C31" i="12" l="1"/>
  <c r="C23" i="12"/>
  <c r="C30" i="12" l="1"/>
  <c r="C28" i="12" s="1"/>
  <c r="C27" i="12"/>
  <c r="C25" i="12" s="1"/>
  <c r="C32" i="12" s="1"/>
  <c r="B2" i="12" s="1"/>
  <c r="D19" i="9"/>
  <c r="D21" i="9" l="1"/>
  <c r="D102" i="9"/>
  <c r="G19" i="9"/>
  <c r="D22" i="9"/>
  <c r="B3" i="12"/>
  <c r="D20" i="9"/>
  <c r="G20" i="9" l="1"/>
  <c r="D103" i="9"/>
  <c r="G21" i="9"/>
  <c r="C32" i="9"/>
  <c r="H118" i="9" l="1"/>
  <c r="C35" i="9"/>
  <c r="F118" i="9" s="1"/>
  <c r="C34" i="9" l="1"/>
  <c r="D118" i="9" s="1"/>
  <c r="F4" i="52"/>
  <c r="B51" i="72" s="1"/>
  <c r="F119" i="9"/>
  <c r="F5" i="52" s="1"/>
  <c r="B53" i="72" s="1"/>
  <c r="G118" i="9"/>
  <c r="G4" i="52" s="1"/>
  <c r="B52" i="72" s="1"/>
  <c r="D119" i="9"/>
  <c r="D5" i="52" s="1"/>
  <c r="B49" i="72" s="1"/>
  <c r="D4" i="52"/>
  <c r="B47" i="72" s="1"/>
  <c r="D14" i="74"/>
  <c r="H119" i="9"/>
  <c r="H5" i="52" s="1"/>
  <c r="I118" i="9"/>
  <c r="H4" i="52"/>
  <c r="C104" i="9"/>
  <c r="H101" i="9"/>
  <c r="H107" i="9" l="1"/>
  <c r="M48" i="9"/>
  <c r="D45" i="9"/>
  <c r="D5" i="53"/>
  <c r="I4" i="52"/>
  <c r="C105" i="9"/>
  <c r="H102" i="9"/>
  <c r="D7" i="53" s="1"/>
  <c r="B21" i="72" s="1"/>
  <c r="E118" i="9"/>
  <c r="E4" i="52" s="1"/>
  <c r="B48" i="72" s="1"/>
  <c r="E14" i="74"/>
  <c r="B5" i="74"/>
  <c r="F14" i="74"/>
  <c r="D5" i="74" l="1"/>
  <c r="C5" i="74"/>
  <c r="B20" i="72"/>
  <c r="D6" i="53"/>
  <c r="B22" i="72" s="1"/>
  <c r="C93" i="9"/>
  <c r="C86" i="9" s="1"/>
  <c r="D52" i="9"/>
  <c r="D53" i="9"/>
  <c r="C64" i="9"/>
  <c r="C63" i="9" s="1"/>
  <c r="C67" i="9" s="1"/>
  <c r="C68" i="9" s="1"/>
  <c r="D54" i="9" s="1"/>
  <c r="C72" i="9"/>
  <c r="D55" i="9"/>
  <c r="M53" i="9" s="1"/>
  <c r="C78" i="9"/>
  <c r="C73" i="9" s="1"/>
  <c r="C85" i="9"/>
  <c r="C95" i="9" s="1"/>
  <c r="D13" i="53"/>
  <c r="D122" i="9"/>
  <c r="H108" i="9"/>
  <c r="D15" i="53" s="1"/>
  <c r="B31" i="72" s="1"/>
  <c r="D123" i="9" l="1"/>
  <c r="D9" i="52" s="1"/>
  <c r="G14" i="74"/>
  <c r="B6" i="74" s="1"/>
  <c r="D8" i="52"/>
  <c r="C96" i="9"/>
  <c r="E96" i="9" s="1"/>
  <c r="E97" i="9" s="1"/>
  <c r="D14" i="53"/>
  <c r="B32" i="72" s="1"/>
  <c r="B30" i="72"/>
  <c r="C79" i="9"/>
  <c r="C97" i="9" l="1"/>
  <c r="D58" i="9" s="1"/>
  <c r="D56" i="9" s="1"/>
  <c r="M54" i="9" s="1"/>
  <c r="N57" i="9" s="1"/>
  <c r="N59" i="9" s="1"/>
  <c r="C80" i="9"/>
  <c r="E80" i="9" s="1"/>
  <c r="E81" i="9" s="1"/>
  <c r="D6" i="74"/>
  <c r="C6" i="74"/>
  <c r="P57" i="9" l="1"/>
  <c r="N58"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<sst xmlns="http://schemas.openxmlformats.org/spreadsheetml/2006/main" count="10569" uniqueCount="3637">
  <si>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</si>
  <si>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</si>
  <si>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</si>
  <si>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</si>
  <si>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</si>
  <si>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</si>
  <si>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</si>
  <si>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</si>
  <si>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</si>
  <si>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</si>
  <si>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</si>
  <si>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</si>
  <si>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</si>
  <si>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</si>
  <si>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</si>
  <si>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</si>
  <si>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</si>
  <si>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</si>
  <si>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</si>
  <si>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</si>
  <si>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</si>
  <si>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</si>
  <si>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</si>
  <si>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</si>
  <si>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</si>
  <si>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</si>
  <si>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</si>
  <si>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</si>
  <si>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</si>
  <si>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</si>
  <si>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</si>
  <si>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</si>
  <si>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</si>
  <si>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</si>
  <si>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</si>
  <si>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</si>
  <si>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</si>
  <si>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</si>
  <si>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</si>
  <si>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</si>
  <si>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</si>
  <si>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</si>
  <si>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</si>
  <si>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</si>
  <si>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</si>
  <si>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</si>
  <si>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</si>
  <si>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</si>
  <si>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</si>
  <si>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</si>
  <si>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</si>
  <si>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</si>
  <si>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</si>
  <si>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</si>
  <si>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</si>
  <si>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</si>
  <si>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</si>
  <si>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</si>
  <si>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</si>
  <si>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</si>
  <si>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</si>
  <si>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</si>
  <si>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</si>
  <si>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</si>
  <si>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</si>
  <si>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</si>
  <si>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</si>
  <si>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</si>
  <si>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</si>
  <si>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</si>
  <si>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</si>
  <si>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</si>
  <si>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</si>
  <si>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</si>
  <si>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</si>
  <si>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</si>
  <si>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</si>
  <si>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</si>
  <si>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</si>
  <si>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</si>
  <si>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</si>
  <si>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</si>
  <si>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</si>
  <si>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</si>
  <si>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</si>
  <si>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</si>
  <si>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</si>
  <si>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</si>
  <si>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</si>
  <si>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</si>
  <si>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</si>
  <si>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</si>
  <si>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</si>
  <si>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</si>
  <si>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</si>
  <si>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</si>
  <si>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</si>
  <si>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</si>
  <si>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</si>
  <si>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</si>
  <si>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</si>
  <si>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</si>
  <si>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</si>
  <si>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</si>
  <si>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</si>
  <si>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</si>
  <si>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</si>
  <si>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</si>
  <si>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</si>
  <si>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</si>
  <si>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</si>
  <si>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</si>
  <si>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</si>
  <si>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</si>
  <si>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</si>
  <si>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</si>
  <si>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</si>
  <si>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</si>
  <si>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</si>
  <si>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</si>
  <si>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</si>
  <si>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</si>
  <si>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</si>
  <si>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</si>
  <si>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</si>
  <si>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</si>
  <si>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</si>
  <si>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</si>
  <si>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</si>
  <si>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</si>
  <si>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</si>
  <si>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</si>
  <si>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</si>
  <si>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</si>
  <si>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</si>
  <si>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</si>
  <si>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</si>
  <si>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</si>
  <si>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</si>
  <si>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</si>
  <si>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</si>
  <si>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</si>
  <si>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</si>
  <si>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</si>
  <si>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</si>
  <si>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</si>
  <si>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</si>
  <si>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</si>
  <si>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</si>
  <si>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</si>
  <si>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</si>
  <si>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</si>
  <si>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</si>
  <si>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</si>
  <si>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</si>
  <si>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</si>
  <si>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</si>
  <si>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</si>
  <si>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</si>
  <si>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</si>
  <si>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</si>
  <si>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</si>
  <si>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</si>
  <si>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</si>
  <si>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</si>
  <si>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</si>
  <si>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</si>
  <si>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</si>
  <si>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</si>
  <si>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</si>
  <si>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</si>
  <si>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</si>
  <si>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</si>
  <si>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</si>
  <si>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</si>
  <si>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</si>
  <si>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</si>
  <si>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</si>
  <si>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</si>
  <si>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</si>
  <si>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</si>
  <si>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</si>
  <si>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</si>
  <si>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</si>
  <si>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</si>
  <si>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</si>
  <si>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</si>
  <si>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</si>
  <si>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</si>
  <si>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</si>
  <si>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</si>
  <si>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</si>
  <si>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</si>
  <si>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</si>
  <si>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</si>
  <si>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</si>
  <si>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</si>
  <si>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</si>
  <si>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</si>
  <si>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</si>
  <si>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</si>
  <si>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</si>
  <si>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</si>
  <si>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</si>
  <si>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</si>
  <si>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</si>
  <si>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</si>
  <si>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</si>
  <si>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</si>
  <si>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</si>
  <si>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</si>
  <si>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</si>
  <si>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</si>
  <si>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</si>
  <si>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</si>
  <si>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</si>
  <si>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</si>
  <si>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</si>
  <si>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</si>
  <si>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</si>
  <si>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</si>
  <si>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</si>
  <si>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</si>
  <si>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</si>
  <si>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</si>
  <si>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</si>
  <si>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</si>
  <si>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</si>
  <si>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</si>
  <si>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</si>
  <si>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</si>
  <si>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</si>
  <si>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</si>
  <si>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</si>
  <si>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</si>
  <si>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</si>
  <si>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</si>
  <si>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</si>
  <si>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</si>
  <si>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</si>
  <si>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</si>
  <si>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</si>
  <si>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</si>
  <si>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</si>
  <si>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</si>
  <si>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</si>
  <si>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</si>
  <si>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</si>
  <si>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</si>
  <si>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</si>
  <si>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</si>
  <si>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</si>
  <si>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</si>
  <si>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</si>
  <si>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</si>
  <si>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</si>
  <si>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</si>
  <si>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</si>
  <si>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</si>
  <si>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</si>
  <si>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</si>
  <si>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</si>
  <si>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</si>
  <si>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</si>
  <si>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</si>
  <si>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</si>
  <si>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</si>
  <si>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</si>
  <si>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</si>
  <si>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</si>
  <si>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</si>
  <si>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</si>
  <si>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</si>
  <si>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</si>
  <si>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</si>
  <si>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</si>
  <si>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</si>
  <si>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</si>
  <si>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</si>
  <si>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</si>
  <si>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</si>
  <si>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</si>
  <si>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</si>
  <si>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</si>
  <si>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</si>
  <si>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</si>
  <si>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</si>
  <si>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</si>
  <si>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</si>
  <si>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</si>
  <si>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</si>
  <si>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</si>
  <si>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</si>
  <si>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</si>
  <si>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</si>
  <si>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</si>
  <si>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</si>
  <si>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</si>
  <si>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</si>
  <si>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</si>
  <si>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</si>
  <si>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</si>
  <si>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</si>
  <si>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</si>
  <si>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</si>
  <si>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</si>
  <si>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</si>
  <si>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</si>
  <si>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</si>
  <si>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</si>
  <si>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</si>
  <si>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</si>
  <si>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</si>
  <si>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</si>
  <si>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</si>
  <si>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</si>
  <si>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</si>
  <si>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</si>
  <si>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</si>
  <si>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</si>
  <si>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</si>
  <si>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</si>
  <si>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</si>
  <si>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</si>
  <si>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</si>
  <si>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</si>
  <si>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</si>
  <si>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</si>
  <si>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</si>
  <si>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</si>
  <si>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</si>
  <si>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</si>
  <si>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</si>
  <si>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</si>
  <si>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</si>
  <si>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</si>
  <si>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</si>
  <si>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</si>
  <si>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</si>
  <si>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</si>
  <si>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</si>
  <si>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</si>
  <si>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</si>
  <si>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</si>
  <si>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</si>
  <si>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</si>
  <si>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</si>
  <si>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</si>
  <si>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</si>
  <si>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</si>
  <si>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</si>
  <si>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</si>
  <si>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</si>
  <si>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</si>
  <si>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</si>
  <si>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</si>
  <si>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</si>
  <si>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</si>
  <si>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</si>
  <si>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</si>
  <si>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</si>
  <si>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</si>
  <si>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</si>
  <si>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</si>
  <si>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</si>
  <si>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</si>
  <si>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</si>
  <si>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</si>
  <si>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</si>
  <si>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</si>
  <si>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</si>
  <si>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</si>
  <si>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</si>
  <si>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</si>
  <si>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</si>
  <si>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</si>
  <si>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</si>
  <si>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</si>
  <si>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</si>
  <si>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</si>
  <si>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</si>
  <si>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</si>
  <si>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</si>
  <si>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</si>
  <si>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</si>
  <si>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</si>
  <si>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</si>
  <si>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</si>
  <si>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</si>
  <si>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</si>
  <si>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</si>
  <si>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</si>
  <si>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</si>
  <si>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</si>
  <si>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</si>
  <si>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</si>
  <si>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</si>
  <si>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</si>
  <si>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</si>
  <si>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</si>
  <si>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</si>
  <si>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</si>
  <si>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</si>
  <si>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</si>
  <si>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</si>
  <si>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</si>
  <si>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</si>
  <si>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</si>
  <si>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</si>
  <si>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</si>
  <si>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</si>
  <si>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</si>
  <si>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</si>
  <si>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</si>
  <si>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</si>
  <si>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</si>
  <si>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</si>
  <si>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</si>
  <si>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</si>
  <si>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</si>
  <si>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</si>
  <si>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</si>
  <si>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</si>
  <si>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</si>
  <si>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</si>
  <si>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</si>
  <si>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</si>
  <si>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</si>
  <si>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</si>
  <si>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</si>
  <si>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</si>
  <si>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</si>
  <si>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</si>
  <si>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</si>
  <si>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</si>
  <si>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</si>
  <si>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</si>
  <si>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</si>
  <si>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</si>
  <si>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</si>
  <si>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</si>
  <si>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</si>
  <si>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</si>
  <si>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</si>
  <si>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</si>
  <si>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</si>
  <si>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</si>
  <si>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</si>
  <si>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</si>
  <si>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</si>
  <si>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</si>
  <si>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</si>
  <si>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</si>
  <si>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</si>
  <si>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</si>
  <si>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</si>
  <si>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</si>
  <si>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</si>
  <si>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</si>
  <si>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</si>
  <si>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</si>
  <si>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</si>
  <si>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</si>
  <si>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</si>
  <si>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</si>
  <si>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</si>
  <si>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</si>
  <si>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</si>
  <si>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</si>
  <si>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</si>
  <si>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</si>
  <si>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</si>
  <si>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</si>
  <si>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</si>
  <si>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</si>
  <si>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</si>
  <si>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</si>
  <si>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</si>
  <si>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</si>
  <si>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</si>
  <si>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</si>
  <si>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</si>
  <si>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</si>
  <si>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</si>
  <si>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</si>
  <si>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</si>
  <si>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</si>
  <si>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</si>
  <si>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</si>
  <si>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</si>
  <si>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</si>
  <si>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</si>
  <si>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</si>
  <si>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</si>
  <si>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</si>
  <si>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</si>
  <si>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</si>
  <si>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</si>
  <si>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</si>
  <si>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</si>
  <si>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</si>
  <si>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</si>
  <si>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</si>
  <si>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</si>
  <si>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</si>
  <si>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</si>
  <si>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</si>
  <si>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</si>
  <si>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</si>
  <si>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</si>
  <si>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</si>
  <si>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</si>
  <si>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</si>
  <si>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</si>
  <si>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</si>
  <si>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</si>
  <si>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</si>
  <si>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</si>
  <si>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</si>
  <si>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</si>
  <si>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</si>
  <si>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</si>
  <si>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</si>
  <si>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</si>
  <si>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</si>
  <si>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</si>
  <si>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</si>
  <si>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</si>
  <si>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</si>
  <si>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</si>
  <si>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</si>
  <si>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</si>
  <si>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</si>
  <si>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</si>
  <si>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</si>
  <si>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</si>
  <si>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</si>
  <si>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</si>
  <si>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</si>
  <si>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</si>
  <si>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</si>
  <si>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</si>
  <si>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</si>
  <si>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</si>
  <si>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</si>
  <si>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</si>
  <si>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</si>
  <si>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</si>
  <si>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</si>
  <si>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</si>
  <si>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</si>
  <si>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</si>
  <si>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</si>
  <si>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</si>
  <si>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</si>
  <si>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</si>
  <si>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</si>
  <si>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</si>
  <si>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</si>
  <si>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</si>
  <si>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</si>
  <si>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</si>
  <si>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</si>
  <si>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</si>
  <si>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</si>
  <si>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</si>
  <si>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</si>
  <si>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</si>
  <si>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</si>
  <si>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</si>
  <si>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</si>
  <si>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</si>
  <si>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</si>
  <si>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</si>
  <si>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</si>
  <si>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</si>
  <si>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</si>
  <si>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</si>
  <si>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</si>
  <si>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</si>
  <si>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</si>
  <si>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</si>
  <si>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</si>
  <si>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</si>
  <si>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</si>
  <si>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</si>
  <si>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</si>
  <si>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</si>
  <si>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</si>
  <si>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</si>
  <si>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</si>
  <si>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</si>
  <si>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</si>
  <si>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</si>
  <si>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</si>
  <si>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</si>
  <si>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</si>
  <si>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</si>
  <si>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</si>
  <si>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</si>
  <si>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</si>
  <si>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</si>
  <si>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</si>
  <si>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</si>
  <si>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</si>
  <si>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</si>
  <si>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</si>
  <si>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</si>
  <si>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</si>
  <si>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</si>
  <si>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</si>
  <si>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</si>
  <si>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</si>
  <si>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</si>
  <si>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</si>
  <si>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</si>
  <si>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</si>
  <si>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</si>
  <si>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</si>
  <si>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</si>
  <si>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</si>
  <si>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</si>
  <si>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</si>
  <si>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</si>
  <si>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</si>
  <si>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</si>
  <si>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</si>
  <si>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</si>
  <si>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</si>
  <si>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</si>
  <si>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</si>
  <si>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</si>
  <si>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</si>
  <si>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</si>
  <si>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</si>
  <si>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</si>
  <si>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</si>
  <si>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</si>
  <si>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</si>
  <si>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</si>
  <si>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</si>
  <si>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</si>
  <si>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</si>
  <si>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</si>
  <si>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</si>
  <si>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</si>
  <si>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</si>
  <si>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</si>
  <si>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</si>
  <si>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</si>
  <si>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</si>
  <si>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</si>
  <si>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</si>
  <si>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</si>
  <si>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</si>
  <si>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</si>
  <si>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</si>
  <si>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</si>
  <si>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</si>
  <si>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</si>
  <si>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</si>
  <si>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</si>
  <si>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</si>
  <si>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</si>
  <si>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</si>
  <si>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</si>
  <si>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</si>
  <si>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</si>
  <si>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</si>
  <si>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</si>
  <si>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</si>
  <si>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</si>
  <si>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</si>
  <si>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</si>
  <si>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</si>
  <si>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</si>
  <si>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</si>
  <si>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</si>
  <si>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</si>
  <si>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</si>
  <si>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</si>
  <si>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</si>
  <si>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</si>
  <si>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</si>
  <si>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</si>
  <si>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</si>
  <si>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</si>
  <si>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</si>
  <si>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</si>
  <si>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</si>
  <si>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</si>
  <si>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</si>
  <si>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</si>
  <si>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</si>
  <si>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</si>
  <si>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</si>
  <si>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</si>
  <si>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</si>
  <si>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</si>
  <si>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</si>
  <si>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</si>
  <si>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</si>
  <si>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</si>
  <si>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</si>
  <si>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</si>
  <si>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</si>
  <si>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</si>
  <si>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</si>
  <si>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</si>
  <si>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</si>
  <si>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</si>
  <si>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</si>
  <si>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</si>
  <si>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</si>
  <si>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</si>
  <si>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</si>
  <si>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</si>
  <si>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</si>
  <si>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</si>
  <si>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</si>
  <si>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</si>
  <si>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</si>
  <si>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</si>
  <si>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</si>
  <si>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</si>
  <si>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</si>
  <si>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</si>
  <si>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</si>
  <si>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</si>
  <si>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</si>
  <si>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</si>
  <si>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</si>
  <si>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</si>
  <si>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</si>
  <si>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</si>
  <si>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</si>
  <si>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</si>
  <si>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</si>
  <si>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</si>
  <si>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</si>
  <si>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</si>
  <si>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</si>
  <si>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</si>
  <si>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</si>
  <si>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</si>
  <si>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</si>
  <si>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</si>
  <si>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</si>
  <si>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</si>
  <si>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</si>
  <si>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</si>
  <si>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</si>
  <si>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</si>
  <si>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</si>
  <si>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</si>
  <si>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</si>
  <si>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</si>
  <si>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</si>
  <si>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</si>
  <si>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</si>
  <si>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</si>
  <si>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</si>
  <si>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</si>
  <si>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</si>
  <si>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</si>
  <si>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</si>
  <si>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</si>
  <si>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</si>
  <si>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</si>
  <si>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</si>
  <si>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</si>
  <si>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</si>
  <si>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</si>
  <si>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</si>
  <si>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</si>
  <si>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</si>
  <si>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</si>
  <si>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</si>
  <si>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</si>
  <si>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</si>
  <si>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</si>
  <si>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</si>
  <si>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</si>
  <si>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</si>
  <si>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</si>
  <si>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</si>
  <si>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</si>
  <si>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</si>
  <si>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</si>
  <si>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</si>
  <si>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</si>
  <si>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</si>
  <si>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</si>
  <si>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</si>
  <si>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</si>
  <si>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</si>
  <si>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</si>
  <si>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</si>
  <si>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</si>
  <si>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</si>
  <si>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</si>
  <si>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</si>
  <si>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</si>
  <si>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</si>
  <si>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</si>
  <si>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</si>
  <si>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</si>
  <si>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</si>
  <si>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</si>
  <si>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</si>
  <si>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</si>
  <si>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</si>
  <si>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</si>
  <si>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</si>
  <si>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</si>
  <si>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</si>
  <si>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</si>
  <si>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</si>
  <si>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</si>
  <si>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</si>
  <si>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</si>
  <si>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</si>
  <si>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</si>
  <si>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</si>
  <si>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</si>
  <si>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</si>
  <si>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</si>
  <si>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</si>
  <si>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</si>
  <si>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</si>
  <si>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</si>
  <si>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</si>
  <si>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</si>
  <si>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</si>
  <si>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</si>
  <si>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</si>
  <si>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</si>
  <si>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</si>
  <si>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</si>
  <si>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</si>
  <si>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</si>
  <si>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</si>
  <si>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</si>
  <si>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</si>
  <si>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</si>
  <si>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</si>
  <si>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</si>
  <si>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</si>
  <si>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</si>
  <si>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</si>
  <si>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</si>
  <si>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</si>
  <si>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</si>
  <si>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</si>
  <si>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</si>
  <si>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</si>
  <si>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</si>
  <si>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</si>
  <si>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</si>
  <si>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</si>
  <si>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</si>
  <si>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</si>
  <si>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</si>
  <si>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</si>
  <si>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</si>
  <si>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</si>
  <si>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</si>
  <si>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</si>
  <si>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</si>
  <si>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</si>
  <si>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</si>
  <si>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</si>
  <si>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</si>
  <si>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</si>
  <si>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</si>
  <si>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</si>
  <si>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</si>
  <si>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</si>
  <si>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</si>
  <si>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</si>
  <si>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</si>
  <si>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</si>
  <si>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</si>
  <si>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</si>
  <si>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</si>
  <si>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</si>
  <si>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</si>
  <si>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</si>
  <si>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</si>
  <si>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</si>
  <si>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</si>
  <si>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</si>
  <si>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</si>
  <si>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</si>
  <si>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</si>
  <si>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</si>
  <si>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</si>
  <si>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</si>
  <si>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</si>
  <si>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</si>
  <si>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</si>
  <si>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</si>
  <si>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</si>
  <si>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</si>
  <si>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</si>
  <si>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</si>
  <si>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</si>
  <si>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</si>
  <si>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</si>
  <si>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</si>
  <si>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</si>
  <si>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</si>
  <si>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</si>
  <si>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</si>
  <si>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</si>
  <si>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</si>
  <si>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</si>
  <si>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</si>
  <si>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</si>
  <si>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</si>
  <si>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</si>
  <si>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</si>
  <si>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</si>
  <si>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</si>
  <si>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</si>
  <si>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</si>
  <si>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</si>
  <si>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</si>
  <si>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</si>
  <si>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</si>
  <si>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</si>
  <si>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</si>
  <si>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</si>
  <si>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</si>
  <si>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</si>
  <si>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</si>
  <si>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</si>
  <si>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</si>
  <si>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</si>
  <si>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</si>
  <si>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</si>
  <si>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</si>
  <si>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</si>
  <si>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</si>
  <si>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</si>
  <si>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</si>
  <si>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</si>
  <si>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</si>
  <si>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</si>
  <si>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</si>
  <si>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</si>
  <si>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</si>
  <si>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</si>
  <si>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</si>
  <si>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</si>
  <si>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</si>
  <si>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</si>
  <si>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</si>
  <si>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</si>
  <si>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</si>
  <si>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</si>
  <si>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</si>
  <si>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</si>
  <si>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</si>
  <si>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</si>
  <si>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</si>
  <si>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</si>
  <si>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</si>
  <si>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</si>
  <si>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</si>
  <si>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</si>
  <si>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</si>
  <si>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</si>
  <si>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</si>
  <si>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</si>
  <si>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</si>
  <si>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</si>
  <si>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</si>
  <si>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</si>
  <si>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</si>
  <si>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</si>
  <si>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</si>
  <si>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</si>
  <si>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</si>
  <si>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</si>
  <si>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</si>
  <si>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</si>
  <si>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</si>
  <si>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</si>
  <si>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</si>
  <si>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</si>
  <si>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</si>
  <si>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</si>
  <si>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</si>
  <si>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</si>
  <si>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</si>
  <si>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</si>
  <si>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</si>
  <si>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</si>
  <si>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</si>
  <si>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</si>
  <si>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</si>
  <si>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</si>
  <si>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</si>
  <si>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</si>
  <si>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</si>
  <si>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</si>
  <si>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</si>
  <si>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</si>
  <si>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</si>
  <si>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</si>
  <si>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</si>
  <si>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</si>
  <si>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</si>
  <si>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</si>
  <si>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</si>
  <si>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</si>
  <si>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</si>
  <si>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</si>
  <si>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</si>
  <si>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</si>
  <si>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</si>
  <si>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</si>
  <si>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</si>
  <si>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</si>
  <si>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</si>
  <si>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</si>
  <si>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</si>
  <si>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</si>
  <si>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</si>
  <si>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</si>
  <si>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</si>
  <si>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</si>
  <si>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</si>
  <si>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</si>
  <si>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</si>
  <si>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</si>
  <si>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</si>
  <si>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</si>
  <si>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</si>
  <si>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</si>
  <si>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</si>
  <si>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</si>
  <si>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</si>
  <si>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</si>
  <si>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</si>
  <si>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</si>
  <si>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</si>
  <si>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</si>
  <si>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</si>
  <si>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</si>
  <si>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</si>
  <si>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</si>
  <si>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</si>
  <si>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</si>
  <si>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</si>
  <si>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</si>
  <si>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</si>
  <si>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</si>
  <si>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</si>
  <si>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</si>
  <si>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</si>
  <si>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</si>
  <si>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</si>
  <si>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</si>
  <si>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</si>
  <si>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</si>
  <si>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</si>
  <si>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</si>
  <si>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</si>
  <si>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</si>
  <si>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</si>
  <si>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</si>
  <si>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</si>
  <si>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</si>
  <si>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</si>
  <si>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</si>
  <si>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</si>
  <si>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</si>
  <si>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</si>
  <si>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</si>
  <si>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</si>
  <si>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</si>
  <si>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</si>
  <si>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</si>
  <si>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</si>
  <si>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</si>
  <si>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</si>
  <si>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</si>
  <si>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</si>
  <si>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</si>
  <si>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</si>
  <si>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</si>
  <si>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</si>
  <si>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</si>
  <si>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</si>
  <si>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</si>
  <si>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</si>
  <si>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</si>
  <si>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</si>
  <si>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</si>
  <si>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</si>
  <si>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</si>
  <si>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</si>
  <si>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</si>
  <si>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</si>
  <si>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</si>
  <si>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</si>
  <si>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</si>
  <si>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</si>
  <si>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</si>
  <si>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</si>
  <si>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</si>
  <si>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</si>
  <si>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</si>
  <si>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</si>
  <si>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</si>
  <si>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</si>
  <si>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</si>
  <si>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</si>
  <si>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</si>
  <si>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</si>
  <si>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</si>
  <si>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</si>
  <si>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</si>
  <si>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</si>
  <si>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</si>
  <si>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</si>
  <si>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</si>
  <si>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</si>
  <si>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</si>
  <si>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</si>
  <si>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</si>
  <si>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</si>
  <si>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</si>
  <si>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</si>
  <si>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</si>
  <si>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</si>
  <si>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</si>
  <si>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</si>
  <si>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</si>
  <si>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</si>
  <si>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</si>
  <si>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</si>
  <si>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</si>
  <si>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</si>
  <si>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</si>
  <si>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</si>
  <si>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</si>
  <si>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</si>
  <si>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</si>
  <si>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</si>
  <si>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</si>
  <si>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</si>
  <si>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</si>
  <si>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</si>
  <si>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</si>
  <si>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</si>
  <si>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</si>
  <si>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</si>
  <si>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</si>
  <si>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</si>
  <si>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</si>
  <si>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</si>
  <si>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</si>
  <si>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</si>
  <si>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</si>
  <si>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</si>
  <si>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</si>
  <si>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</si>
  <si>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</si>
  <si>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</si>
  <si>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</si>
  <si>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</si>
  <si>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</si>
  <si>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</si>
  <si>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</si>
  <si>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</si>
  <si>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</si>
  <si>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</si>
  <si>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</si>
  <si>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</si>
  <si>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</si>
  <si>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</si>
  <si>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</si>
  <si>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</si>
  <si>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</si>
  <si>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</si>
  <si>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</si>
  <si>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</si>
  <si>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</si>
  <si>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</si>
  <si>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</si>
  <si>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</si>
  <si>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</si>
  <si>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</si>
  <si>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</si>
  <si>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</si>
  <si>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</si>
  <si>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</si>
  <si>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</si>
  <si>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</si>
  <si>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</si>
  <si>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</si>
  <si>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</si>
  <si>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</si>
  <si>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</si>
  <si>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</si>
  <si>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</si>
  <si>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</si>
  <si>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</si>
  <si>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</si>
  <si>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</si>
  <si>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</si>
  <si>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</si>
  <si>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</si>
  <si>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</si>
  <si>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</si>
  <si>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</si>
  <si>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</si>
  <si>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</si>
  <si>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</si>
  <si>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</si>
  <si>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</si>
  <si>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</si>
  <si>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</si>
  <si>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</si>
  <si>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</si>
  <si>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</si>
  <si>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</si>
  <si>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</si>
  <si>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</si>
  <si>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</si>
  <si>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</si>
  <si>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</si>
  <si>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</si>
  <si>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</si>
  <si>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</si>
  <si>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</si>
  <si>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</si>
  <si>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</si>
  <si>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</si>
  <si>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</si>
  <si>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</si>
  <si>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</si>
  <si>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</si>
  <si>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</si>
  <si>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</si>
  <si>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</si>
  <si>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</si>
  <si>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</si>
  <si>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</si>
  <si>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</si>
  <si>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</si>
  <si>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</si>
  <si>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</si>
  <si>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</si>
  <si>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</si>
  <si>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</si>
  <si>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</si>
  <si>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</si>
  <si>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</si>
  <si>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</si>
  <si>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</si>
  <si>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</si>
  <si>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</si>
  <si>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</si>
  <si>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</si>
  <si>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</si>
  <si>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</si>
  <si>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</si>
  <si>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</si>
  <si>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</si>
  <si>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</si>
  <si>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</si>
  <si>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</si>
  <si>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</si>
  <si>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</si>
  <si>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</si>
  <si>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</si>
  <si>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</si>
  <si>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</si>
  <si>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</si>
  <si>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</si>
  <si>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</si>
  <si>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</si>
  <si>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</si>
  <si>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</si>
  <si>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</si>
  <si>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</si>
  <si>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</si>
  <si>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</si>
  <si>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</si>
  <si>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</si>
  <si>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</si>
  <si>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</si>
  <si>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</si>
  <si>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</si>
  <si>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</si>
  <si>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</si>
  <si>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</si>
  <si>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</si>
  <si>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</si>
  <si>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</si>
  <si>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</si>
  <si>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</si>
  <si>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</si>
  <si>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</si>
  <si>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</si>
  <si>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</si>
  <si>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</si>
  <si>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</si>
  <si>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</si>
  <si>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</si>
  <si>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</si>
  <si>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</si>
  <si>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</si>
  <si>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</si>
  <si>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</si>
  <si>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</si>
  <si>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</si>
  <si>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</si>
  <si>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</si>
  <si>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</si>
  <si>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</si>
  <si>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</si>
  <si>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</si>
  <si>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</si>
  <si>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</si>
  <si>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</si>
  <si>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</si>
  <si>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</si>
  <si>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</si>
  <si>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</si>
  <si>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</si>
  <si>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</si>
  <si>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</si>
  <si>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</si>
  <si>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</si>
  <si>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</si>
  <si>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</si>
  <si>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</si>
  <si>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</si>
  <si>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</si>
  <si>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</si>
  <si>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</si>
  <si>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</si>
  <si>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</si>
  <si>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</si>
  <si>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</si>
  <si>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</si>
  <si>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</si>
  <si>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</si>
  <si>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</si>
  <si>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</si>
  <si>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</si>
  <si>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</si>
  <si>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</si>
  <si>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</si>
  <si>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</si>
  <si>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</si>
  <si>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</si>
  <si>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</si>
  <si>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</si>
  <si>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</si>
  <si>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</si>
  <si>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</si>
  <si>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</si>
  <si>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</si>
  <si>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</si>
  <si>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</si>
  <si>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</si>
  <si>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</si>
  <si>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</si>
  <si>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</si>
  <si>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</si>
  <si>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</si>
  <si>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</si>
  <si>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</si>
  <si>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</si>
  <si>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</si>
  <si>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</si>
  <si>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</si>
  <si>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</si>
  <si>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</si>
  <si>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</si>
  <si>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</si>
  <si>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</si>
  <si>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</si>
  <si>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</si>
  <si>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</si>
  <si>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</si>
  <si>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</si>
  <si>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</si>
  <si>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</si>
  <si>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</si>
  <si>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</si>
  <si>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</si>
  <si>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</si>
  <si>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</si>
  <si>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</si>
  <si>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</si>
  <si>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</si>
  <si>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</si>
  <si>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</si>
  <si>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</si>
  <si>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</si>
  <si>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</si>
  <si>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</si>
  <si>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</si>
  <si>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</si>
  <si>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</si>
  <si>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</si>
  <si>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</si>
  <si>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</si>
  <si>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</si>
  <si>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</si>
  <si>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</si>
  <si>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</si>
  <si>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</si>
  <si>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</si>
  <si>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</si>
  <si>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</si>
  <si>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</si>
  <si>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</si>
  <si>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</si>
  <si>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</si>
  <si>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</si>
  <si>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</si>
  <si>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</si>
  <si>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</si>
  <si>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</si>
  <si>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</si>
  <si>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</si>
  <si>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</si>
  <si>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</si>
  <si>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</si>
  <si>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</si>
  <si>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</si>
  <si>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</si>
  <si>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</si>
  <si>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</si>
  <si>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</si>
  <si>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</si>
  <si>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</si>
  <si>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</si>
  <si>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</si>
  <si>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</si>
  <si>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</si>
  <si>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</si>
  <si>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</si>
  <si>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</si>
  <si>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</si>
  <si>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</si>
  <si>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</si>
  <si>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</si>
  <si>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</si>
  <si>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</si>
  <si>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</si>
  <si>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</si>
  <si>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</si>
  <si>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</si>
  <si>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</si>
  <si>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</si>
  <si>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</si>
  <si>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</si>
  <si>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</si>
  <si>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</si>
  <si>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</si>
  <si>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</si>
  <si>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</si>
  <si>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</si>
  <si>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</si>
  <si>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</si>
  <si>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</si>
  <si>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</si>
  <si>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</si>
  <si>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</si>
  <si>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</si>
  <si>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</si>
  <si>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</si>
  <si>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</si>
  <si>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</si>
  <si>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</si>
  <si>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</si>
  <si>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</si>
  <si>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</si>
  <si>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</si>
  <si>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</si>
  <si>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</si>
  <si>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</si>
  <si>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</si>
  <si>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</si>
  <si>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</si>
  <si>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</si>
  <si>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</si>
  <si>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</si>
  <si>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</si>
  <si>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</si>
  <si>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</si>
  <si>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</si>
  <si>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</si>
  <si>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</si>
  <si>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</si>
  <si>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</si>
  <si>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</si>
  <si>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</si>
  <si>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</si>
  <si>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</si>
  <si>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</si>
  <si>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</si>
  <si>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</si>
  <si>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</si>
  <si>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</si>
  <si>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</si>
  <si>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</si>
  <si>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</si>
  <si>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</si>
  <si>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</si>
  <si>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</si>
  <si>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</si>
  <si>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</si>
  <si>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</si>
  <si>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</si>
  <si>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</si>
  <si>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</si>
  <si>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</si>
  <si>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</si>
  <si>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</si>
  <si>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</si>
  <si>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</si>
  <si>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</si>
  <si>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</si>
  <si>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</si>
  <si>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</si>
  <si>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</si>
  <si>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</si>
  <si>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</si>
  <si>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</si>
  <si>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</si>
  <si>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</si>
  <si>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</si>
  <si>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</si>
  <si>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</si>
  <si>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</si>
  <si>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</si>
  <si>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</si>
  <si>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</si>
  <si>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</si>
  <si>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</si>
  <si>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</si>
  <si>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</si>
  <si>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</si>
  <si>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</si>
  <si>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</si>
  <si>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</si>
  <si>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</si>
  <si>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</si>
  <si>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</si>
  <si>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</si>
  <si>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</si>
  <si>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</si>
  <si>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</si>
  <si>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</si>
  <si>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</si>
  <si>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</si>
  <si>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</si>
  <si>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</si>
  <si>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</si>
  <si>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</si>
  <si>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</si>
  <si>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</si>
  <si>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</si>
  <si>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</si>
  <si>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</si>
  <si>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</si>
  <si>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</si>
  <si>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</si>
  <si>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</si>
  <si>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</si>
  <si>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</si>
  <si>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</si>
  <si>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</si>
  <si>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</si>
  <si>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</si>
  <si>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</si>
  <si>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</si>
  <si>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</si>
  <si>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</si>
  <si>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</si>
  <si>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</si>
  <si>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</si>
  <si>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</si>
  <si>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</si>
  <si>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</si>
  <si>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</si>
  <si>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</si>
  <si>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</si>
  <si>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</si>
  <si>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</si>
  <si>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</si>
  <si>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</si>
  <si>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</si>
  <si>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</si>
  <si>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</si>
  <si>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</si>
  <si>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</si>
  <si>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</si>
  <si>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</si>
  <si>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</si>
  <si>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</si>
  <si>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</si>
  <si>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</si>
  <si>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</si>
  <si>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</si>
  <si>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</si>
  <si>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</si>
  <si>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</si>
  <si>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</si>
  <si>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</si>
  <si>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</si>
  <si>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</si>
  <si>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</si>
  <si>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</si>
  <si>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</si>
  <si>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</si>
  <si>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</si>
  <si>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</si>
  <si>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</si>
  <si>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</si>
  <si>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</si>
  <si>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</si>
  <si>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</si>
  <si>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</si>
  <si>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</si>
  <si>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</si>
  <si>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</si>
  <si>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</si>
  <si>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</si>
  <si>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</si>
  <si>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</si>
  <si>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</si>
  <si>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</si>
  <si>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</si>
  <si>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</si>
  <si>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</si>
  <si>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</si>
  <si>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</si>
  <si>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</si>
  <si>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</si>
  <si>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</si>
  <si>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</si>
  <si>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</si>
  <si>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</si>
  <si>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</si>
  <si>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</si>
  <si>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</si>
  <si>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</si>
  <si>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</si>
  <si>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</si>
  <si>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</si>
  <si>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</si>
  <si>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</si>
  <si>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</si>
  <si>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</si>
  <si>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</si>
  <si>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</si>
  <si>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</si>
  <si>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</si>
  <si>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</si>
  <si>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</si>
  <si>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</si>
  <si>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</si>
  <si>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</si>
  <si>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</si>
  <si>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</si>
  <si>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</si>
  <si>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</si>
  <si>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</si>
  <si>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</si>
  <si>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</si>
  <si>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</si>
  <si>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</si>
  <si>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</si>
  <si>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</si>
  <si>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</si>
  <si>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</si>
  <si>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</si>
  <si>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</si>
  <si>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</si>
  <si>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</si>
  <si>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</si>
  <si>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</si>
  <si>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</si>
  <si>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</si>
  <si>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</si>
  <si>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</si>
  <si>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</si>
  <si>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</si>
  <si>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</si>
  <si>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</si>
  <si>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</si>
  <si>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</si>
  <si>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</si>
  <si>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</si>
  <si>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</si>
  <si>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</si>
  <si>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</si>
  <si>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</si>
  <si>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</si>
  <si>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</si>
  <si>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</si>
  <si>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</si>
  <si>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</si>
  <si>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</si>
  <si>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</si>
  <si>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</si>
  <si>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</si>
  <si>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</si>
  <si>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</si>
  <si>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</si>
  <si>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</si>
  <si>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</si>
  <si>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</si>
  <si>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</si>
  <si>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</si>
  <si>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</si>
  <si>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</si>
  <si>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</si>
  <si>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</si>
  <si>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</si>
  <si>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</si>
  <si>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</si>
  <si>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</si>
  <si>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</si>
  <si>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</si>
  <si>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</si>
  <si>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</si>
  <si>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</si>
  <si>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</si>
  <si>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</si>
  <si>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</si>
  <si>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</si>
  <si>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</si>
  <si>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</si>
  <si>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</si>
  <si>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</si>
  <si>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</si>
  <si>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</si>
  <si>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</si>
  <si>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</si>
  <si>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</si>
  <si>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</si>
  <si>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</si>
  <si>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</si>
  <si>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</si>
  <si>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</si>
  <si>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</si>
  <si>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</si>
  <si>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</si>
  <si>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</si>
  <si>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</si>
  <si>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</si>
  <si>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</si>
  <si>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</si>
  <si>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</si>
  <si>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</si>
  <si>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</si>
  <si>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</si>
  <si>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</si>
  <si>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</si>
  <si>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</si>
  <si>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</si>
  <si>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</si>
  <si>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</si>
  <si>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</si>
  <si>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</si>
  <si>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</si>
  <si>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</si>
  <si>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</si>
  <si>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</si>
  <si>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</si>
  <si>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</si>
  <si>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</si>
  <si>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</si>
  <si>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</si>
  <si>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</si>
  <si>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</si>
  <si>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</si>
  <si>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</si>
  <si>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</si>
  <si>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</si>
  <si>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</si>
  <si>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</si>
  <si>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</si>
  <si>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</si>
  <si>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</si>
  <si>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</si>
  <si>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</si>
  <si>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</si>
  <si>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</si>
  <si>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</si>
  <si>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</si>
  <si>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</si>
  <si>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</si>
  <si>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</si>
  <si>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</si>
  <si>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</si>
  <si>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</si>
  <si>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</si>
  <si>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</si>
  <si>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</si>
  <si>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</si>
  <si>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</si>
  <si>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</si>
  <si>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</si>
  <si>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</si>
  <si>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</si>
  <si>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</si>
  <si>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</si>
  <si>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</si>
  <si>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</si>
  <si>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</si>
  <si>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</si>
  <si>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</si>
  <si>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</si>
  <si>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</si>
  <si>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</si>
  <si>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</si>
  <si>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</si>
  <si>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</si>
  <si>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</si>
  <si>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</si>
  <si>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</si>
  <si>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</si>
  <si>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</si>
  <si>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</si>
  <si>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</si>
  <si>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</si>
  <si>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</si>
  <si>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</si>
  <si>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</si>
  <si>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</si>
  <si>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</si>
  <si>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</si>
  <si>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</si>
  <si>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</si>
  <si>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</si>
  <si>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</si>
  <si>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</si>
  <si>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</si>
  <si>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</si>
  <si>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</si>
  <si>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</si>
  <si>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</si>
  <si>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</si>
  <si>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</si>
  <si>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</si>
  <si>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</si>
  <si>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</si>
  <si>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</si>
  <si>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</si>
  <si>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</si>
  <si>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</si>
  <si>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</si>
  <si>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</si>
  <si>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</si>
  <si>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</si>
  <si>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</si>
  <si>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</si>
  <si>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</si>
  <si>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</si>
  <si>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</si>
  <si>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</si>
  <si>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</si>
  <si>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</si>
  <si>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</si>
  <si>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</si>
  <si>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</si>
  <si>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</si>
  <si>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</si>
  <si>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</si>
  <si>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</si>
  <si>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</si>
  <si>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</si>
  <si>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</si>
  <si>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</si>
  <si>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</si>
  <si>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</si>
  <si>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</si>
  <si>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</si>
  <si>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</si>
  <si>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</si>
  <si>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</si>
  <si>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</si>
  <si>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</si>
  <si>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</si>
  <si>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</si>
  <si>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</si>
  <si>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</si>
  <si>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</si>
  <si>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</si>
  <si>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</si>
  <si>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</si>
  <si>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</si>
  <si>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</si>
  <si>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</si>
  <si>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</si>
  <si>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</si>
  <si>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</si>
  <si>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</si>
  <si>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</si>
  <si>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</si>
  <si>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</si>
  <si>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</si>
  <si>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</si>
  <si>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</si>
  <si>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</si>
  <si>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</si>
  <si>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</si>
  <si>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</si>
  <si>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</si>
  <si>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</si>
  <si>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</si>
  <si>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</si>
  <si>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</si>
  <si>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</si>
  <si>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</si>
  <si>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</si>
  <si>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</si>
  <si>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</si>
  <si>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</si>
  <si>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</si>
  <si>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</si>
  <si>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</si>
  <si>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</si>
  <si>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</si>
  <si>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</si>
  <si>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</si>
  <si>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</si>
  <si>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</si>
  <si>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</si>
  <si>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</si>
  <si>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</si>
  <si>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</si>
  <si>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</si>
  <si>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</si>
  <si>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</si>
  <si>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</si>
  <si>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</si>
  <si>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</si>
  <si>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</si>
  <si>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</si>
  <si>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</si>
  <si>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</si>
  <si>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</si>
  <si>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</si>
  <si>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</si>
  <si>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</si>
  <si>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</si>
  <si>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</si>
  <si>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</si>
  <si>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</si>
  <si>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</si>
  <si>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</si>
  <si>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</si>
  <si>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</si>
  <si>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</si>
  <si>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</si>
  <si>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</si>
  <si>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</si>
  <si>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</si>
  <si>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</si>
  <si>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</si>
  <si>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</si>
  <si>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</si>
  <si>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</si>
  <si>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</si>
  <si>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</si>
  <si>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</si>
  <si>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</si>
  <si>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</si>
  <si>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</si>
  <si>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</si>
  <si>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</si>
  <si>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</si>
  <si>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</si>
  <si>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</si>
  <si>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</si>
  <si>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</si>
  <si>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</si>
  <si>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</si>
  <si>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</si>
  <si>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</si>
  <si>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</si>
  <si>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</si>
  <si>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</si>
  <si>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</si>
  <si>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</si>
  <si>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</si>
  <si>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</si>
  <si>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</si>
  <si>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</si>
  <si>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</si>
  <si>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</si>
  <si>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</si>
  <si>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</si>
  <si>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</si>
  <si>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</si>
  <si>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</si>
  <si>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</si>
  <si>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</si>
  <si>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</si>
  <si>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</si>
  <si>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</si>
  <si>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</si>
  <si>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</si>
  <si>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</si>
  <si>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</si>
  <si>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</si>
  <si>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</si>
  <si>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</si>
  <si>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</si>
  <si>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</si>
  <si>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</si>
  <si>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</si>
  <si>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</si>
  <si>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</si>
  <si>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</si>
  <si>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</si>
  <si>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</si>
  <si>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</si>
  <si>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</si>
  <si>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</si>
  <si>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</si>
  <si>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</si>
  <si>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</si>
  <si>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</si>
  <si>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</si>
  <si>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</si>
  <si>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</si>
  <si>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</si>
  <si>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</si>
  <si>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</si>
  <si>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</si>
  <si>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</si>
  <si>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</si>
  <si>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</si>
  <si>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</si>
  <si>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</si>
  <si>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</si>
  <si>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</si>
  <si>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</si>
  <si>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</si>
  <si>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</si>
  <si>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</si>
  <si>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</si>
  <si>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</si>
  <si>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</si>
  <si>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</si>
  <si>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</si>
  <si>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</si>
  <si>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</si>
  <si>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</si>
  <si>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</si>
  <si>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</si>
  <si>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</si>
  <si>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</si>
  <si>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</si>
  <si>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</si>
  <si>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</si>
  <si>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</si>
  <si>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</si>
  <si>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</si>
  <si>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</si>
  <si>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</si>
  <si>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</si>
  <si>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</si>
  <si>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</si>
  <si>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</si>
  <si>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</si>
  <si>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</si>
  <si>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</si>
  <si>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</si>
  <si>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</si>
  <si>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</si>
  <si>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</si>
  <si>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</si>
  <si>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</si>
  <si>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</si>
  <si>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</si>
  <si>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</si>
  <si>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</si>
  <si>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</si>
  <si>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</si>
  <si>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</si>
  <si>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</si>
  <si>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</si>
  <si>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</si>
  <si>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</si>
  <si>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</si>
  <si>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</si>
  <si>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</si>
  <si>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</si>
  <si>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</si>
  <si>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</si>
  <si>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</si>
  <si>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</si>
  <si>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</si>
  <si>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</si>
  <si>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</si>
  <si>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</si>
  <si>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</si>
  <si>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</si>
  <si>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</si>
  <si>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</si>
  <si>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</si>
  <si>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</si>
  <si>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</si>
  <si>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</si>
  <si>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</si>
  <si>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</si>
  <si>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</si>
  <si>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</si>
  <si>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</si>
  <si>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</si>
  <si>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</si>
  <si>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</si>
  <si>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</si>
  <si>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</si>
  <si>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</si>
  <si>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</si>
  <si>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</si>
  <si>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</si>
  <si>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</si>
  <si>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</si>
  <si>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</si>
  <si>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</si>
  <si>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</si>
  <si>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</si>
  <si>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</si>
  <si>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</si>
  <si>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</si>
  <si>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</si>
  <si>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</si>
  <si>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</si>
  <si>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</si>
  <si>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</si>
  <si>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</si>
  <si>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</si>
  <si>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</si>
  <si>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</si>
  <si>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</si>
  <si>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</si>
  <si>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</si>
  <si>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</si>
  <si>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</si>
  <si>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</si>
  <si>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</si>
  <si>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</si>
  <si>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</si>
  <si>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</si>
  <si>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</si>
  <si>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</si>
  <si>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</si>
  <si>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</si>
  <si>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</si>
  <si>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</si>
  <si>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</si>
  <si>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</si>
  <si>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</si>
  <si>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</si>
  <si>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</si>
  <si>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</si>
  <si>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</si>
  <si>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</si>
  <si>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</si>
  <si>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</si>
  <si>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</si>
  <si>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</si>
  <si>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</si>
  <si>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</si>
  <si>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</si>
  <si>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</si>
  <si>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</si>
  <si>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</si>
  <si>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</si>
  <si>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</si>
  <si>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</si>
  <si>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</si>
  <si>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</si>
  <si>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</si>
  <si>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</si>
  <si>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</si>
  <si>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</si>
  <si>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</si>
  <si>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</si>
  <si>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</si>
  <si>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</si>
  <si>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</si>
  <si>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</si>
  <si>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</si>
  <si>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</si>
  <si>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</si>
  <si>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</si>
  <si>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</si>
  <si>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</si>
  <si>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</si>
  <si>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</si>
  <si>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</si>
  <si>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</si>
  <si>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</si>
  <si>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</si>
  <si>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</si>
  <si>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</si>
  <si>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</si>
  <si>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</si>
  <si>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</si>
  <si>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</si>
  <si>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</si>
  <si>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</si>
  <si>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</si>
  <si>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</si>
  <si>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</si>
  <si>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</si>
  <si>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</si>
  <si>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</si>
  <si>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</si>
  <si>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</si>
  <si>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</si>
  <si>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</si>
  <si>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</si>
  <si>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</si>
  <si>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</si>
  <si>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</si>
  <si>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</si>
  <si>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</si>
  <si>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</si>
  <si>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</si>
  <si>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</si>
  <si>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</si>
  <si>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</si>
  <si>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</si>
  <si>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</si>
  <si>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</si>
  <si>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</si>
  <si>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</si>
  <si>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</si>
  <si>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</si>
  <si>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</si>
  <si>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</si>
  <si>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</si>
  <si>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</si>
  <si>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</si>
  <si>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</si>
  <si>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</si>
  <si>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</si>
  <si>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</si>
  <si>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</si>
  <si>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</si>
  <si>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</si>
  <si>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</si>
  <si>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</si>
  <si>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</si>
  <si>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</si>
  <si>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</si>
  <si>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</si>
  <si>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</si>
  <si>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</si>
  <si>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</si>
  <si>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</si>
  <si>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</si>
  <si>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</si>
  <si>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</si>
  <si>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</si>
  <si>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</si>
  <si>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</si>
  <si>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</si>
  <si>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</si>
  <si>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</si>
  <si>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</si>
  <si>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</si>
  <si>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</si>
  <si>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</si>
  <si>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</si>
  <si>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</si>
  <si>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</si>
  <si>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</si>
  <si>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</si>
  <si>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</si>
  <si>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</si>
  <si>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</si>
  <si>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</si>
  <si>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</si>
  <si>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</si>
  <si>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</si>
  <si>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</si>
  <si>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</si>
  <si>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</si>
  <si>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</si>
  <si>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</si>
  <si>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</si>
  <si>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</si>
  <si>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</si>
  <si>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</si>
  <si>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</si>
  <si>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</si>
  <si>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</si>
  <si>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</si>
  <si>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</si>
  <si>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</si>
  <si>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</si>
  <si>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</si>
  <si>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</si>
  <si>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</si>
  <si>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</si>
  <si>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</si>
  <si>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</si>
  <si>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</si>
  <si>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</si>
  <si>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</si>
  <si>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</si>
  <si>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</si>
  <si>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</si>
  <si>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</si>
  <si>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</si>
  <si>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</si>
  <si>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</si>
  <si>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</si>
  <si>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</si>
  <si>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</si>
  <si>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</si>
  <si>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</si>
  <si>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</si>
  <si>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</si>
  <si>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</si>
  <si>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</si>
  <si>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</si>
  <si>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</si>
  <si>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</si>
  <si>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</si>
  <si>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</si>
  <si>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</si>
  <si>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</si>
  <si>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</si>
  <si>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</si>
  <si>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</si>
  <si>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</si>
  <si>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</si>
  <si>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</si>
  <si>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</si>
  <si>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</si>
  <si>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</si>
  <si>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</si>
  <si>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</si>
  <si>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</si>
  <si>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</si>
  <si>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</si>
  <si>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</si>
  <si>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</si>
  <si>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</si>
  <si>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</si>
  <si>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</si>
  <si>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</si>
  <si>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</si>
  <si>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</si>
  <si>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</si>
  <si>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</si>
  <si>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</si>
  <si>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</si>
  <si>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</si>
  <si>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</si>
  <si>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</si>
  <si>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</si>
  <si>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</si>
  <si>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</si>
  <si>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</si>
  <si>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</si>
  <si>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</si>
  <si>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</si>
  <si>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</si>
  <si>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</si>
  <si>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</si>
  <si>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</si>
  <si>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</si>
  <si>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</si>
  <si>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</si>
  <si>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</si>
  <si>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</si>
  <si>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</si>
  <si>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</si>
  <si>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</si>
  <si>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</si>
  <si>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</si>
  <si>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</si>
  <si>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</si>
  <si>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</si>
  <si>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</si>
  <si>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</si>
  <si>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</si>
  <si>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</si>
  <si>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</si>
  <si>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</si>
  <si>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</si>
  <si>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</si>
  <si>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</si>
  <si>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</si>
  <si>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</si>
  <si>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</si>
  <si>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</si>
  <si>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</si>
  <si>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</si>
  <si>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</si>
  <si>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</si>
  <si>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</si>
  <si>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</si>
  <si>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</si>
  <si>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</si>
  <si>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</si>
  <si>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</si>
  <si>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</si>
  <si>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</si>
  <si>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</si>
  <si>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</si>
  <si>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</si>
  <si>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</si>
  <si>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</si>
  <si>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</si>
  <si>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</si>
  <si>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</si>
  <si>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</si>
  <si>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</si>
  <si>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</si>
  <si>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</si>
  <si>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</si>
  <si>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</si>
  <si>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</si>
  <si>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</si>
  <si>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</si>
  <si>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</si>
  <si>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</si>
  <si>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</si>
  <si>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</si>
  <si>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</si>
  <si>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</si>
  <si>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</si>
  <si>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</si>
  <si>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</si>
  <si>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</si>
  <si>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</si>
  <si>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</si>
  <si>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</si>
  <si>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</si>
  <si>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</si>
  <si>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</si>
  <si>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</si>
  <si>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</si>
  <si>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</si>
  <si>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</si>
  <si>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</si>
  <si>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</si>
  <si>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</si>
  <si>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</si>
  <si>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</si>
  <si>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</si>
  <si>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</si>
  <si>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</si>
  <si>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</si>
  <si>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</si>
  <si>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</si>
  <si>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</si>
  <si>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</si>
  <si>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</si>
  <si>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</si>
  <si>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</si>
  <si>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</si>
  <si>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</si>
  <si>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</si>
  <si>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</si>
  <si>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</si>
  <si>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</si>
  <si>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</si>
  <si>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</si>
  <si>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</si>
  <si>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</si>
  <si>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</si>
  <si>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</si>
  <si>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</si>
  <si>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</si>
  <si>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</si>
  <si>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</si>
  <si>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</si>
  <si>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</si>
  <si>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</si>
  <si>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</si>
  <si>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</si>
  <si>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</si>
  <si>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</si>
  <si>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</si>
  <si>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</si>
  <si>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</si>
  <si>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</si>
  <si>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</si>
  <si>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</si>
  <si>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</si>
  <si>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</si>
  <si>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</si>
  <si>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</si>
  <si>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</si>
  <si>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</si>
  <si>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</si>
  <si>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</si>
  <si>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</si>
  <si>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</si>
  <si>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</si>
  <si>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</si>
  <si>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</si>
  <si>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</si>
  <si>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</si>
  <si>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</si>
  <si>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</si>
  <si>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</si>
  <si>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</si>
  <si>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</si>
  <si>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</si>
  <si>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</si>
  <si>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</si>
  <si>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</si>
  <si>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</si>
  <si>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</si>
  <si>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</si>
  <si>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</si>
  <si>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</si>
  <si>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</si>
  <si>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</si>
  <si>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</si>
  <si>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</si>
  <si>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</si>
  <si>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</si>
  <si>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</si>
  <si>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</si>
  <si>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</si>
  <si>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</si>
  <si>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</si>
  <si>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</si>
  <si>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</si>
  <si>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</si>
  <si>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</si>
  <si>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</si>
  <si>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</si>
  <si>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</si>
  <si>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</si>
  <si>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</si>
  <si>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</si>
  <si>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</si>
  <si>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</si>
  <si>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</si>
  <si>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</si>
  <si>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</si>
  <si>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</si>
  <si>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</si>
  <si>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</si>
  <si>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</si>
  <si>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</si>
  <si>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</si>
  <si>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</si>
  <si>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</si>
  <si>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</si>
  <si>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</si>
  <si>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</si>
  <si>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</si>
  <si>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</si>
  <si>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</si>
  <si>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</si>
  <si>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</si>
  <si>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</si>
  <si>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</si>
  <si>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</si>
  <si>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</si>
  <si>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</si>
  <si>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</si>
  <si>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</si>
  <si>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</si>
  <si>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</si>
  <si>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</si>
  <si>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</si>
  <si>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</si>
  <si>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</si>
  <si>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</si>
  <si>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</si>
  <si>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</si>
  <si>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</si>
  <si>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</si>
  <si>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</si>
  <si>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</si>
  <si>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</si>
  <si>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</si>
  <si>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</si>
  <si>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</si>
  <si>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</si>
  <si>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</si>
  <si>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</si>
  <si>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</si>
  <si>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</si>
  <si>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</si>
  <si>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</si>
  <si>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</si>
  <si>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</si>
  <si>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</si>
  <si>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</si>
  <si>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</si>
  <si>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</si>
  <si>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</si>
  <si>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</si>
  <si>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</si>
  <si>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</si>
  <si>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</si>
  <si>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</si>
  <si>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</si>
  <si>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</si>
  <si>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</si>
  <si>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</si>
  <si>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</si>
  <si>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</si>
  <si>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</si>
  <si>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</si>
  <si>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</si>
  <si>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</si>
  <si>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</si>
  <si>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</si>
  <si>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</si>
  <si>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</si>
  <si>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</si>
  <si>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</si>
  <si>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</si>
  <si>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</si>
  <si>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</si>
  <si>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</si>
  <si>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</si>
  <si>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</si>
  <si>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</si>
  <si>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</si>
  <si>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</si>
  <si>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</si>
  <si>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</si>
  <si>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</si>
  <si>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</si>
  <si>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</si>
  <si>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</si>
  <si>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</si>
  <si>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</si>
  <si>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</si>
  <si>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</si>
  <si>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</si>
  <si>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</si>
  <si>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</si>
  <si>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</si>
  <si>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</si>
  <si>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</si>
  <si>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</si>
  <si>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</si>
  <si>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</si>
  <si>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</si>
  <si>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</si>
  <si>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</si>
  <si>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</si>
  <si>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</si>
  <si>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</si>
  <si>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</si>
  <si>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</si>
  <si>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</si>
  <si>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</si>
  <si>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</si>
  <si>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</si>
  <si>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</si>
  <si>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</si>
  <si>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</si>
  <si>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</si>
  <si>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</si>
  <si>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</si>
  <si>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</si>
  <si>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</si>
  <si>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</si>
  <si>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</si>
  <si>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</si>
  <si>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</si>
  <si>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</si>
  <si>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</si>
  <si>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</si>
  <si>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</si>
  <si>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</si>
  <si>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</si>
  <si>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</si>
  <si>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</si>
  <si>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</si>
  <si>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</si>
  <si>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</si>
  <si>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</si>
  <si>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</si>
  <si>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</si>
  <si>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</si>
  <si>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</si>
  <si>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</si>
  <si>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</si>
  <si>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</si>
  <si>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</si>
  <si>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</si>
  <si>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</si>
  <si>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</si>
  <si>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</si>
  <si>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</si>
  <si>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</si>
  <si>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</si>
  <si>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</si>
  <si>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</si>
  <si>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</si>
  <si>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</si>
  <si>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</si>
  <si>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</si>
  <si>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</si>
  <si>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</si>
  <si>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</si>
  <si>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</si>
  <si>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</si>
  <si>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</si>
  <si>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</si>
  <si>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</si>
  <si>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</si>
  <si>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</si>
  <si>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</si>
  <si>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</si>
  <si>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</si>
  <si>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</si>
  <si>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</si>
  <si>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</si>
  <si>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</si>
  <si>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</si>
  <si>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</si>
  <si>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</si>
  <si>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</si>
  <si>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</si>
  <si>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</si>
  <si>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</si>
  <si>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</si>
  <si>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</si>
  <si>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</si>
  <si>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</si>
  <si>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</si>
  <si>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</si>
  <si>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</si>
  <si>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</si>
  <si>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</si>
  <si>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</si>
  <si>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</si>
  <si>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</si>
  <si>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</si>
  <si>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</si>
  <si>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</si>
  <si>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</si>
  <si>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</si>
  <si>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</si>
  <si>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</si>
  <si>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</si>
  <si>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</si>
  <si>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</si>
  <si>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</si>
  <si>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</si>
  <si>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</si>
  <si>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</si>
  <si>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</si>
  <si>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</si>
  <si>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</si>
  <si>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</si>
  <si>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</si>
  <si>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</si>
  <si>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</si>
  <si>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</si>
  <si>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</si>
  <si>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</si>
  <si>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</si>
  <si>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</si>
  <si>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</si>
  <si>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</si>
  <si>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</si>
  <si>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</si>
  <si>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</si>
  <si>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</si>
  <si>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</si>
  <si>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</si>
  <si>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</si>
  <si>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</si>
  <si>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</si>
  <si>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</si>
  <si>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</si>
  <si>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</si>
  <si>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</si>
  <si>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</si>
  <si>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</si>
  <si>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</si>
  <si>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</si>
  <si>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</si>
  <si>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</si>
  <si>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</si>
  <si>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</si>
  <si>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</si>
  <si>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</si>
  <si>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</si>
  <si>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</si>
  <si>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</si>
  <si>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</si>
  <si>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</si>
  <si>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</si>
  <si>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</si>
  <si>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</si>
  <si>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</si>
  <si>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</si>
  <si>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</si>
  <si>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</si>
  <si>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</si>
  <si>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</si>
  <si>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</si>
  <si>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</si>
  <si>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</si>
  <si>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</si>
  <si>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</si>
  <si>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</si>
  <si>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</si>
  <si>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</si>
  <si>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</si>
  <si>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</si>
  <si>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</si>
  <si>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</si>
  <si>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</si>
  <si>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</si>
  <si>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</si>
  <si>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</si>
  <si>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</si>
  <si>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</si>
  <si>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</si>
  <si>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</si>
  <si>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</si>
  <si>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</si>
  <si>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</si>
  <si>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</si>
  <si>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</si>
  <si>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</si>
  <si>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</si>
  <si>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</si>
  <si>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</si>
  <si>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</si>
  <si>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</si>
  <si>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</si>
  <si>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</si>
  <si>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</si>
  <si>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</si>
  <si>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</si>
  <si>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</si>
  <si>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</si>
  <si>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</si>
  <si>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</si>
  <si>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</si>
  <si>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</si>
  <si>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</si>
  <si>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</si>
  <si>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</si>
  <si>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</si>
  <si>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</si>
  <si>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</si>
  <si>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</si>
  <si>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</si>
  <si>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</si>
  <si>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</si>
  <si>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</si>
  <si>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</si>
  <si>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</si>
  <si>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</si>
  <si>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</si>
  <si>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</si>
  <si>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</si>
  <si>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</si>
  <si>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</si>
  <si>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</si>
  <si>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</si>
  <si>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</si>
  <si>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</si>
  <si>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</si>
  <si>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</si>
  <si>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</si>
  <si>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</si>
  <si>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</si>
  <si>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</si>
  <si>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</si>
  <si>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</si>
  <si>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</si>
  <si>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</si>
  <si>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</si>
  <si>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</si>
  <si>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</si>
  <si>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</si>
  <si>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</si>
  <si>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</si>
  <si>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</si>
  <si>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</si>
  <si>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</si>
  <si>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</si>
  <si>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</si>
  <si>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</si>
  <si>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</si>
  <si>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</si>
  <si>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</si>
  <si>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</si>
  <si>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</si>
  <si>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</si>
  <si>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</si>
  <si>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</si>
  <si>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</si>
  <si>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</si>
  <si>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</si>
  <si>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</si>
  <si>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</si>
  <si>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</si>
  <si>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</si>
  <si>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</si>
  <si>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</si>
  <si>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</si>
  <si>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</si>
  <si>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</si>
  <si>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</si>
  <si>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</si>
  <si>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</si>
  <si>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</si>
  <si>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</si>
  <si>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</si>
  <si>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</si>
  <si>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</si>
  <si>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</si>
  <si>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</si>
  <si>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</si>
  <si>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</si>
  <si>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</si>
  <si>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</si>
  <si>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</si>
  <si>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</si>
  <si>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</si>
  <si>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</si>
  <si>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</si>
  <si>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</si>
  <si>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</si>
  <si>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</si>
  <si>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</si>
  <si>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</si>
  <si>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</si>
  <si>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</si>
  <si>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</si>
  <si>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</si>
  <si>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</si>
  <si>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</si>
  <si>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</si>
  <si>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</si>
  <si>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</si>
  <si>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</si>
  <si>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</si>
  <si>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</si>
  <si>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</si>
  <si>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</si>
  <si>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</si>
  <si>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</si>
  <si>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</si>
  <si>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</si>
  <si>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</si>
  <si>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</si>
  <si>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</si>
  <si>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</si>
  <si>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</si>
  <si>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</si>
  <si>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</si>
  <si>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</si>
  <si>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</si>
  <si>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</si>
  <si>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</si>
  <si>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</si>
  <si>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</si>
  <si>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</si>
  <si>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</si>
  <si>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</si>
  <si>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</si>
  <si>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</si>
  <si>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</si>
  <si>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</si>
  <si>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</si>
  <si>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</si>
  <si>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</si>
  <si>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</si>
  <si>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</si>
  <si>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</si>
  <si>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</si>
  <si>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</si>
  <si>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</si>
  <si>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</si>
  <si>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</si>
  <si>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</si>
  <si>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</si>
  <si>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</si>
  <si>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</si>
  <si>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</si>
  <si>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</si>
  <si>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</si>
  <si>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</si>
  <si>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</si>
  <si>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</si>
  <si>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</si>
  <si>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</si>
  <si>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</si>
  <si>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</si>
  <si>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</si>
  <si>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</si>
  <si>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</si>
  <si>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</si>
  <si>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</si>
  <si>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</si>
  <si>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</si>
  <si>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</si>
  <si>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</si>
  <si>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</si>
  <si>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</si>
  <si>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</si>
  <si>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</si>
  <si>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</si>
  <si>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</si>
  <si>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</si>
  <si>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</si>
  <si>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</si>
  <si>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</si>
  <si>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</si>
  <si>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</si>
  <si>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</si>
  <si>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</si>
  <si>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</si>
  <si>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</si>
  <si>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</si>
  <si>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</si>
  <si>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</si>
  <si>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</si>
  <si>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</si>
  <si>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</si>
  <si>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</si>
  <si>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</si>
  <si>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</si>
  <si>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</si>
  <si>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</si>
  <si>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</si>
  <si>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</si>
  <si>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</si>
  <si>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</si>
  <si>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</si>
  <si>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</si>
  <si>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</si>
  <si>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</si>
  <si>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</si>
  <si>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</si>
  <si>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</si>
  <si>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</si>
  <si>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</si>
  <si>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</si>
  <si>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</si>
  <si>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</si>
  <si>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</si>
  <si>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</si>
  <si>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</si>
  <si>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</si>
  <si>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</si>
  <si>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</si>
  <si>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</si>
  <si>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</si>
  <si>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</si>
  <si>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</si>
  <si>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</si>
  <si>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</si>
  <si>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</si>
  <si>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</si>
  <si>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</si>
  <si>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</si>
  <si>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</si>
  <si>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</si>
  <si>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</si>
  <si>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</si>
  <si>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</si>
  <si>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</si>
  <si>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</si>
  <si>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</si>
  <si>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</si>
  <si>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</si>
  <si>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</si>
  <si>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</si>
  <si>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</si>
  <si>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</si>
  <si>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</si>
  <si>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</si>
  <si>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</si>
  <si>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</si>
  <si>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</si>
  <si>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</si>
  <si>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</si>
  <si>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</si>
  <si>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</si>
  <si>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</si>
  <si>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</si>
  <si>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</si>
  <si>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</si>
  <si>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</si>
  <si>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</si>
  <si>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</si>
  <si>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</si>
  <si>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</si>
  <si>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</si>
  <si>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</si>
  <si>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</si>
  <si>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</si>
  <si>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</si>
  <si>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</si>
  <si>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</si>
  <si>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</si>
  <si>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</si>
  <si>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</si>
  <si>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</si>
  <si>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</si>
  <si>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</si>
  <si>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</si>
  <si>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</si>
  <si>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</si>
  <si>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</si>
  <si>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</si>
  <si>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</si>
  <si>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</si>
  <si>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</si>
  <si>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</si>
  <si>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</si>
  <si>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</si>
  <si>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</si>
  <si>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</si>
  <si>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</si>
  <si>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</si>
  <si>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</si>
  <si>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</si>
  <si>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</si>
  <si>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</si>
  <si>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</si>
  <si>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</si>
  <si>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</si>
  <si>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</si>
  <si>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</si>
  <si>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</si>
  <si>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</si>
  <si>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</si>
  <si>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</si>
  <si>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</si>
  <si>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</si>
  <si>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</si>
  <si>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</si>
  <si>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</si>
  <si>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</si>
  <si>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</si>
  <si>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</si>
  <si>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</si>
  <si>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</si>
  <si>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</si>
  <si>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</si>
  <si>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</si>
  <si>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</si>
  <si>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</si>
  <si>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</si>
  <si>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</si>
  <si>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</si>
  <si>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</si>
  <si>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</si>
  <si>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</si>
  <si>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</si>
  <si>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</si>
  <si>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</si>
  <si>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</si>
  <si>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</si>
  <si>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</si>
  <si>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</si>
  <si>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</si>
  <si>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</si>
  <si>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</si>
  <si>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</si>
  <si>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</si>
  <si>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</si>
  <si>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</si>
  <si>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</si>
  <si>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</si>
  <si>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</si>
  <si>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</si>
  <si>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</si>
  <si>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</si>
  <si>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</si>
  <si>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</si>
  <si>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</si>
  <si>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</si>
  <si>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</si>
  <si>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</si>
  <si>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</si>
  <si>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</si>
  <si>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</si>
  <si>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</si>
  <si>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</si>
  <si>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</si>
  <si>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</si>
  <si>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</si>
  <si>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</si>
  <si>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</si>
  <si>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</si>
  <si>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</si>
  <si>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</si>
  <si>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</si>
  <si>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</si>
  <si>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</si>
  <si>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</si>
  <si>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</si>
  <si>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</si>
  <si>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</si>
  <si>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</si>
  <si>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</si>
  <si>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</si>
  <si>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</si>
  <si>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</si>
  <si>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</si>
  <si>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</si>
  <si>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</si>
  <si>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</si>
  <si>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</si>
  <si>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</si>
  <si>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</si>
  <si>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</si>
  <si>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</si>
  <si>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</si>
  <si>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</si>
  <si>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</si>
  <si>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</si>
  <si>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</si>
  <si>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</si>
  <si>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</si>
  <si>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</si>
  <si>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</si>
  <si>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</si>
  <si>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</si>
  <si>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</si>
  <si>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</si>
  <si>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</si>
  <si>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</si>
  <si>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</si>
  <si>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</si>
  <si>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</si>
  <si>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</si>
  <si>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</si>
  <si>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</si>
  <si>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</si>
  <si>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</si>
  <si>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</si>
  <si>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</si>
  <si>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</si>
  <si>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</si>
  <si>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</si>
  <si>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</si>
  <si>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</si>
  <si>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</si>
  <si>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</si>
  <si>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</si>
  <si>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</si>
  <si>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</si>
  <si>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</si>
  <si>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</si>
  <si>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</si>
  <si>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</si>
  <si>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</si>
  <si>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</si>
  <si>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</si>
  <si>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</si>
  <si>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</si>
  <si>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</si>
  <si>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</si>
  <si>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</si>
  <si>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</si>
  <si>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</si>
  <si>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</si>
  <si>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</si>
  <si>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</si>
  <si>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</si>
  <si>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</si>
  <si>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</si>
  <si>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</si>
  <si>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</si>
  <si>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</si>
  <si>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</si>
  <si>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</si>
  <si>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</si>
  <si>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</si>
  <si>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</si>
  <si>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</si>
  <si>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</si>
  <si>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</si>
  <si>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</si>
  <si>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</si>
  <si>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</si>
  <si>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</si>
  <si>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</si>
  <si>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</si>
  <si>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</si>
  <si>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</si>
  <si>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</si>
  <si>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</si>
  <si>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</si>
  <si>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</si>
  <si>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</si>
  <si>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</si>
  <si>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</si>
  <si>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</si>
  <si>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</si>
  <si>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</si>
  <si>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</si>
  <si>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</si>
  <si>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</si>
  <si>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</si>
  <si>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</si>
  <si>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</si>
  <si>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</si>
  <si>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</si>
  <si>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</si>
  <si>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</si>
  <si>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</si>
  <si>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</si>
  <si>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</si>
  <si>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</si>
  <si>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</si>
  <si>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</si>
  <si>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</si>
  <si>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</si>
  <si>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</si>
  <si>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</si>
  <si>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</si>
  <si>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</si>
  <si>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</si>
  <si>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</si>
  <si>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</si>
  <si>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</si>
  <si>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</si>
  <si>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</si>
  <si>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</si>
  <si>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</si>
  <si>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</si>
  <si>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</si>
  <si>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</si>
  <si>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</si>
  <si>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</si>
  <si>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</si>
  <si>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</si>
  <si>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</si>
  <si>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</si>
  <si>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</si>
  <si>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</si>
  <si>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</si>
  <si>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</si>
  <si>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</si>
  <si>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</si>
  <si>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</si>
  <si>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</si>
  <si>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</si>
  <si>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</si>
  <si>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</si>
  <si>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</si>
  <si>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</si>
  <si>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</si>
  <si>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</si>
  <si>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</si>
  <si>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</si>
  <si>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</si>
  <si>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</si>
  <si>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</si>
  <si>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</si>
  <si>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</si>
  <si>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</si>
  <si>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</si>
  <si>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</si>
  <si>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</si>
  <si>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</si>
  <si>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</si>
  <si>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</si>
  <si>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</si>
  <si>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</si>
  <si>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</si>
  <si>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</si>
  <si>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</si>
  <si>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</si>
  <si>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</si>
  <si>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</si>
  <si>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</si>
  <si>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</si>
  <si>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</si>
  <si>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</si>
  <si>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</si>
  <si>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</si>
  <si>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</si>
  <si>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</si>
  <si>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</si>
  <si>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</si>
  <si>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</si>
  <si>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</si>
  <si>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</si>
  <si>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</si>
  <si>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</si>
  <si>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</si>
  <si>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</si>
  <si>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</si>
  <si>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</si>
  <si>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</si>
  <si>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</si>
  <si>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</si>
  <si>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</si>
  <si>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</si>
  <si>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</si>
  <si>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</si>
  <si>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</si>
  <si>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</si>
  <si>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</si>
  <si>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</si>
  <si>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</si>
  <si>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</si>
  <si>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</si>
  <si>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</si>
  <si>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</si>
  <si>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</si>
  <si>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</si>
  <si>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</si>
  <si>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</si>
  <si>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</si>
  <si>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</si>
  <si>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</si>
  <si>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</si>
  <si>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</si>
  <si>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</si>
  <si>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</si>
  <si>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</si>
  <si>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</si>
  <si>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</si>
  <si>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</si>
  <si>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</si>
  <si>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</si>
  <si>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</si>
  <si>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</si>
  <si>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</si>
  <si>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</si>
  <si>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</si>
  <si>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</si>
  <si>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</si>
  <si>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</si>
  <si>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</si>
  <si>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</si>
  <si>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</si>
  <si>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</si>
  <si>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</si>
  <si>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</si>
  <si>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</si>
  <si>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</si>
  <si>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</si>
  <si>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</si>
  <si>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</si>
  <si>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</si>
  <si>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</si>
  <si>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</si>
  <si>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</si>
  <si>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</si>
  <si>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</si>
  <si>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</si>
  <si>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</si>
  <si>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</si>
  <si>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</si>
  <si>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</si>
  <si>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</si>
  <si>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</si>
  <si>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</si>
  <si>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</si>
  <si>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</si>
  <si>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</si>
  <si>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</si>
  <si>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</si>
  <si>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</si>
  <si>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</si>
  <si>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</si>
  <si>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</si>
  <si>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</si>
  <si>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</si>
  <si>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</si>
  <si>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</si>
  <si>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</si>
  <si>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</si>
  <si>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</si>
  <si>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</si>
  <si>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</si>
  <si>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</si>
  <si>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</si>
  <si>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</si>
  <si>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</si>
  <si>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</si>
  <si>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</si>
  <si>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</si>
  <si>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</si>
  <si>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</si>
  <si>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</si>
  <si>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</si>
  <si>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</si>
  <si>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</si>
  <si>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</si>
  <si>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</si>
  <si>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</si>
  <si>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</si>
  <si>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</si>
  <si>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</si>
  <si>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</si>
  <si>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</si>
  <si>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</si>
  <si>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</si>
  <si>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</si>
  <si>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</si>
  <si>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</si>
  <si>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</si>
  <si>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</si>
  <si>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</si>
  <si>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</si>
  <si>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</si>
  <si>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</si>
  <si>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</si>
  <si>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</si>
  <si>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</si>
  <si>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</si>
  <si>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</si>
  <si>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</si>
  <si>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</si>
  <si>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</si>
  <si>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</si>
  <si>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</si>
  <si>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</si>
  <si>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</si>
  <si>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</si>
  <si>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</si>
  <si>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</si>
  <si>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</si>
  <si>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</si>
  <si>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</si>
  <si>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</si>
  <si>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</si>
  <si>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</si>
  <si>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</si>
  <si>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</si>
  <si>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</si>
  <si>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</si>
  <si>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</si>
  <si>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</si>
  <si>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</si>
  <si>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</si>
  <si>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</si>
  <si>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</si>
  <si>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</si>
  <si>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</si>
  <si>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</si>
  <si>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</si>
  <si>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</si>
  <si>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</si>
  <si>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</si>
  <si>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</si>
  <si>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</si>
  <si>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</si>
  <si>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</si>
  <si>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</si>
  <si>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</si>
  <si>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</si>
  <si>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</si>
  <si>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</si>
  <si>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</si>
  <si>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</si>
  <si>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</si>
  <si>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</si>
  <si>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</si>
  <si>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</si>
  <si>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</si>
  <si>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</si>
  <si>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</si>
  <si>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</si>
  <si>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</si>
  <si>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</si>
  <si>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</si>
  <si>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</si>
  <si>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</si>
  <si>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</si>
  <si>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</si>
  <si>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</si>
  <si>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</si>
  <si>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</si>
  <si>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</si>
  <si>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</si>
  <si>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</si>
  <si>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</si>
  <si>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</si>
  <si>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</si>
  <si>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</si>
  <si>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</si>
  <si>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</si>
  <si>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</si>
  <si>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</si>
  <si>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</si>
  <si>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</si>
  <si>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</si>
  <si>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</si>
  <si>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</si>
  <si>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</si>
  <si>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</si>
  <si>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</si>
  <si>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</si>
  <si>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</si>
  <si>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</si>
  <si>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</si>
  <si>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</si>
  <si>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</si>
  <si>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未包含在土地购买价格中</t>
  </si>
  <si>
    <t>五通</t>
    <phoneticPr fontId="31" type="noConversion"/>
  </si>
  <si>
    <t>刘梅</t>
  </si>
  <si>
    <t>吴薇</t>
  </si>
  <si>
    <t>中国建设银行股份有限公司北京城市建设开发专业支行</t>
    <phoneticPr fontId="6" type="noConversion"/>
  </si>
  <si>
    <t>通路</t>
  </si>
  <si>
    <t>通电</t>
  </si>
  <si>
    <t>通讯</t>
  </si>
  <si>
    <t>通上水</t>
  </si>
  <si>
    <t>通下水</t>
  </si>
  <si>
    <t>通热</t>
  </si>
  <si>
    <t>燃气</t>
  </si>
  <si>
    <t>企业</t>
  </si>
  <si>
    <t>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</si>
</sst>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184" fontId="47" fillId="9" borderId="26" xfId="0" applyNumberFormat="1" applyFont="1" applyFill="1" applyBorder="1" applyAlignment="1" applyProtection="1">
      <alignment horizontal="center" vertical="center" wrapText="1"/>
      <protection locked="0"/>
    </xf>
    <xf numFmtId="0" fontId="47" fillId="9" borderId="28" xfId="0"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49" fontId="98" fillId="9" borderId="23" xfId="0" applyNumberFormat="1" applyFont="1" applyFill="1" applyBorder="1" applyAlignment="1" applyProtection="1">
      <alignment horizontal="center" vertical="center" wrapText="1"/>
      <protection locked="0"/>
    </xf>
    <xf numFmtId="0" fontId="64" fillId="9"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0&#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C6">
            <v>26536</v>
          </cell>
          <cell r="F6">
            <v>40312</v>
          </cell>
          <cell r="H6">
            <v>4492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北京市出让国有建设用地使用权及在建建筑物房地产抵押价值预评估</v>
      </c>
    </row>
    <row r="3" spans="1:2" s="1585" customFormat="1">
      <c r="A3" s="1583" t="s">
        <v>1221</v>
      </c>
      <c r="B3" s="1584">
        <f>'预评函-封皮'!B40</f>
        <v>0</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受贵公司委托，我公司对北京市出让国有建设用地使用权及在建建筑物房地产抵押价值进行了预评估。</v>
      </c>
    </row>
    <row r="7" spans="1:2" s="1585" customFormat="1">
      <c r="A7" s="1583" t="s">
        <v>1264</v>
      </c>
      <c r="B7" s="1584" t="str">
        <f>'预评函-1'!A7</f>
        <v>估价对象为北京市出让国有建设用地使用权及在建建筑物房地产，为所有。根据《国有土地使用证》[]，估价对象（分摊）出让国有建设用地使用权面积为38798.11平方米，建筑面积为103416.52平方米。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为估价委托人在向中国建设银行股份有限公司北京城市建设开发专业支行办理贷款手续过程中，确定房地产抵押贷款额度提供参考依据而评估房地产抵押价值。</v>
      </c>
    </row>
    <row r="12" spans="1:2" s="1585" customFormat="1">
      <c r="A12" s="1583" t="s">
        <v>1226</v>
      </c>
      <c r="B12" s="1584" t="str">
        <f>'预评函-1'!A15</f>
        <v>2018年3月9日（评估专业人员实地查勘之日）</v>
      </c>
    </row>
    <row r="13" spans="1:2" s="1585" customFormat="1">
      <c r="A13" s="1583" t="s">
        <v>1227</v>
      </c>
      <c r="B13" s="1584"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211231</v>
      </c>
    </row>
    <row r="21" spans="1:2" s="1585" customFormat="1">
      <c r="A21" s="1583" t="s">
        <v>1235</v>
      </c>
      <c r="B21" s="1584">
        <f ca="1">'预评函-2'!D7</f>
        <v>20425</v>
      </c>
    </row>
    <row r="22" spans="1:2" s="1585" customFormat="1">
      <c r="A22" s="1583" t="s">
        <v>1236</v>
      </c>
      <c r="B22" s="1584" t="str">
        <f ca="1">'预评函-2'!D6</f>
        <v>贰拾壹亿壹仟贰佰叁拾壹万元整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211231</v>
      </c>
    </row>
    <row r="31" spans="1:2" s="1585" customFormat="1">
      <c r="A31" s="1583" t="s">
        <v>1274</v>
      </c>
      <c r="B31" s="1584">
        <f ca="1">'预评函-2'!D15</f>
        <v>20425</v>
      </c>
    </row>
    <row r="32" spans="1:2" s="1585" customFormat="1">
      <c r="A32" s="1583" t="s">
        <v>1241</v>
      </c>
      <c r="B32" s="1584" t="str">
        <f ca="1">'预评函-2'!D14</f>
        <v>贰拾壹亿壹仟贰佰叁拾壹万元整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北京市出让国有建设用地使用权及在建建筑物房地产</v>
      </c>
    </row>
    <row r="42" spans="1:2" s="1585" customFormat="1">
      <c r="A42" s="1583" t="s">
        <v>1288</v>
      </c>
      <c r="B42" s="1584" t="str">
        <f>'预评函-3'!B2</f>
        <v>建筑面积</v>
      </c>
    </row>
    <row r="43" spans="1:2" s="1585" customFormat="1">
      <c r="A43" s="1583" t="s">
        <v>1289</v>
      </c>
      <c r="B43" s="1584">
        <f>'预评函-3'!B4</f>
        <v>103416.51999999999</v>
      </c>
    </row>
    <row r="44" spans="1:2" s="1585" customFormat="1">
      <c r="A44" s="1583" t="s">
        <v>1273</v>
      </c>
      <c r="B44" s="1584" t="str">
        <f>'预评函-3'!C2</f>
        <v>(分摊)土地面积</v>
      </c>
    </row>
    <row r="45" spans="1:2" s="1585" customFormat="1">
      <c r="A45" s="1583" t="s">
        <v>1245</v>
      </c>
      <c r="B45" s="1584">
        <f>'预评函-3'!C4</f>
        <v>38798.11</v>
      </c>
    </row>
    <row r="46" spans="1:2" s="1585" customFormat="1">
      <c r="A46" s="1583" t="s">
        <v>1271</v>
      </c>
      <c r="B46" s="1584" t="str">
        <f>'预评函-3'!D2</f>
        <v>出让国有建设用地使用权价值</v>
      </c>
    </row>
    <row r="47" spans="1:2" s="1585" customFormat="1">
      <c r="A47" s="1583" t="s">
        <v>1246</v>
      </c>
      <c r="B47" s="1584" t="e">
        <f ca="1">'预评函-3'!D4</f>
        <v>#REF!</v>
      </c>
    </row>
    <row r="48" spans="1:2" s="1585" customFormat="1">
      <c r="A48" s="1583" t="s">
        <v>1247</v>
      </c>
      <c r="B48" s="1584" t="e">
        <f ca="1">'预评函-3'!E4</f>
        <v>#REF!</v>
      </c>
    </row>
    <row r="49" spans="1:2" s="1585" customFormat="1">
      <c r="A49" s="1583" t="s">
        <v>1248</v>
      </c>
      <c r="B49" s="1584" t="e">
        <f ca="1">'预评函-3'!D5</f>
        <v>#REF!</v>
      </c>
    </row>
    <row r="50" spans="1:2" s="1585" customFormat="1">
      <c r="A50" s="1583" t="s">
        <v>1272</v>
      </c>
      <c r="B50" s="1584" t="str">
        <f>'预评函-3'!F2</f>
        <v>在建建筑物价值</v>
      </c>
    </row>
    <row r="51" spans="1:2" s="1585" customFormat="1">
      <c r="A51" s="1583" t="s">
        <v>1249</v>
      </c>
      <c r="B51" s="1584" t="e">
        <f ca="1">'预评函-3'!F4</f>
        <v>#REF!</v>
      </c>
    </row>
    <row r="52" spans="1:2" s="1585" customFormat="1">
      <c r="A52" s="1583" t="s">
        <v>1250</v>
      </c>
      <c r="B52" s="1584" t="e">
        <f ca="1">'预评函-3'!G4</f>
        <v>#REF!</v>
      </c>
    </row>
    <row r="53" spans="1:2" s="1585" customFormat="1">
      <c r="A53" s="1583" t="s">
        <v>1278</v>
      </c>
      <c r="B53" s="1584" t="e">
        <f ca="1">'预评函-3'!F5</f>
        <v>#REF!</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9" t="s">
        <v>3474</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3584</v>
      </c>
      <c r="C17" s="2007"/>
    </row>
    <row r="18" spans="1:3">
      <c r="A18" s="2006" t="s">
        <v>1767</v>
      </c>
      <c r="B18" s="2006" t="s">
        <v>3585</v>
      </c>
      <c r="C18" s="2007"/>
    </row>
    <row r="19" spans="1:3">
      <c r="A19" s="2006" t="s">
        <v>1768</v>
      </c>
      <c r="B19" s="2006" t="s">
        <v>3587</v>
      </c>
      <c r="C19" s="2007"/>
    </row>
    <row r="20" spans="1:3">
      <c r="A20" s="2006" t="s">
        <v>1769</v>
      </c>
      <c r="B20" s="2006" t="s">
        <v>3589</v>
      </c>
      <c r="C20" s="2007"/>
    </row>
    <row r="21" spans="1:3">
      <c r="A21" s="2006" t="s">
        <v>1770</v>
      </c>
      <c r="B21" s="2006" t="s">
        <v>3591</v>
      </c>
      <c r="C21" s="2007"/>
    </row>
    <row r="22" spans="1:3">
      <c r="A22" s="2006" t="s">
        <v>1771</v>
      </c>
      <c r="B22" s="2006" t="s">
        <v>3593</v>
      </c>
      <c r="C22" s="2007"/>
    </row>
    <row r="23" spans="1:3">
      <c r="A23" s="2006" t="s">
        <v>1772</v>
      </c>
      <c r="B23" s="2006" t="s">
        <v>3595</v>
      </c>
      <c r="C23" s="2007"/>
    </row>
    <row r="24" spans="1:3">
      <c r="A24" s="2006" t="s">
        <v>1773</v>
      </c>
      <c r="B24" s="2006" t="s">
        <v>3597</v>
      </c>
      <c r="C24" s="2007"/>
    </row>
    <row r="25" spans="1:3">
      <c r="A25" s="2006" t="s">
        <v>1774</v>
      </c>
      <c r="B25" s="2006" t="s">
        <v>757</v>
      </c>
      <c r="C25" s="2007"/>
    </row>
    <row r="26" spans="1:3">
      <c r="A26" s="2006" t="s">
        <v>1775</v>
      </c>
      <c r="B26" s="2006" t="s">
        <v>757</v>
      </c>
      <c r="C26" s="2007"/>
    </row>
    <row r="27" spans="1:3">
      <c r="A27" s="2968" t="s">
        <v>3460</v>
      </c>
      <c r="B27" s="2006" t="s">
        <v>757</v>
      </c>
      <c r="C27" s="2007"/>
    </row>
    <row r="28" spans="1:3">
      <c r="A28" s="2968" t="s">
        <v>3458</v>
      </c>
      <c r="B28" s="2006" t="s">
        <v>757</v>
      </c>
      <c r="C28" s="2007"/>
    </row>
    <row r="29" spans="1:3">
      <c r="A29" s="2968" t="s">
        <v>3461</v>
      </c>
      <c r="B29" s="2006" t="s">
        <v>757</v>
      </c>
      <c r="C29" s="2007"/>
    </row>
    <row r="30" spans="1:3">
      <c r="A30" s="2968" t="s">
        <v>3459</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52"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4" t="s">
        <v>864</v>
      </c>
      <c r="C54" s="2011" t="s">
        <v>1281</v>
      </c>
    </row>
    <row r="55" spans="1:4">
      <c r="A55" s="3052"/>
      <c r="B55" s="2014" t="s">
        <v>865</v>
      </c>
      <c r="C55" s="2011" t="s">
        <v>1282</v>
      </c>
    </row>
    <row r="56" spans="1:4">
      <c r="A56" s="3052"/>
      <c r="B56" s="2014" t="s">
        <v>866</v>
      </c>
      <c r="C56" s="2011" t="s">
        <v>1286</v>
      </c>
    </row>
    <row r="57" spans="1:4">
      <c r="A57" s="3052"/>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7" sqref="P17"/>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1" customWidth="1"/>
    <col min="10" max="10" width="10" style="2024" customWidth="1"/>
    <col min="11" max="11" width="10" style="2152" customWidth="1"/>
    <col min="12" max="13" width="10" style="2153" customWidth="1"/>
    <col min="14" max="14" width="10" style="2024" customWidth="1"/>
    <col min="15" max="15" width="10" style="2151" customWidth="1"/>
    <col min="16" max="17" width="10" style="2024"/>
    <col min="18" max="18" width="10" style="2024" customWidth="1"/>
    <col min="19" max="16384" width="10" style="2024"/>
  </cols>
  <sheetData>
    <row r="1" spans="1:19" ht="38.25" customHeight="1" thickBot="1">
      <c r="A1" s="2017" t="s">
        <v>1776</v>
      </c>
      <c r="B1" s="306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2"/>
      <c r="D1" s="3062"/>
      <c r="E1" s="3062"/>
      <c r="F1" s="3062"/>
      <c r="G1" s="3062"/>
      <c r="H1" s="3062"/>
      <c r="I1" s="3063"/>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7" t="s">
        <v>1778</v>
      </c>
      <c r="B3" s="2028">
        <v>43168</v>
      </c>
      <c r="C3" s="2029" t="s">
        <v>1779</v>
      </c>
      <c r="D3" s="2028">
        <v>43168</v>
      </c>
      <c r="E3" s="2018"/>
      <c r="F3" s="2018"/>
      <c r="G3" s="2018"/>
      <c r="H3" s="2018"/>
      <c r="I3" s="2018"/>
      <c r="J3" s="2018"/>
      <c r="K3" s="2019"/>
      <c r="L3" s="2020"/>
      <c r="M3" s="2020"/>
      <c r="N3" s="2021"/>
      <c r="O3" s="2022"/>
      <c r="P3" s="2021"/>
      <c r="Q3" s="2021"/>
      <c r="R3" s="2021"/>
      <c r="S3" s="2023"/>
    </row>
    <row r="4" spans="1:19" ht="18" customHeight="1" thickBot="1">
      <c r="A4" s="2030" t="s">
        <v>1780</v>
      </c>
      <c r="B4" s="2031" t="s">
        <v>3625</v>
      </c>
      <c r="C4" s="1030">
        <f ca="1">SUMIF(注册房地产估价师,B4,估价师及机构信息!B3:B24)</f>
        <v>1120140022</v>
      </c>
      <c r="D4" s="2031" t="s">
        <v>3626</v>
      </c>
      <c r="E4" s="1031">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3001" t="s">
        <v>3627</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1783</v>
      </c>
      <c r="B7" s="2044"/>
      <c r="C7" s="2041"/>
      <c r="D7" s="2042"/>
      <c r="E7" s="2026"/>
      <c r="F7" s="2034"/>
      <c r="G7" s="2034"/>
      <c r="H7" s="2034"/>
      <c r="I7" s="2034"/>
      <c r="J7" s="2034"/>
      <c r="K7" s="2045"/>
      <c r="L7" s="2020"/>
      <c r="M7" s="2020"/>
      <c r="N7" s="2021"/>
      <c r="O7" s="2022"/>
      <c r="P7" s="2021"/>
      <c r="Q7" s="2021"/>
      <c r="R7" s="2021"/>
    </row>
    <row r="8" spans="1:19" ht="18" customHeight="1">
      <c r="A8" s="2040" t="s">
        <v>1784</v>
      </c>
      <c r="B8" s="2046" t="s">
        <v>3141</v>
      </c>
      <c r="C8" s="2047"/>
      <c r="D8" s="3064" t="s">
        <v>1785</v>
      </c>
      <c r="E8" s="2048"/>
      <c r="F8" s="2049"/>
      <c r="G8" s="2018"/>
      <c r="H8" s="2018"/>
      <c r="I8" s="2018"/>
      <c r="J8" s="2034"/>
      <c r="K8" s="2035"/>
      <c r="L8" s="2020"/>
      <c r="M8" s="2020"/>
      <c r="N8" s="2021"/>
      <c r="O8" s="2022"/>
      <c r="P8" s="2021"/>
      <c r="Q8" s="2021"/>
      <c r="R8" s="2021"/>
    </row>
    <row r="9" spans="1:19" ht="18" customHeight="1" thickBot="1">
      <c r="A9" s="2032" t="s">
        <v>1786</v>
      </c>
      <c r="B9" s="2050" t="s">
        <v>3142</v>
      </c>
      <c r="C9" s="2051"/>
      <c r="D9" s="3065"/>
      <c r="E9" s="2050"/>
      <c r="F9" s="2052"/>
      <c r="G9" s="2053"/>
      <c r="H9" s="2053"/>
      <c r="I9" s="2053"/>
      <c r="J9" s="2034"/>
      <c r="K9" s="2045"/>
      <c r="L9" s="2020"/>
      <c r="M9" s="2020"/>
      <c r="N9" s="2021"/>
      <c r="O9" s="2022"/>
      <c r="P9" s="2021"/>
      <c r="Q9" s="2021"/>
      <c r="R9" s="2021"/>
    </row>
    <row r="10" spans="1:19" ht="18" customHeight="1" thickTop="1">
      <c r="A10" s="2054" t="s">
        <v>1787</v>
      </c>
      <c r="B10" s="2055" t="s">
        <v>3060</v>
      </c>
      <c r="C10" s="2056"/>
      <c r="D10" s="2039"/>
      <c r="E10" s="2057" t="s">
        <v>1788</v>
      </c>
      <c r="F10" s="2058"/>
      <c r="G10" s="2059"/>
      <c r="H10" s="2060"/>
      <c r="I10" s="2039"/>
      <c r="J10" s="2034"/>
      <c r="K10" s="2045"/>
      <c r="L10" s="2020"/>
      <c r="M10" s="2020"/>
      <c r="N10" s="2021"/>
      <c r="O10" s="2022"/>
      <c r="P10" s="2021"/>
      <c r="Q10" s="2021"/>
      <c r="R10" s="2021"/>
    </row>
    <row r="11" spans="1:19" ht="18" customHeight="1">
      <c r="A11" s="2061" t="s">
        <v>1789</v>
      </c>
      <c r="B11" s="3008" t="s">
        <v>3635</v>
      </c>
      <c r="C11" s="2063"/>
      <c r="D11" s="2064"/>
      <c r="E11" s="2034"/>
      <c r="F11" s="2034"/>
      <c r="G11" s="2034"/>
      <c r="H11" s="2034"/>
      <c r="I11" s="2034"/>
      <c r="J11" s="2034"/>
      <c r="K11" s="2045"/>
      <c r="L11" s="2020"/>
      <c r="M11" s="2020"/>
      <c r="N11" s="2021"/>
      <c r="O11" s="2022"/>
      <c r="P11" s="2021"/>
      <c r="Q11" s="2021"/>
      <c r="R11" s="2021"/>
    </row>
    <row r="12" spans="1:19" ht="18" customHeight="1">
      <c r="A12" s="2065" t="s">
        <v>1790</v>
      </c>
      <c r="B12" s="2062" t="s">
        <v>3143</v>
      </c>
      <c r="C12" s="2066" t="s">
        <v>1791</v>
      </c>
      <c r="D12" s="2067" t="s">
        <v>1792</v>
      </c>
      <c r="E12" s="2067" t="s">
        <v>1793</v>
      </c>
      <c r="F12" s="2067" t="s">
        <v>1794</v>
      </c>
      <c r="G12" s="2067" t="s">
        <v>1795</v>
      </c>
      <c r="H12" s="2067" t="s">
        <v>1796</v>
      </c>
      <c r="I12" s="2067" t="s">
        <v>1797</v>
      </c>
      <c r="J12" s="2034"/>
      <c r="K12" s="2045"/>
      <c r="L12" s="2020"/>
      <c r="M12" s="2020"/>
      <c r="N12" s="2021"/>
      <c r="O12" s="2022"/>
      <c r="P12" s="2021"/>
      <c r="Q12" s="2021"/>
      <c r="R12" s="2021"/>
    </row>
    <row r="13" spans="1:19" ht="18" customHeight="1">
      <c r="A13" s="2068"/>
      <c r="B13" s="2069"/>
      <c r="C13" s="2070" t="s">
        <v>1798</v>
      </c>
      <c r="D13" s="2071"/>
      <c r="E13" s="2071">
        <v>56690</v>
      </c>
      <c r="F13" s="2071">
        <v>60343</v>
      </c>
      <c r="G13" s="2071">
        <v>60343</v>
      </c>
      <c r="H13" s="2071">
        <v>60343</v>
      </c>
      <c r="I13" s="1040"/>
      <c r="J13" s="2034"/>
      <c r="K13" s="2045"/>
      <c r="L13" s="2020"/>
      <c r="M13" s="2020"/>
      <c r="N13" s="2021"/>
      <c r="O13" s="2022"/>
      <c r="P13" s="2021"/>
      <c r="Q13" s="2021"/>
      <c r="R13" s="2021"/>
    </row>
    <row r="14" spans="1:19" ht="18" customHeight="1">
      <c r="A14" s="2068"/>
      <c r="B14" s="2069"/>
      <c r="C14" s="2070" t="s">
        <v>1799</v>
      </c>
      <c r="D14" s="1043"/>
      <c r="E14" s="1043">
        <v>40</v>
      </c>
      <c r="F14" s="1043">
        <v>50</v>
      </c>
      <c r="G14" s="1043">
        <v>50</v>
      </c>
      <c r="H14" s="1043">
        <v>50</v>
      </c>
      <c r="I14" s="1043"/>
      <c r="J14" s="2034"/>
      <c r="K14" s="2072"/>
      <c r="L14" s="2020"/>
      <c r="M14" s="2020"/>
      <c r="N14" s="2021"/>
      <c r="O14" s="2022"/>
      <c r="P14" s="2021"/>
      <c r="Q14" s="2021"/>
      <c r="R14" s="2021"/>
    </row>
    <row r="15" spans="1:19" ht="18" customHeight="1">
      <c r="A15" s="2054"/>
      <c r="B15" s="2073"/>
      <c r="C15" s="2070"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4"/>
      <c r="K15" s="2074"/>
      <c r="L15" s="2075"/>
      <c r="M15" s="2075"/>
      <c r="N15" s="2076"/>
      <c r="O15" s="2075"/>
      <c r="P15" s="2076"/>
      <c r="Q15" s="2021"/>
      <c r="R15" s="2021"/>
    </row>
    <row r="16" spans="1:19" ht="30.75" customHeight="1">
      <c r="A16" s="2057" t="s">
        <v>1801</v>
      </c>
      <c r="B16" s="3071"/>
      <c r="C16" s="3072"/>
      <c r="D16" s="3073"/>
      <c r="E16" s="2077" t="s">
        <v>1802</v>
      </c>
      <c r="F16" s="3074" t="s">
        <v>3144</v>
      </c>
      <c r="G16" s="3075"/>
      <c r="H16" s="3075"/>
      <c r="I16" s="3076"/>
      <c r="J16" s="2021"/>
      <c r="K16" s="2074"/>
      <c r="L16" s="2075"/>
      <c r="M16" s="2075"/>
      <c r="N16" s="2076"/>
      <c r="O16" s="2075"/>
      <c r="P16" s="2076"/>
      <c r="Q16" s="2021"/>
      <c r="R16" s="2021"/>
    </row>
    <row r="17" spans="1:22" ht="18" customHeight="1">
      <c r="A17" s="2078" t="s">
        <v>1803</v>
      </c>
      <c r="B17" s="2027" t="s">
        <v>1804</v>
      </c>
      <c r="C17" s="1047">
        <f>'数据-汇总表'!E3</f>
        <v>103416.51999999999</v>
      </c>
      <c r="D17" s="2079" t="s">
        <v>1805</v>
      </c>
      <c r="E17" s="3077" t="s">
        <v>1806</v>
      </c>
      <c r="F17" s="3078"/>
      <c r="G17" s="3078"/>
      <c r="H17" s="3078"/>
      <c r="I17" s="3079"/>
      <c r="J17" s="2021"/>
      <c r="K17" s="2080"/>
      <c r="L17" s="2075"/>
      <c r="M17" s="2075"/>
      <c r="N17" s="2076"/>
      <c r="O17" s="2075"/>
      <c r="P17" s="2076"/>
      <c r="Q17" s="2021"/>
      <c r="R17" s="2021"/>
      <c r="S17" s="2021"/>
      <c r="T17" s="2021"/>
      <c r="U17" s="2021"/>
      <c r="V17" s="2021"/>
    </row>
    <row r="18" spans="1:22" ht="36" customHeight="1" thickBot="1">
      <c r="A18" s="2081" t="s">
        <v>1807</v>
      </c>
      <c r="B18" s="2030" t="s">
        <v>1808</v>
      </c>
      <c r="C18" s="1437">
        <f>'数据-汇总表'!D3</f>
        <v>38798.11</v>
      </c>
      <c r="D18" s="2082" t="s">
        <v>1805</v>
      </c>
      <c r="E18" s="3080" t="s">
        <v>1809</v>
      </c>
      <c r="F18" s="3081"/>
      <c r="G18" s="3081"/>
      <c r="H18" s="3081"/>
      <c r="I18" s="3082"/>
      <c r="J18" s="2021"/>
      <c r="K18" s="2080"/>
      <c r="L18" s="2075"/>
      <c r="M18" s="2075"/>
      <c r="N18" s="2076"/>
      <c r="O18" s="2075"/>
      <c r="P18" s="2076"/>
      <c r="Q18" s="2021"/>
      <c r="R18" s="2021"/>
      <c r="S18" s="2021"/>
      <c r="T18" s="2021"/>
      <c r="U18" s="2021"/>
      <c r="V18" s="2021"/>
    </row>
    <row r="19" spans="1:22" ht="37.5" customHeight="1" thickTop="1" thickBot="1">
      <c r="A19" s="366" t="s">
        <v>1810</v>
      </c>
      <c r="B19" s="345" t="s">
        <v>1811</v>
      </c>
      <c r="C19" s="2083"/>
      <c r="D19" s="2084" t="s">
        <v>1812</v>
      </c>
      <c r="E19" s="2085"/>
      <c r="F19" s="2086" t="str">
        <f>IF(AND(C19="是",E19="否"),"是否提供他项权证或相关说明","")</f>
        <v/>
      </c>
      <c r="G19" s="2087"/>
      <c r="H19" s="2034"/>
      <c r="I19" s="2034"/>
      <c r="J19" s="2034"/>
      <c r="K19" s="2045"/>
      <c r="L19" s="2020"/>
      <c r="M19" s="2020"/>
      <c r="N19" s="2076"/>
      <c r="O19" s="2075"/>
      <c r="P19" s="2076"/>
      <c r="Q19" s="2021"/>
      <c r="R19" s="2021"/>
      <c r="S19" s="2021"/>
      <c r="T19" s="2021"/>
      <c r="U19" s="2021"/>
      <c r="V19" s="2021"/>
    </row>
    <row r="20" spans="1:22" ht="18" customHeight="1">
      <c r="A20" s="2088" t="s">
        <v>1813</v>
      </c>
      <c r="B20" s="3067" t="s">
        <v>1814</v>
      </c>
      <c r="C20" s="3068"/>
      <c r="D20" s="3069" t="s">
        <v>1815</v>
      </c>
      <c r="E20" s="3070"/>
      <c r="F20" s="2089" t="s">
        <v>1816</v>
      </c>
      <c r="G20" s="2034"/>
      <c r="H20" s="2034"/>
      <c r="I20" s="2034"/>
      <c r="J20" s="2034"/>
      <c r="K20" s="3066"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6"/>
      <c r="O20" s="2075"/>
      <c r="P20" s="2076"/>
      <c r="Q20" s="2021"/>
      <c r="R20" s="2021"/>
      <c r="S20" s="2021"/>
      <c r="T20" s="2021"/>
      <c r="U20" s="2021"/>
      <c r="V20" s="2021"/>
    </row>
    <row r="21" spans="1:22" ht="24.75" customHeight="1">
      <c r="A21" s="2088"/>
      <c r="B21" s="2090" t="s">
        <v>1818</v>
      </c>
      <c r="C21" s="2091" t="s">
        <v>1819</v>
      </c>
      <c r="D21" s="2092" t="s">
        <v>1820</v>
      </c>
      <c r="E21" s="2093" t="s">
        <v>1819</v>
      </c>
      <c r="F21" s="2094"/>
      <c r="G21" s="2034"/>
      <c r="H21" s="2034"/>
      <c r="I21" s="2034"/>
      <c r="J21" s="2034"/>
      <c r="K21" s="3066"/>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6"/>
      <c r="O21" s="2075"/>
      <c r="P21" s="2076"/>
      <c r="Q21" s="2021"/>
      <c r="R21" s="2021"/>
      <c r="S21" s="2021"/>
      <c r="T21" s="2021"/>
      <c r="U21" s="2021"/>
      <c r="V21" s="2021"/>
    </row>
    <row r="22" spans="1:22" ht="24.75" customHeight="1" thickBot="1">
      <c r="A22" s="2088"/>
      <c r="B22" s="2095" t="s">
        <v>1821</v>
      </c>
      <c r="C22" s="2091" t="s">
        <v>1822</v>
      </c>
      <c r="D22" s="2018"/>
      <c r="E22" s="2018"/>
      <c r="F22" s="2096"/>
      <c r="G22" s="2034"/>
      <c r="H22" s="2034"/>
      <c r="I22" s="2034"/>
      <c r="J22" s="2034"/>
      <c r="K22" s="3066"/>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6"/>
      <c r="O22" s="2075"/>
      <c r="P22" s="2076"/>
      <c r="Q22" s="2021"/>
      <c r="R22" s="2021"/>
      <c r="S22" s="2021"/>
      <c r="T22" s="2021"/>
      <c r="U22" s="2021"/>
      <c r="V22" s="2021"/>
    </row>
    <row r="23" spans="1:22" ht="18" customHeight="1">
      <c r="A23" s="2097" t="s">
        <v>1823</v>
      </c>
      <c r="B23" s="176" t="s">
        <v>1824</v>
      </c>
      <c r="C23" s="2098"/>
      <c r="D23" s="2099" t="s">
        <v>1824</v>
      </c>
      <c r="E23" s="2100"/>
      <c r="F23" s="2096"/>
      <c r="G23" s="2034"/>
      <c r="H23" s="2034"/>
      <c r="I23" s="2034"/>
      <c r="J23" s="2034"/>
      <c r="K23" s="2101"/>
      <c r="L23" s="741"/>
      <c r="M23" s="2020"/>
      <c r="N23" s="2076"/>
      <c r="O23" s="2075"/>
      <c r="P23" s="2076"/>
      <c r="Q23" s="2021"/>
      <c r="R23" s="2021"/>
      <c r="S23" s="2021"/>
      <c r="T23" s="2021"/>
      <c r="U23" s="2021"/>
      <c r="V23" s="2021"/>
    </row>
    <row r="24" spans="1:22" ht="18" customHeight="1">
      <c r="A24" s="2102"/>
      <c r="B24" s="176" t="s">
        <v>1825</v>
      </c>
      <c r="C24" s="2103"/>
      <c r="D24" s="2097" t="s">
        <v>1825</v>
      </c>
      <c r="E24" s="2104"/>
      <c r="F24" s="2096"/>
      <c r="G24" s="2034"/>
      <c r="H24" s="2034"/>
      <c r="I24" s="2034"/>
      <c r="J24" s="2034"/>
      <c r="K24" s="2101"/>
      <c r="L24" s="741"/>
      <c r="M24" s="2020"/>
      <c r="N24" s="2076"/>
      <c r="O24" s="2075"/>
      <c r="P24" s="2076"/>
      <c r="Q24" s="2021"/>
      <c r="R24" s="2021"/>
      <c r="S24" s="2021"/>
      <c r="T24" s="2021"/>
      <c r="U24" s="2021"/>
      <c r="V24" s="2021"/>
    </row>
    <row r="25" spans="1:22" ht="18" customHeight="1">
      <c r="A25" s="2102"/>
      <c r="B25" s="176" t="s">
        <v>1826</v>
      </c>
      <c r="C25" s="2103"/>
      <c r="D25" s="2097" t="s">
        <v>1826</v>
      </c>
      <c r="E25" s="2104"/>
      <c r="F25" s="2096"/>
      <c r="G25" s="2034"/>
      <c r="H25" s="2034"/>
      <c r="I25" s="2034"/>
      <c r="J25" s="2034"/>
      <c r="K25" s="2045"/>
      <c r="L25" s="2020"/>
      <c r="M25" s="2020"/>
      <c r="N25" s="2076"/>
      <c r="O25" s="2075"/>
      <c r="P25" s="2076"/>
      <c r="Q25" s="2021"/>
      <c r="R25" s="2021"/>
      <c r="S25" s="2021"/>
      <c r="T25" s="2021"/>
      <c r="U25" s="2021"/>
      <c r="V25" s="2021"/>
    </row>
    <row r="26" spans="1:22" ht="18" customHeight="1" thickBot="1">
      <c r="A26" s="2105"/>
      <c r="B26" s="2106" t="s">
        <v>1827</v>
      </c>
      <c r="C26" s="2107"/>
      <c r="D26" s="2108" t="s">
        <v>1828</v>
      </c>
      <c r="E26" s="2109"/>
      <c r="F26" s="2110"/>
      <c r="G26" s="2053"/>
      <c r="H26" s="2053"/>
      <c r="I26" s="2053"/>
      <c r="J26" s="2034"/>
      <c r="K26" s="2045"/>
      <c r="L26" s="2020"/>
      <c r="M26" s="2020"/>
      <c r="N26" s="2076"/>
      <c r="O26" s="2075"/>
      <c r="P26" s="2076"/>
      <c r="Q26" s="2021"/>
      <c r="R26" s="2021"/>
      <c r="S26" s="2021"/>
      <c r="T26" s="2021"/>
      <c r="U26" s="2021"/>
      <c r="V26" s="2021"/>
    </row>
    <row r="27" spans="1:22" ht="18" customHeight="1" thickTop="1">
      <c r="A27" s="3054" t="s">
        <v>1829</v>
      </c>
      <c r="B27" s="2054" t="s">
        <v>1830</v>
      </c>
      <c r="C27" s="2111"/>
      <c r="D27" s="2112"/>
      <c r="E27" s="2034"/>
      <c r="F27" s="2034"/>
      <c r="G27" s="2034"/>
      <c r="H27" s="2034"/>
      <c r="I27" s="2034"/>
      <c r="J27" s="2021"/>
      <c r="K27" s="2074"/>
      <c r="L27" s="2075"/>
      <c r="M27" s="2075"/>
      <c r="N27" s="2076"/>
      <c r="O27" s="2075"/>
      <c r="P27" s="2076"/>
      <c r="Q27" s="2021"/>
      <c r="R27" s="2021"/>
      <c r="S27" s="2021"/>
      <c r="T27" s="2021"/>
      <c r="U27" s="2021"/>
      <c r="V27" s="2021"/>
    </row>
    <row r="28" spans="1:22" ht="18" customHeight="1">
      <c r="A28" s="3054"/>
      <c r="B28" s="2027" t="s">
        <v>1831</v>
      </c>
      <c r="C28" s="2113"/>
      <c r="D28" s="2114"/>
      <c r="E28" s="2034"/>
      <c r="F28" s="2034"/>
      <c r="G28" s="2034"/>
      <c r="H28" s="2034"/>
      <c r="I28" s="2034"/>
      <c r="J28" s="2021"/>
      <c r="K28" s="2115"/>
      <c r="L28" s="2020"/>
      <c r="M28" s="2020"/>
      <c r="N28" s="2021"/>
      <c r="O28" s="2022"/>
      <c r="P28" s="2021"/>
      <c r="Q28" s="2021"/>
      <c r="R28" s="2021"/>
      <c r="S28" s="2021"/>
      <c r="T28" s="2021"/>
      <c r="U28" s="2021"/>
      <c r="V28" s="2021"/>
    </row>
    <row r="29" spans="1:22" ht="18" customHeight="1">
      <c r="A29" s="3054"/>
      <c r="B29" s="2027" t="s">
        <v>1832</v>
      </c>
      <c r="C29" s="2116"/>
      <c r="D29" s="2117"/>
      <c r="E29" s="2034"/>
      <c r="F29" s="2034"/>
      <c r="G29" s="2034"/>
      <c r="H29" s="2034"/>
      <c r="I29" s="2034"/>
      <c r="J29" s="2021"/>
      <c r="K29" s="2115"/>
      <c r="L29" s="2020"/>
      <c r="M29" s="2020"/>
      <c r="N29" s="2021"/>
      <c r="O29" s="2022"/>
      <c r="P29" s="2021"/>
      <c r="Q29" s="2021"/>
      <c r="R29" s="2021"/>
      <c r="S29" s="2021"/>
      <c r="T29" s="2021"/>
      <c r="U29" s="2021"/>
      <c r="V29" s="2021"/>
    </row>
    <row r="30" spans="1:22" ht="18" customHeight="1">
      <c r="A30" s="3055"/>
      <c r="B30" s="2027" t="s">
        <v>1833</v>
      </c>
      <c r="C30" s="3056"/>
      <c r="D30" s="3057"/>
      <c r="E30" s="2034"/>
      <c r="F30" s="2034"/>
      <c r="G30" s="2034"/>
      <c r="H30" s="2034"/>
      <c r="I30" s="2034"/>
      <c r="J30" s="2021"/>
      <c r="K30" s="2115"/>
      <c r="L30" s="2020"/>
      <c r="M30" s="2020"/>
      <c r="N30" s="2021"/>
      <c r="O30" s="2022"/>
      <c r="P30" s="2021"/>
      <c r="Q30" s="2021"/>
      <c r="R30" s="2021"/>
      <c r="S30" s="2021"/>
      <c r="T30" s="2021"/>
      <c r="U30" s="2021"/>
      <c r="V30" s="2021"/>
    </row>
    <row r="31" spans="1:22" ht="18" customHeight="1">
      <c r="A31" s="3058" t="s">
        <v>1834</v>
      </c>
      <c r="B31" s="2118"/>
      <c r="C31" s="2119" t="str">
        <f>IF(B31="现房","成新及维护状况正常否",IF(B31="在建","工程状态是否正常",IF(B31="土地","是否闲置","-")))</f>
        <v>-</v>
      </c>
      <c r="D31" s="2120"/>
      <c r="E31" s="2121"/>
      <c r="F31" s="2034"/>
      <c r="G31" s="2034"/>
      <c r="H31" s="2034"/>
      <c r="I31" s="2034"/>
      <c r="J31" s="2034"/>
      <c r="K31" s="2043"/>
      <c r="L31" s="2020"/>
      <c r="M31" s="2020"/>
      <c r="N31" s="2021"/>
      <c r="O31" s="2022"/>
      <c r="P31" s="2021"/>
      <c r="Q31" s="2021"/>
      <c r="R31" s="2021"/>
      <c r="S31" s="2021"/>
      <c r="T31" s="2021"/>
      <c r="U31" s="2021"/>
      <c r="V31" s="2021"/>
    </row>
    <row r="32" spans="1:22" ht="18" customHeight="1">
      <c r="A32" s="3059"/>
      <c r="B32" s="2118"/>
      <c r="C32" s="2119" t="str">
        <f>IF(B32="现房","成新及维护状况是否正常",IF(B32="在建","工程状态是否正常",IF(B32="土地","是否闲置","-")))</f>
        <v>-</v>
      </c>
      <c r="D32" s="2120"/>
      <c r="E32" s="2121"/>
      <c r="F32" s="2034"/>
      <c r="G32" s="2034"/>
      <c r="H32" s="2034"/>
      <c r="I32" s="2034"/>
      <c r="J32" s="2034"/>
      <c r="K32" s="2045"/>
      <c r="L32" s="2020"/>
      <c r="M32" s="2020"/>
      <c r="N32" s="2021"/>
      <c r="O32" s="2022"/>
      <c r="P32" s="2021"/>
      <c r="Q32" s="2021"/>
      <c r="R32" s="2021"/>
      <c r="S32" s="2021"/>
      <c r="T32" s="2021"/>
      <c r="U32" s="2021"/>
      <c r="V32" s="2021"/>
    </row>
    <row r="33" spans="1:22" ht="18" customHeight="1">
      <c r="A33" s="3059"/>
      <c r="B33" s="2122"/>
      <c r="C33" s="2061" t="str">
        <f>IF(B33="现房","成新及维护状况是否正常",IF(B33="在建","工程状态是否正常",IF(B33="土地","是否闲置","-")))</f>
        <v>-</v>
      </c>
      <c r="D33" s="2123"/>
      <c r="E33" s="2124"/>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1835</v>
      </c>
      <c r="B34" s="2125" t="s">
        <v>3628</v>
      </c>
      <c r="C34" s="2125" t="s">
        <v>3629</v>
      </c>
      <c r="D34" s="2125" t="s">
        <v>3630</v>
      </c>
      <c r="E34" s="2125" t="s">
        <v>3631</v>
      </c>
      <c r="F34" s="2125" t="s">
        <v>3632</v>
      </c>
      <c r="G34" s="2125" t="s">
        <v>3633</v>
      </c>
      <c r="H34" s="2125" t="s">
        <v>3634</v>
      </c>
      <c r="I34" s="2034"/>
      <c r="J34" s="2034"/>
      <c r="K34" s="1787">
        <f>COUNTIF(B34:H34,"——")</f>
        <v>0</v>
      </c>
      <c r="L34" s="2066" t="s">
        <v>1836</v>
      </c>
      <c r="M34" s="2066" t="s">
        <v>1837</v>
      </c>
      <c r="N34" s="2066" t="s">
        <v>1838</v>
      </c>
      <c r="O34" s="2066" t="s">
        <v>1839</v>
      </c>
      <c r="P34" s="2066" t="s">
        <v>1840</v>
      </c>
      <c r="Q34" s="2066" t="s">
        <v>1841</v>
      </c>
      <c r="R34" s="2066" t="s">
        <v>1842</v>
      </c>
      <c r="S34" s="3053" t="s">
        <v>1843</v>
      </c>
      <c r="T34" s="2126" t="str">
        <f>NUMBERSTRING(7-K34,1)&amp;"通"</f>
        <v>七通</v>
      </c>
      <c r="U34" s="2021"/>
      <c r="V34" s="2021"/>
    </row>
    <row r="35" spans="1:22" ht="18" customHeight="1">
      <c r="A35" s="2127"/>
      <c r="B35" s="3060" t="s">
        <v>1844</v>
      </c>
      <c r="C35" s="3060"/>
      <c r="D35" s="3060"/>
      <c r="E35" s="3060"/>
      <c r="F35" s="2128">
        <f>C10</f>
        <v>0</v>
      </c>
      <c r="G35" s="2034"/>
      <c r="H35" s="2034"/>
      <c r="I35" s="2034"/>
      <c r="J35" s="2034"/>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1"/>
      <c r="V35" s="2021"/>
    </row>
    <row r="36" spans="1:22" ht="18" customHeight="1">
      <c r="A36" s="2129"/>
      <c r="B36" s="2128" t="s">
        <v>1845</v>
      </c>
      <c r="C36" s="2128" t="s">
        <v>1846</v>
      </c>
      <c r="D36" s="2128" t="s">
        <v>1847</v>
      </c>
      <c r="E36" s="2128" t="s">
        <v>1848</v>
      </c>
      <c r="F36" s="2130"/>
      <c r="G36" s="2034"/>
      <c r="H36" s="2034"/>
      <c r="I36" s="2034"/>
      <c r="J36" s="2034"/>
      <c r="K36" s="2045"/>
      <c r="L36" s="2020"/>
      <c r="M36" s="2020"/>
      <c r="N36" s="2021"/>
      <c r="O36" s="2022"/>
      <c r="P36" s="2021"/>
      <c r="Q36" s="2021"/>
      <c r="R36" s="2021"/>
      <c r="S36" s="2021"/>
      <c r="T36" s="2021"/>
      <c r="U36" s="2021"/>
      <c r="V36" s="2021"/>
    </row>
    <row r="37" spans="1:22" ht="18" customHeight="1">
      <c r="A37" s="2131" t="s">
        <v>1849</v>
      </c>
      <c r="B37" s="2132" t="s">
        <v>528</v>
      </c>
      <c r="C37" s="2132" t="s">
        <v>528</v>
      </c>
      <c r="D37" s="2132"/>
      <c r="E37" s="2132"/>
      <c r="F37" s="2130"/>
      <c r="G37" s="2034"/>
      <c r="H37" s="2034"/>
      <c r="I37" s="2034"/>
      <c r="J37" s="2034"/>
      <c r="K37" s="2045"/>
      <c r="L37" s="2020"/>
      <c r="M37" s="2020"/>
      <c r="N37" s="2021"/>
      <c r="O37" s="2022"/>
      <c r="P37" s="2021"/>
      <c r="Q37" s="2021"/>
      <c r="R37" s="2021"/>
      <c r="S37" s="2021"/>
      <c r="T37" s="2021"/>
      <c r="U37" s="2021"/>
      <c r="V37" s="2021"/>
    </row>
    <row r="38" spans="1:22" ht="18" customHeight="1" thickBot="1">
      <c r="A38" s="2133" t="s">
        <v>1850</v>
      </c>
      <c r="B38" s="2134" t="s">
        <v>3160</v>
      </c>
      <c r="C38" s="2134" t="s">
        <v>3160</v>
      </c>
      <c r="D38" s="2134"/>
      <c r="E38" s="2134"/>
      <c r="F38" s="2135"/>
      <c r="G38" s="2053"/>
      <c r="H38" s="2053"/>
      <c r="I38" s="2053"/>
      <c r="J38" s="2034"/>
      <c r="K38" s="2045"/>
      <c r="L38" s="2020"/>
      <c r="M38" s="2020"/>
      <c r="N38" s="2021"/>
      <c r="O38" s="2022"/>
      <c r="P38" s="2021"/>
      <c r="Q38" s="2021"/>
      <c r="R38" s="2021"/>
      <c r="S38" s="2021"/>
      <c r="T38" s="2021"/>
      <c r="U38" s="2021"/>
      <c r="V38" s="202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76"/>
      <c r="K40" s="659"/>
      <c r="L40" s="2075"/>
      <c r="M40" s="2075"/>
      <c r="N40" s="2076"/>
      <c r="O40" s="2075"/>
      <c r="P40" s="2021"/>
      <c r="Q40" s="2021"/>
      <c r="R40" s="2021"/>
      <c r="S40" s="2021"/>
      <c r="T40" s="2021"/>
      <c r="U40" s="2021"/>
      <c r="V40" s="2021"/>
    </row>
    <row r="41" spans="1:22" ht="18" customHeight="1">
      <c r="A41" s="8" t="s">
        <v>1852</v>
      </c>
      <c r="B41" s="2142"/>
      <c r="C41" s="2143"/>
      <c r="D41" s="2021"/>
      <c r="E41" s="2021"/>
      <c r="F41" s="2021"/>
      <c r="G41" s="2021"/>
      <c r="H41" s="2021"/>
      <c r="I41" s="2022"/>
      <c r="J41" s="2021"/>
      <c r="K41" s="2115"/>
      <c r="L41" s="2020"/>
      <c r="M41" s="2020"/>
      <c r="N41" s="2021"/>
      <c r="O41" s="2022"/>
      <c r="P41" s="2021"/>
      <c r="Q41" s="2021"/>
      <c r="R41" s="2021"/>
      <c r="S41" s="2021"/>
      <c r="T41" s="2021"/>
      <c r="U41" s="2021"/>
      <c r="V41" s="2021"/>
    </row>
    <row r="42" spans="1:22" ht="18" customHeight="1">
      <c r="A42" s="2066" t="s">
        <v>1853</v>
      </c>
      <c r="B42" s="1787" t="s">
        <v>1854</v>
      </c>
      <c r="C42" s="1787" t="s">
        <v>1855</v>
      </c>
      <c r="D42" s="1787" t="s">
        <v>1856</v>
      </c>
      <c r="E42" s="1787" t="s">
        <v>1857</v>
      </c>
      <c r="F42" s="1787" t="s">
        <v>1858</v>
      </c>
      <c r="G42" s="1787" t="s">
        <v>1859</v>
      </c>
      <c r="H42" s="1787" t="s">
        <v>1860</v>
      </c>
      <c r="I42" s="1787" t="s">
        <v>1861</v>
      </c>
      <c r="J42" s="2144" t="s">
        <v>1862</v>
      </c>
      <c r="K42" s="2067" t="s">
        <v>1863</v>
      </c>
      <c r="L42" s="2067" t="s">
        <v>1864</v>
      </c>
      <c r="M42" s="2067" t="s">
        <v>1865</v>
      </c>
      <c r="N42" s="1787" t="s">
        <v>1866</v>
      </c>
      <c r="O42" s="1787" t="s">
        <v>1867</v>
      </c>
      <c r="P42" s="1787" t="s">
        <v>1868</v>
      </c>
      <c r="Q42" s="2066" t="s">
        <v>1869</v>
      </c>
      <c r="R42" s="2066" t="s">
        <v>1870</v>
      </c>
      <c r="S42" s="2021"/>
      <c r="T42" s="2021"/>
      <c r="U42" s="2021"/>
      <c r="V42" s="2021"/>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7" customWidth="1"/>
    <col min="2" max="2" width="15.25" style="1627" customWidth="1"/>
    <col min="3" max="3" width="16.5" style="1627" customWidth="1"/>
    <col min="4" max="4" width="15" style="1627" customWidth="1"/>
    <col min="5" max="5" width="15.375" style="1627" customWidth="1"/>
    <col min="6" max="6" width="25.625" style="1627" bestFit="1" customWidth="1"/>
    <col min="7" max="8" width="7.625" style="1627" customWidth="1"/>
    <col min="9" max="9" width="11.375" style="1627" customWidth="1"/>
    <col min="10" max="10" width="7.625" style="1627" customWidth="1"/>
    <col min="11" max="11" width="10.125" style="1627" customWidth="1"/>
    <col min="12" max="12" width="11.375" style="1627" customWidth="1"/>
    <col min="13" max="13" width="13.875" style="1627" customWidth="1"/>
    <col min="14" max="14" width="7.625" style="1627" customWidth="1"/>
    <col min="15" max="15" width="10.125" style="1627" customWidth="1"/>
    <col min="16" max="16" width="11.375" style="1627" customWidth="1"/>
    <col min="17" max="17" width="13.875" style="1627" customWidth="1"/>
    <col min="18" max="18" width="7.625" style="1627" customWidth="1"/>
    <col min="19" max="19" width="10.125" style="1627" customWidth="1"/>
    <col min="20" max="20" width="11.375" style="1627" customWidth="1"/>
    <col min="21" max="21" width="13.875" style="1627" customWidth="1"/>
    <col min="22" max="22" width="7.625" style="1627" customWidth="1"/>
    <col min="23" max="23" width="10.125" style="1627" customWidth="1"/>
    <col min="24" max="24" width="11.375" style="1627" customWidth="1"/>
    <col min="25" max="25" width="13.875" style="1627" customWidth="1"/>
    <col min="26" max="26" width="11.5" style="1627" customWidth="1"/>
    <col min="27" max="28" width="12.625" style="1627" customWidth="1"/>
    <col min="29" max="29" width="7.625" style="1627" customWidth="1"/>
    <col min="30" max="30" width="10.125" style="1627" customWidth="1"/>
    <col min="31" max="31" width="11.375" style="1627" customWidth="1"/>
    <col min="32" max="32" width="13.875" style="1627" customWidth="1"/>
    <col min="33" max="256" width="9" style="1627"/>
    <col min="257" max="257" width="12.875" style="1627" customWidth="1"/>
    <col min="258" max="258" width="15.25" style="1627" customWidth="1"/>
    <col min="259" max="259" width="16.5" style="1627" customWidth="1"/>
    <col min="260" max="260" width="15" style="1627" customWidth="1"/>
    <col min="261" max="261" width="12.625" style="1627" customWidth="1"/>
    <col min="262" max="262" width="25.625" style="1627" bestFit="1" customWidth="1"/>
    <col min="263" max="264" width="7.625" style="1627" customWidth="1"/>
    <col min="265" max="265" width="11.375" style="1627" customWidth="1"/>
    <col min="266" max="266" width="7.625" style="1627" customWidth="1"/>
    <col min="267" max="267" width="10.125" style="1627" customWidth="1"/>
    <col min="268" max="268" width="11.375" style="1627" customWidth="1"/>
    <col min="269" max="269" width="13.875" style="1627" customWidth="1"/>
    <col min="270" max="270" width="7.625" style="1627" customWidth="1"/>
    <col min="271" max="271" width="10.125" style="1627" customWidth="1"/>
    <col min="272" max="272" width="11.375" style="1627" customWidth="1"/>
    <col min="273" max="273" width="13.875" style="1627" customWidth="1"/>
    <col min="274" max="274" width="7.625" style="1627" customWidth="1"/>
    <col min="275" max="275" width="10.125" style="1627" customWidth="1"/>
    <col min="276" max="276" width="11.375" style="1627" customWidth="1"/>
    <col min="277" max="277" width="13.875" style="1627" customWidth="1"/>
    <col min="278" max="278" width="7.625" style="1627" customWidth="1"/>
    <col min="279" max="279" width="10.125" style="1627" customWidth="1"/>
    <col min="280" max="280" width="11.375" style="1627" customWidth="1"/>
    <col min="281" max="281" width="13.875" style="1627" customWidth="1"/>
    <col min="282" max="282" width="11.5" style="1627" customWidth="1"/>
    <col min="283" max="284" width="12.625" style="1627" customWidth="1"/>
    <col min="285" max="285" width="7.625" style="1627" customWidth="1"/>
    <col min="286" max="286" width="10.125" style="1627" customWidth="1"/>
    <col min="287" max="287" width="11.375" style="1627" customWidth="1"/>
    <col min="288" max="288" width="13.875" style="1627" customWidth="1"/>
    <col min="289" max="512" width="9" style="1627"/>
    <col min="513" max="513" width="12.875" style="1627" customWidth="1"/>
    <col min="514" max="514" width="15.25" style="1627" customWidth="1"/>
    <col min="515" max="515" width="16.5" style="1627" customWidth="1"/>
    <col min="516" max="516" width="15" style="1627" customWidth="1"/>
    <col min="517" max="517" width="12.625" style="1627" customWidth="1"/>
    <col min="518" max="518" width="25.625" style="1627" bestFit="1" customWidth="1"/>
    <col min="519" max="520" width="7.625" style="1627" customWidth="1"/>
    <col min="521" max="521" width="11.375" style="1627" customWidth="1"/>
    <col min="522" max="522" width="7.625" style="1627" customWidth="1"/>
    <col min="523" max="523" width="10.125" style="1627" customWidth="1"/>
    <col min="524" max="524" width="11.375" style="1627" customWidth="1"/>
    <col min="525" max="525" width="13.875" style="1627" customWidth="1"/>
    <col min="526" max="526" width="7.625" style="1627" customWidth="1"/>
    <col min="527" max="527" width="10.125" style="1627" customWidth="1"/>
    <col min="528" max="528" width="11.375" style="1627" customWidth="1"/>
    <col min="529" max="529" width="13.875" style="1627" customWidth="1"/>
    <col min="530" max="530" width="7.625" style="1627" customWidth="1"/>
    <col min="531" max="531" width="10.125" style="1627" customWidth="1"/>
    <col min="532" max="532" width="11.375" style="1627" customWidth="1"/>
    <col min="533" max="533" width="13.875" style="1627" customWidth="1"/>
    <col min="534" max="534" width="7.625" style="1627" customWidth="1"/>
    <col min="535" max="535" width="10.125" style="1627" customWidth="1"/>
    <col min="536" max="536" width="11.375" style="1627" customWidth="1"/>
    <col min="537" max="537" width="13.875" style="1627" customWidth="1"/>
    <col min="538" max="538" width="11.5" style="1627" customWidth="1"/>
    <col min="539" max="540" width="12.625" style="1627" customWidth="1"/>
    <col min="541" max="541" width="7.625" style="1627" customWidth="1"/>
    <col min="542" max="542" width="10.125" style="1627" customWidth="1"/>
    <col min="543" max="543" width="11.375" style="1627" customWidth="1"/>
    <col min="544" max="544" width="13.875" style="1627" customWidth="1"/>
    <col min="545" max="768" width="9" style="1627"/>
    <col min="769" max="769" width="12.875" style="1627" customWidth="1"/>
    <col min="770" max="770" width="15.25" style="1627" customWidth="1"/>
    <col min="771" max="771" width="16.5" style="1627" customWidth="1"/>
    <col min="772" max="772" width="15" style="1627" customWidth="1"/>
    <col min="773" max="773" width="12.625" style="1627" customWidth="1"/>
    <col min="774" max="774" width="25.625" style="1627" bestFit="1" customWidth="1"/>
    <col min="775" max="776" width="7.625" style="1627" customWidth="1"/>
    <col min="777" max="777" width="11.375" style="1627" customWidth="1"/>
    <col min="778" max="778" width="7.625" style="1627" customWidth="1"/>
    <col min="779" max="779" width="10.125" style="1627" customWidth="1"/>
    <col min="780" max="780" width="11.375" style="1627" customWidth="1"/>
    <col min="781" max="781" width="13.875" style="1627" customWidth="1"/>
    <col min="782" max="782" width="7.625" style="1627" customWidth="1"/>
    <col min="783" max="783" width="10.125" style="1627" customWidth="1"/>
    <col min="784" max="784" width="11.375" style="1627" customWidth="1"/>
    <col min="785" max="785" width="13.875" style="1627" customWidth="1"/>
    <col min="786" max="786" width="7.625" style="1627" customWidth="1"/>
    <col min="787" max="787" width="10.125" style="1627" customWidth="1"/>
    <col min="788" max="788" width="11.375" style="1627" customWidth="1"/>
    <col min="789" max="789" width="13.875" style="1627" customWidth="1"/>
    <col min="790" max="790" width="7.625" style="1627" customWidth="1"/>
    <col min="791" max="791" width="10.125" style="1627" customWidth="1"/>
    <col min="792" max="792" width="11.375" style="1627" customWidth="1"/>
    <col min="793" max="793" width="13.875" style="1627" customWidth="1"/>
    <col min="794" max="794" width="11.5" style="1627" customWidth="1"/>
    <col min="795" max="796" width="12.625" style="1627" customWidth="1"/>
    <col min="797" max="797" width="7.625" style="1627" customWidth="1"/>
    <col min="798" max="798" width="10.125" style="1627" customWidth="1"/>
    <col min="799" max="799" width="11.375" style="1627" customWidth="1"/>
    <col min="800" max="800" width="13.875" style="1627" customWidth="1"/>
    <col min="801" max="1024" width="9" style="1627"/>
    <col min="1025" max="1025" width="12.875" style="1627" customWidth="1"/>
    <col min="1026" max="1026" width="15.25" style="1627" customWidth="1"/>
    <col min="1027" max="1027" width="16.5" style="1627" customWidth="1"/>
    <col min="1028" max="1028" width="15" style="1627" customWidth="1"/>
    <col min="1029" max="1029" width="12.625" style="1627" customWidth="1"/>
    <col min="1030" max="1030" width="25.625" style="1627" bestFit="1" customWidth="1"/>
    <col min="1031" max="1032" width="7.625" style="1627" customWidth="1"/>
    <col min="1033" max="1033" width="11.375" style="1627" customWidth="1"/>
    <col min="1034" max="1034" width="7.625" style="1627" customWidth="1"/>
    <col min="1035" max="1035" width="10.125" style="1627" customWidth="1"/>
    <col min="1036" max="1036" width="11.375" style="1627" customWidth="1"/>
    <col min="1037" max="1037" width="13.875" style="1627" customWidth="1"/>
    <col min="1038" max="1038" width="7.625" style="1627" customWidth="1"/>
    <col min="1039" max="1039" width="10.125" style="1627" customWidth="1"/>
    <col min="1040" max="1040" width="11.375" style="1627" customWidth="1"/>
    <col min="1041" max="1041" width="13.875" style="1627" customWidth="1"/>
    <col min="1042" max="1042" width="7.625" style="1627" customWidth="1"/>
    <col min="1043" max="1043" width="10.125" style="1627" customWidth="1"/>
    <col min="1044" max="1044" width="11.375" style="1627" customWidth="1"/>
    <col min="1045" max="1045" width="13.875" style="1627" customWidth="1"/>
    <col min="1046" max="1046" width="7.625" style="1627" customWidth="1"/>
    <col min="1047" max="1047" width="10.125" style="1627" customWidth="1"/>
    <col min="1048" max="1048" width="11.375" style="1627" customWidth="1"/>
    <col min="1049" max="1049" width="13.875" style="1627" customWidth="1"/>
    <col min="1050" max="1050" width="11.5" style="1627" customWidth="1"/>
    <col min="1051" max="1052" width="12.625" style="1627" customWidth="1"/>
    <col min="1053" max="1053" width="7.625" style="1627" customWidth="1"/>
    <col min="1054" max="1054" width="10.125" style="1627" customWidth="1"/>
    <col min="1055" max="1055" width="11.375" style="1627" customWidth="1"/>
    <col min="1056" max="1056" width="13.875" style="1627" customWidth="1"/>
    <col min="1057" max="1280" width="9" style="1627"/>
    <col min="1281" max="1281" width="12.875" style="1627" customWidth="1"/>
    <col min="1282" max="1282" width="15.25" style="1627" customWidth="1"/>
    <col min="1283" max="1283" width="16.5" style="1627" customWidth="1"/>
    <col min="1284" max="1284" width="15" style="1627" customWidth="1"/>
    <col min="1285" max="1285" width="12.625" style="1627" customWidth="1"/>
    <col min="1286" max="1286" width="25.625" style="1627" bestFit="1" customWidth="1"/>
    <col min="1287" max="1288" width="7.625" style="1627" customWidth="1"/>
    <col min="1289" max="1289" width="11.375" style="1627" customWidth="1"/>
    <col min="1290" max="1290" width="7.625" style="1627" customWidth="1"/>
    <col min="1291" max="1291" width="10.125" style="1627" customWidth="1"/>
    <col min="1292" max="1292" width="11.375" style="1627" customWidth="1"/>
    <col min="1293" max="1293" width="13.875" style="1627" customWidth="1"/>
    <col min="1294" max="1294" width="7.625" style="1627" customWidth="1"/>
    <col min="1295" max="1295" width="10.125" style="1627" customWidth="1"/>
    <col min="1296" max="1296" width="11.375" style="1627" customWidth="1"/>
    <col min="1297" max="1297" width="13.875" style="1627" customWidth="1"/>
    <col min="1298" max="1298" width="7.625" style="1627" customWidth="1"/>
    <col min="1299" max="1299" width="10.125" style="1627" customWidth="1"/>
    <col min="1300" max="1300" width="11.375" style="1627" customWidth="1"/>
    <col min="1301" max="1301" width="13.875" style="1627" customWidth="1"/>
    <col min="1302" max="1302" width="7.625" style="1627" customWidth="1"/>
    <col min="1303" max="1303" width="10.125" style="1627" customWidth="1"/>
    <col min="1304" max="1304" width="11.375" style="1627" customWidth="1"/>
    <col min="1305" max="1305" width="13.875" style="1627" customWidth="1"/>
    <col min="1306" max="1306" width="11.5" style="1627" customWidth="1"/>
    <col min="1307" max="1308" width="12.625" style="1627" customWidth="1"/>
    <col min="1309" max="1309" width="7.625" style="1627" customWidth="1"/>
    <col min="1310" max="1310" width="10.125" style="1627" customWidth="1"/>
    <col min="1311" max="1311" width="11.375" style="1627" customWidth="1"/>
    <col min="1312" max="1312" width="13.875" style="1627" customWidth="1"/>
    <col min="1313" max="1536" width="9" style="1627"/>
    <col min="1537" max="1537" width="12.875" style="1627" customWidth="1"/>
    <col min="1538" max="1538" width="15.25" style="1627" customWidth="1"/>
    <col min="1539" max="1539" width="16.5" style="1627" customWidth="1"/>
    <col min="1540" max="1540" width="15" style="1627" customWidth="1"/>
    <col min="1541" max="1541" width="12.625" style="1627" customWidth="1"/>
    <col min="1542" max="1542" width="25.625" style="1627" bestFit="1" customWidth="1"/>
    <col min="1543" max="1544" width="7.625" style="1627" customWidth="1"/>
    <col min="1545" max="1545" width="11.375" style="1627" customWidth="1"/>
    <col min="1546" max="1546" width="7.625" style="1627" customWidth="1"/>
    <col min="1547" max="1547" width="10.125" style="1627" customWidth="1"/>
    <col min="1548" max="1548" width="11.375" style="1627" customWidth="1"/>
    <col min="1549" max="1549" width="13.875" style="1627" customWidth="1"/>
    <col min="1550" max="1550" width="7.625" style="1627" customWidth="1"/>
    <col min="1551" max="1551" width="10.125" style="1627" customWidth="1"/>
    <col min="1552" max="1552" width="11.375" style="1627" customWidth="1"/>
    <col min="1553" max="1553" width="13.875" style="1627" customWidth="1"/>
    <col min="1554" max="1554" width="7.625" style="1627" customWidth="1"/>
    <col min="1555" max="1555" width="10.125" style="1627" customWidth="1"/>
    <col min="1556" max="1556" width="11.375" style="1627" customWidth="1"/>
    <col min="1557" max="1557" width="13.875" style="1627" customWidth="1"/>
    <col min="1558" max="1558" width="7.625" style="1627" customWidth="1"/>
    <col min="1559" max="1559" width="10.125" style="1627" customWidth="1"/>
    <col min="1560" max="1560" width="11.375" style="1627" customWidth="1"/>
    <col min="1561" max="1561" width="13.875" style="1627" customWidth="1"/>
    <col min="1562" max="1562" width="11.5" style="1627" customWidth="1"/>
    <col min="1563" max="1564" width="12.625" style="1627" customWidth="1"/>
    <col min="1565" max="1565" width="7.625" style="1627" customWidth="1"/>
    <col min="1566" max="1566" width="10.125" style="1627" customWidth="1"/>
    <col min="1567" max="1567" width="11.375" style="1627" customWidth="1"/>
    <col min="1568" max="1568" width="13.875" style="1627" customWidth="1"/>
    <col min="1569" max="1792" width="9" style="1627"/>
    <col min="1793" max="1793" width="12.875" style="1627" customWidth="1"/>
    <col min="1794" max="1794" width="15.25" style="1627" customWidth="1"/>
    <col min="1795" max="1795" width="16.5" style="1627" customWidth="1"/>
    <col min="1796" max="1796" width="15" style="1627" customWidth="1"/>
    <col min="1797" max="1797" width="12.625" style="1627" customWidth="1"/>
    <col min="1798" max="1798" width="25.625" style="1627" bestFit="1" customWidth="1"/>
    <col min="1799" max="1800" width="7.625" style="1627" customWidth="1"/>
    <col min="1801" max="1801" width="11.375" style="1627" customWidth="1"/>
    <col min="1802" max="1802" width="7.625" style="1627" customWidth="1"/>
    <col min="1803" max="1803" width="10.125" style="1627" customWidth="1"/>
    <col min="1804" max="1804" width="11.375" style="1627" customWidth="1"/>
    <col min="1805" max="1805" width="13.875" style="1627" customWidth="1"/>
    <col min="1806" max="1806" width="7.625" style="1627" customWidth="1"/>
    <col min="1807" max="1807" width="10.125" style="1627" customWidth="1"/>
    <col min="1808" max="1808" width="11.375" style="1627" customWidth="1"/>
    <col min="1809" max="1809" width="13.875" style="1627" customWidth="1"/>
    <col min="1810" max="1810" width="7.625" style="1627" customWidth="1"/>
    <col min="1811" max="1811" width="10.125" style="1627" customWidth="1"/>
    <col min="1812" max="1812" width="11.375" style="1627" customWidth="1"/>
    <col min="1813" max="1813" width="13.875" style="1627" customWidth="1"/>
    <col min="1814" max="1814" width="7.625" style="1627" customWidth="1"/>
    <col min="1815" max="1815" width="10.125" style="1627" customWidth="1"/>
    <col min="1816" max="1816" width="11.375" style="1627" customWidth="1"/>
    <col min="1817" max="1817" width="13.875" style="1627" customWidth="1"/>
    <col min="1818" max="1818" width="11.5" style="1627" customWidth="1"/>
    <col min="1819" max="1820" width="12.625" style="1627" customWidth="1"/>
    <col min="1821" max="1821" width="7.625" style="1627" customWidth="1"/>
    <col min="1822" max="1822" width="10.125" style="1627" customWidth="1"/>
    <col min="1823" max="1823" width="11.375" style="1627" customWidth="1"/>
    <col min="1824" max="1824" width="13.875" style="1627" customWidth="1"/>
    <col min="1825" max="2048" width="9" style="1627"/>
    <col min="2049" max="2049" width="12.875" style="1627" customWidth="1"/>
    <col min="2050" max="2050" width="15.25" style="1627" customWidth="1"/>
    <col min="2051" max="2051" width="16.5" style="1627" customWidth="1"/>
    <col min="2052" max="2052" width="15" style="1627" customWidth="1"/>
    <col min="2053" max="2053" width="12.625" style="1627" customWidth="1"/>
    <col min="2054" max="2054" width="25.625" style="1627" bestFit="1" customWidth="1"/>
    <col min="2055" max="2056" width="7.625" style="1627" customWidth="1"/>
    <col min="2057" max="2057" width="11.375" style="1627" customWidth="1"/>
    <col min="2058" max="2058" width="7.625" style="1627" customWidth="1"/>
    <col min="2059" max="2059" width="10.125" style="1627" customWidth="1"/>
    <col min="2060" max="2060" width="11.375" style="1627" customWidth="1"/>
    <col min="2061" max="2061" width="13.875" style="1627" customWidth="1"/>
    <col min="2062" max="2062" width="7.625" style="1627" customWidth="1"/>
    <col min="2063" max="2063" width="10.125" style="1627" customWidth="1"/>
    <col min="2064" max="2064" width="11.375" style="1627" customWidth="1"/>
    <col min="2065" max="2065" width="13.875" style="1627" customWidth="1"/>
    <col min="2066" max="2066" width="7.625" style="1627" customWidth="1"/>
    <col min="2067" max="2067" width="10.125" style="1627" customWidth="1"/>
    <col min="2068" max="2068" width="11.375" style="1627" customWidth="1"/>
    <col min="2069" max="2069" width="13.875" style="1627" customWidth="1"/>
    <col min="2070" max="2070" width="7.625" style="1627" customWidth="1"/>
    <col min="2071" max="2071" width="10.125" style="1627" customWidth="1"/>
    <col min="2072" max="2072" width="11.375" style="1627" customWidth="1"/>
    <col min="2073" max="2073" width="13.875" style="1627" customWidth="1"/>
    <col min="2074" max="2074" width="11.5" style="1627" customWidth="1"/>
    <col min="2075" max="2076" width="12.625" style="1627" customWidth="1"/>
    <col min="2077" max="2077" width="7.625" style="1627" customWidth="1"/>
    <col min="2078" max="2078" width="10.125" style="1627" customWidth="1"/>
    <col min="2079" max="2079" width="11.375" style="1627" customWidth="1"/>
    <col min="2080" max="2080" width="13.875" style="1627" customWidth="1"/>
    <col min="2081" max="2304" width="9" style="1627"/>
    <col min="2305" max="2305" width="12.875" style="1627" customWidth="1"/>
    <col min="2306" max="2306" width="15.25" style="1627" customWidth="1"/>
    <col min="2307" max="2307" width="16.5" style="1627" customWidth="1"/>
    <col min="2308" max="2308" width="15" style="1627" customWidth="1"/>
    <col min="2309" max="2309" width="12.625" style="1627" customWidth="1"/>
    <col min="2310" max="2310" width="25.625" style="1627" bestFit="1" customWidth="1"/>
    <col min="2311" max="2312" width="7.625" style="1627" customWidth="1"/>
    <col min="2313" max="2313" width="11.375" style="1627" customWidth="1"/>
    <col min="2314" max="2314" width="7.625" style="1627" customWidth="1"/>
    <col min="2315" max="2315" width="10.125" style="1627" customWidth="1"/>
    <col min="2316" max="2316" width="11.375" style="1627" customWidth="1"/>
    <col min="2317" max="2317" width="13.875" style="1627" customWidth="1"/>
    <col min="2318" max="2318" width="7.625" style="1627" customWidth="1"/>
    <col min="2319" max="2319" width="10.125" style="1627" customWidth="1"/>
    <col min="2320" max="2320" width="11.375" style="1627" customWidth="1"/>
    <col min="2321" max="2321" width="13.875" style="1627" customWidth="1"/>
    <col min="2322" max="2322" width="7.625" style="1627" customWidth="1"/>
    <col min="2323" max="2323" width="10.125" style="1627" customWidth="1"/>
    <col min="2324" max="2324" width="11.375" style="1627" customWidth="1"/>
    <col min="2325" max="2325" width="13.875" style="1627" customWidth="1"/>
    <col min="2326" max="2326" width="7.625" style="1627" customWidth="1"/>
    <col min="2327" max="2327" width="10.125" style="1627" customWidth="1"/>
    <col min="2328" max="2328" width="11.375" style="1627" customWidth="1"/>
    <col min="2329" max="2329" width="13.875" style="1627" customWidth="1"/>
    <col min="2330" max="2330" width="11.5" style="1627" customWidth="1"/>
    <col min="2331" max="2332" width="12.625" style="1627" customWidth="1"/>
    <col min="2333" max="2333" width="7.625" style="1627" customWidth="1"/>
    <col min="2334" max="2334" width="10.125" style="1627" customWidth="1"/>
    <col min="2335" max="2335" width="11.375" style="1627" customWidth="1"/>
    <col min="2336" max="2336" width="13.875" style="1627" customWidth="1"/>
    <col min="2337" max="2560" width="9" style="1627"/>
    <col min="2561" max="2561" width="12.875" style="1627" customWidth="1"/>
    <col min="2562" max="2562" width="15.25" style="1627" customWidth="1"/>
    <col min="2563" max="2563" width="16.5" style="1627" customWidth="1"/>
    <col min="2564" max="2564" width="15" style="1627" customWidth="1"/>
    <col min="2565" max="2565" width="12.625" style="1627" customWidth="1"/>
    <col min="2566" max="2566" width="25.625" style="1627" bestFit="1" customWidth="1"/>
    <col min="2567" max="2568" width="7.625" style="1627" customWidth="1"/>
    <col min="2569" max="2569" width="11.375" style="1627" customWidth="1"/>
    <col min="2570" max="2570" width="7.625" style="1627" customWidth="1"/>
    <col min="2571" max="2571" width="10.125" style="1627" customWidth="1"/>
    <col min="2572" max="2572" width="11.375" style="1627" customWidth="1"/>
    <col min="2573" max="2573" width="13.875" style="1627" customWidth="1"/>
    <col min="2574" max="2574" width="7.625" style="1627" customWidth="1"/>
    <col min="2575" max="2575" width="10.125" style="1627" customWidth="1"/>
    <col min="2576" max="2576" width="11.375" style="1627" customWidth="1"/>
    <col min="2577" max="2577" width="13.875" style="1627" customWidth="1"/>
    <col min="2578" max="2578" width="7.625" style="1627" customWidth="1"/>
    <col min="2579" max="2579" width="10.125" style="1627" customWidth="1"/>
    <col min="2580" max="2580" width="11.375" style="1627" customWidth="1"/>
    <col min="2581" max="2581" width="13.875" style="1627" customWidth="1"/>
    <col min="2582" max="2582" width="7.625" style="1627" customWidth="1"/>
    <col min="2583" max="2583" width="10.125" style="1627" customWidth="1"/>
    <col min="2584" max="2584" width="11.375" style="1627" customWidth="1"/>
    <col min="2585" max="2585" width="13.875" style="1627" customWidth="1"/>
    <col min="2586" max="2586" width="11.5" style="1627" customWidth="1"/>
    <col min="2587" max="2588" width="12.625" style="1627" customWidth="1"/>
    <col min="2589" max="2589" width="7.625" style="1627" customWidth="1"/>
    <col min="2590" max="2590" width="10.125" style="1627" customWidth="1"/>
    <col min="2591" max="2591" width="11.375" style="1627" customWidth="1"/>
    <col min="2592" max="2592" width="13.875" style="1627" customWidth="1"/>
    <col min="2593" max="2816" width="9" style="1627"/>
    <col min="2817" max="2817" width="12.875" style="1627" customWidth="1"/>
    <col min="2818" max="2818" width="15.25" style="1627" customWidth="1"/>
    <col min="2819" max="2819" width="16.5" style="1627" customWidth="1"/>
    <col min="2820" max="2820" width="15" style="1627" customWidth="1"/>
    <col min="2821" max="2821" width="12.625" style="1627" customWidth="1"/>
    <col min="2822" max="2822" width="25.625" style="1627" bestFit="1" customWidth="1"/>
    <col min="2823" max="2824" width="7.625" style="1627" customWidth="1"/>
    <col min="2825" max="2825" width="11.375" style="1627" customWidth="1"/>
    <col min="2826" max="2826" width="7.625" style="1627" customWidth="1"/>
    <col min="2827" max="2827" width="10.125" style="1627" customWidth="1"/>
    <col min="2828" max="2828" width="11.375" style="1627" customWidth="1"/>
    <col min="2829" max="2829" width="13.875" style="1627" customWidth="1"/>
    <col min="2830" max="2830" width="7.625" style="1627" customWidth="1"/>
    <col min="2831" max="2831" width="10.125" style="1627" customWidth="1"/>
    <col min="2832" max="2832" width="11.375" style="1627" customWidth="1"/>
    <col min="2833" max="2833" width="13.875" style="1627" customWidth="1"/>
    <col min="2834" max="2834" width="7.625" style="1627" customWidth="1"/>
    <col min="2835" max="2835" width="10.125" style="1627" customWidth="1"/>
    <col min="2836" max="2836" width="11.375" style="1627" customWidth="1"/>
    <col min="2837" max="2837" width="13.875" style="1627" customWidth="1"/>
    <col min="2838" max="2838" width="7.625" style="1627" customWidth="1"/>
    <col min="2839" max="2839" width="10.125" style="1627" customWidth="1"/>
    <col min="2840" max="2840" width="11.375" style="1627" customWidth="1"/>
    <col min="2841" max="2841" width="13.875" style="1627" customWidth="1"/>
    <col min="2842" max="2842" width="11.5" style="1627" customWidth="1"/>
    <col min="2843" max="2844" width="12.625" style="1627" customWidth="1"/>
    <col min="2845" max="2845" width="7.625" style="1627" customWidth="1"/>
    <col min="2846" max="2846" width="10.125" style="1627" customWidth="1"/>
    <col min="2847" max="2847" width="11.375" style="1627" customWidth="1"/>
    <col min="2848" max="2848" width="13.875" style="1627" customWidth="1"/>
    <col min="2849" max="3072" width="9" style="1627"/>
    <col min="3073" max="3073" width="12.875" style="1627" customWidth="1"/>
    <col min="3074" max="3074" width="15.25" style="1627" customWidth="1"/>
    <col min="3075" max="3075" width="16.5" style="1627" customWidth="1"/>
    <col min="3076" max="3076" width="15" style="1627" customWidth="1"/>
    <col min="3077" max="3077" width="12.625" style="1627" customWidth="1"/>
    <col min="3078" max="3078" width="25.625" style="1627" bestFit="1" customWidth="1"/>
    <col min="3079" max="3080" width="7.625" style="1627" customWidth="1"/>
    <col min="3081" max="3081" width="11.375" style="1627" customWidth="1"/>
    <col min="3082" max="3082" width="7.625" style="1627" customWidth="1"/>
    <col min="3083" max="3083" width="10.125" style="1627" customWidth="1"/>
    <col min="3084" max="3084" width="11.375" style="1627" customWidth="1"/>
    <col min="3085" max="3085" width="13.875" style="1627" customWidth="1"/>
    <col min="3086" max="3086" width="7.625" style="1627" customWidth="1"/>
    <col min="3087" max="3087" width="10.125" style="1627" customWidth="1"/>
    <col min="3088" max="3088" width="11.375" style="1627" customWidth="1"/>
    <col min="3089" max="3089" width="13.875" style="1627" customWidth="1"/>
    <col min="3090" max="3090" width="7.625" style="1627" customWidth="1"/>
    <col min="3091" max="3091" width="10.125" style="1627" customWidth="1"/>
    <col min="3092" max="3092" width="11.375" style="1627" customWidth="1"/>
    <col min="3093" max="3093" width="13.875" style="1627" customWidth="1"/>
    <col min="3094" max="3094" width="7.625" style="1627" customWidth="1"/>
    <col min="3095" max="3095" width="10.125" style="1627" customWidth="1"/>
    <col min="3096" max="3096" width="11.375" style="1627" customWidth="1"/>
    <col min="3097" max="3097" width="13.875" style="1627" customWidth="1"/>
    <col min="3098" max="3098" width="11.5" style="1627" customWidth="1"/>
    <col min="3099" max="3100" width="12.625" style="1627" customWidth="1"/>
    <col min="3101" max="3101" width="7.625" style="1627" customWidth="1"/>
    <col min="3102" max="3102" width="10.125" style="1627" customWidth="1"/>
    <col min="3103" max="3103" width="11.375" style="1627" customWidth="1"/>
    <col min="3104" max="3104" width="13.875" style="1627" customWidth="1"/>
    <col min="3105" max="3328" width="9" style="1627"/>
    <col min="3329" max="3329" width="12.875" style="1627" customWidth="1"/>
    <col min="3330" max="3330" width="15.25" style="1627" customWidth="1"/>
    <col min="3331" max="3331" width="16.5" style="1627" customWidth="1"/>
    <col min="3332" max="3332" width="15" style="1627" customWidth="1"/>
    <col min="3333" max="3333" width="12.625" style="1627" customWidth="1"/>
    <col min="3334" max="3334" width="25.625" style="1627" bestFit="1" customWidth="1"/>
    <col min="3335" max="3336" width="7.625" style="1627" customWidth="1"/>
    <col min="3337" max="3337" width="11.375" style="1627" customWidth="1"/>
    <col min="3338" max="3338" width="7.625" style="1627" customWidth="1"/>
    <col min="3339" max="3339" width="10.125" style="1627" customWidth="1"/>
    <col min="3340" max="3340" width="11.375" style="1627" customWidth="1"/>
    <col min="3341" max="3341" width="13.875" style="1627" customWidth="1"/>
    <col min="3342" max="3342" width="7.625" style="1627" customWidth="1"/>
    <col min="3343" max="3343" width="10.125" style="1627" customWidth="1"/>
    <col min="3344" max="3344" width="11.375" style="1627" customWidth="1"/>
    <col min="3345" max="3345" width="13.875" style="1627" customWidth="1"/>
    <col min="3346" max="3346" width="7.625" style="1627" customWidth="1"/>
    <col min="3347" max="3347" width="10.125" style="1627" customWidth="1"/>
    <col min="3348" max="3348" width="11.375" style="1627" customWidth="1"/>
    <col min="3349" max="3349" width="13.875" style="1627" customWidth="1"/>
    <col min="3350" max="3350" width="7.625" style="1627" customWidth="1"/>
    <col min="3351" max="3351" width="10.125" style="1627" customWidth="1"/>
    <col min="3352" max="3352" width="11.375" style="1627" customWidth="1"/>
    <col min="3353" max="3353" width="13.875" style="1627" customWidth="1"/>
    <col min="3354" max="3354" width="11.5" style="1627" customWidth="1"/>
    <col min="3355" max="3356" width="12.625" style="1627" customWidth="1"/>
    <col min="3357" max="3357" width="7.625" style="1627" customWidth="1"/>
    <col min="3358" max="3358" width="10.125" style="1627" customWidth="1"/>
    <col min="3359" max="3359" width="11.375" style="1627" customWidth="1"/>
    <col min="3360" max="3360" width="13.875" style="1627" customWidth="1"/>
    <col min="3361" max="3584" width="9" style="1627"/>
    <col min="3585" max="3585" width="12.875" style="1627" customWidth="1"/>
    <col min="3586" max="3586" width="15.25" style="1627" customWidth="1"/>
    <col min="3587" max="3587" width="16.5" style="1627" customWidth="1"/>
    <col min="3588" max="3588" width="15" style="1627" customWidth="1"/>
    <col min="3589" max="3589" width="12.625" style="1627" customWidth="1"/>
    <col min="3590" max="3590" width="25.625" style="1627" bestFit="1" customWidth="1"/>
    <col min="3591" max="3592" width="7.625" style="1627" customWidth="1"/>
    <col min="3593" max="3593" width="11.375" style="1627" customWidth="1"/>
    <col min="3594" max="3594" width="7.625" style="1627" customWidth="1"/>
    <col min="3595" max="3595" width="10.125" style="1627" customWidth="1"/>
    <col min="3596" max="3596" width="11.375" style="1627" customWidth="1"/>
    <col min="3597" max="3597" width="13.875" style="1627" customWidth="1"/>
    <col min="3598" max="3598" width="7.625" style="1627" customWidth="1"/>
    <col min="3599" max="3599" width="10.125" style="1627" customWidth="1"/>
    <col min="3600" max="3600" width="11.375" style="1627" customWidth="1"/>
    <col min="3601" max="3601" width="13.875" style="1627" customWidth="1"/>
    <col min="3602" max="3602" width="7.625" style="1627" customWidth="1"/>
    <col min="3603" max="3603" width="10.125" style="1627" customWidth="1"/>
    <col min="3604" max="3604" width="11.375" style="1627" customWidth="1"/>
    <col min="3605" max="3605" width="13.875" style="1627" customWidth="1"/>
    <col min="3606" max="3606" width="7.625" style="1627" customWidth="1"/>
    <col min="3607" max="3607" width="10.125" style="1627" customWidth="1"/>
    <col min="3608" max="3608" width="11.375" style="1627" customWidth="1"/>
    <col min="3609" max="3609" width="13.875" style="1627" customWidth="1"/>
    <col min="3610" max="3610" width="11.5" style="1627" customWidth="1"/>
    <col min="3611" max="3612" width="12.625" style="1627" customWidth="1"/>
    <col min="3613" max="3613" width="7.625" style="1627" customWidth="1"/>
    <col min="3614" max="3614" width="10.125" style="1627" customWidth="1"/>
    <col min="3615" max="3615" width="11.375" style="1627" customWidth="1"/>
    <col min="3616" max="3616" width="13.875" style="1627" customWidth="1"/>
    <col min="3617" max="3840" width="9" style="1627"/>
    <col min="3841" max="3841" width="12.875" style="1627" customWidth="1"/>
    <col min="3842" max="3842" width="15.25" style="1627" customWidth="1"/>
    <col min="3843" max="3843" width="16.5" style="1627" customWidth="1"/>
    <col min="3844" max="3844" width="15" style="1627" customWidth="1"/>
    <col min="3845" max="3845" width="12.625" style="1627" customWidth="1"/>
    <col min="3846" max="3846" width="25.625" style="1627" bestFit="1" customWidth="1"/>
    <col min="3847" max="3848" width="7.625" style="1627" customWidth="1"/>
    <col min="3849" max="3849" width="11.375" style="1627" customWidth="1"/>
    <col min="3850" max="3850" width="7.625" style="1627" customWidth="1"/>
    <col min="3851" max="3851" width="10.125" style="1627" customWidth="1"/>
    <col min="3852" max="3852" width="11.375" style="1627" customWidth="1"/>
    <col min="3853" max="3853" width="13.875" style="1627" customWidth="1"/>
    <col min="3854" max="3854" width="7.625" style="1627" customWidth="1"/>
    <col min="3855" max="3855" width="10.125" style="1627" customWidth="1"/>
    <col min="3856" max="3856" width="11.375" style="1627" customWidth="1"/>
    <col min="3857" max="3857" width="13.875" style="1627" customWidth="1"/>
    <col min="3858" max="3858" width="7.625" style="1627" customWidth="1"/>
    <col min="3859" max="3859" width="10.125" style="1627" customWidth="1"/>
    <col min="3860" max="3860" width="11.375" style="1627" customWidth="1"/>
    <col min="3861" max="3861" width="13.875" style="1627" customWidth="1"/>
    <col min="3862" max="3862" width="7.625" style="1627" customWidth="1"/>
    <col min="3863" max="3863" width="10.125" style="1627" customWidth="1"/>
    <col min="3864" max="3864" width="11.375" style="1627" customWidth="1"/>
    <col min="3865" max="3865" width="13.875" style="1627" customWidth="1"/>
    <col min="3866" max="3866" width="11.5" style="1627" customWidth="1"/>
    <col min="3867" max="3868" width="12.625" style="1627" customWidth="1"/>
    <col min="3869" max="3869" width="7.625" style="1627" customWidth="1"/>
    <col min="3870" max="3870" width="10.125" style="1627" customWidth="1"/>
    <col min="3871" max="3871" width="11.375" style="1627" customWidth="1"/>
    <col min="3872" max="3872" width="13.875" style="1627" customWidth="1"/>
    <col min="3873" max="4096" width="9" style="1627"/>
    <col min="4097" max="4097" width="12.875" style="1627" customWidth="1"/>
    <col min="4098" max="4098" width="15.25" style="1627" customWidth="1"/>
    <col min="4099" max="4099" width="16.5" style="1627" customWidth="1"/>
    <col min="4100" max="4100" width="15" style="1627" customWidth="1"/>
    <col min="4101" max="4101" width="12.625" style="1627" customWidth="1"/>
    <col min="4102" max="4102" width="25.625" style="1627" bestFit="1" customWidth="1"/>
    <col min="4103" max="4104" width="7.625" style="1627" customWidth="1"/>
    <col min="4105" max="4105" width="11.375" style="1627" customWidth="1"/>
    <col min="4106" max="4106" width="7.625" style="1627" customWidth="1"/>
    <col min="4107" max="4107" width="10.125" style="1627" customWidth="1"/>
    <col min="4108" max="4108" width="11.375" style="1627" customWidth="1"/>
    <col min="4109" max="4109" width="13.875" style="1627" customWidth="1"/>
    <col min="4110" max="4110" width="7.625" style="1627" customWidth="1"/>
    <col min="4111" max="4111" width="10.125" style="1627" customWidth="1"/>
    <col min="4112" max="4112" width="11.375" style="1627" customWidth="1"/>
    <col min="4113" max="4113" width="13.875" style="1627" customWidth="1"/>
    <col min="4114" max="4114" width="7.625" style="1627" customWidth="1"/>
    <col min="4115" max="4115" width="10.125" style="1627" customWidth="1"/>
    <col min="4116" max="4116" width="11.375" style="1627" customWidth="1"/>
    <col min="4117" max="4117" width="13.875" style="1627" customWidth="1"/>
    <col min="4118" max="4118" width="7.625" style="1627" customWidth="1"/>
    <col min="4119" max="4119" width="10.125" style="1627" customWidth="1"/>
    <col min="4120" max="4120" width="11.375" style="1627" customWidth="1"/>
    <col min="4121" max="4121" width="13.875" style="1627" customWidth="1"/>
    <col min="4122" max="4122" width="11.5" style="1627" customWidth="1"/>
    <col min="4123" max="4124" width="12.625" style="1627" customWidth="1"/>
    <col min="4125" max="4125" width="7.625" style="1627" customWidth="1"/>
    <col min="4126" max="4126" width="10.125" style="1627" customWidth="1"/>
    <col min="4127" max="4127" width="11.375" style="1627" customWidth="1"/>
    <col min="4128" max="4128" width="13.875" style="1627" customWidth="1"/>
    <col min="4129" max="4352" width="9" style="1627"/>
    <col min="4353" max="4353" width="12.875" style="1627" customWidth="1"/>
    <col min="4354" max="4354" width="15.25" style="1627" customWidth="1"/>
    <col min="4355" max="4355" width="16.5" style="1627" customWidth="1"/>
    <col min="4356" max="4356" width="15" style="1627" customWidth="1"/>
    <col min="4357" max="4357" width="12.625" style="1627" customWidth="1"/>
    <col min="4358" max="4358" width="25.625" style="1627" bestFit="1" customWidth="1"/>
    <col min="4359" max="4360" width="7.625" style="1627" customWidth="1"/>
    <col min="4361" max="4361" width="11.375" style="1627" customWidth="1"/>
    <col min="4362" max="4362" width="7.625" style="1627" customWidth="1"/>
    <col min="4363" max="4363" width="10.125" style="1627" customWidth="1"/>
    <col min="4364" max="4364" width="11.375" style="1627" customWidth="1"/>
    <col min="4365" max="4365" width="13.875" style="1627" customWidth="1"/>
    <col min="4366" max="4366" width="7.625" style="1627" customWidth="1"/>
    <col min="4367" max="4367" width="10.125" style="1627" customWidth="1"/>
    <col min="4368" max="4368" width="11.375" style="1627" customWidth="1"/>
    <col min="4369" max="4369" width="13.875" style="1627" customWidth="1"/>
    <col min="4370" max="4370" width="7.625" style="1627" customWidth="1"/>
    <col min="4371" max="4371" width="10.125" style="1627" customWidth="1"/>
    <col min="4372" max="4372" width="11.375" style="1627" customWidth="1"/>
    <col min="4373" max="4373" width="13.875" style="1627" customWidth="1"/>
    <col min="4374" max="4374" width="7.625" style="1627" customWidth="1"/>
    <col min="4375" max="4375" width="10.125" style="1627" customWidth="1"/>
    <col min="4376" max="4376" width="11.375" style="1627" customWidth="1"/>
    <col min="4377" max="4377" width="13.875" style="1627" customWidth="1"/>
    <col min="4378" max="4378" width="11.5" style="1627" customWidth="1"/>
    <col min="4379" max="4380" width="12.625" style="1627" customWidth="1"/>
    <col min="4381" max="4381" width="7.625" style="1627" customWidth="1"/>
    <col min="4382" max="4382" width="10.125" style="1627" customWidth="1"/>
    <col min="4383" max="4383" width="11.375" style="1627" customWidth="1"/>
    <col min="4384" max="4384" width="13.875" style="1627" customWidth="1"/>
    <col min="4385" max="4608" width="9" style="1627"/>
    <col min="4609" max="4609" width="12.875" style="1627" customWidth="1"/>
    <col min="4610" max="4610" width="15.25" style="1627" customWidth="1"/>
    <col min="4611" max="4611" width="16.5" style="1627" customWidth="1"/>
    <col min="4612" max="4612" width="15" style="1627" customWidth="1"/>
    <col min="4613" max="4613" width="12.625" style="1627" customWidth="1"/>
    <col min="4614" max="4614" width="25.625" style="1627" bestFit="1" customWidth="1"/>
    <col min="4615" max="4616" width="7.625" style="1627" customWidth="1"/>
    <col min="4617" max="4617" width="11.375" style="1627" customWidth="1"/>
    <col min="4618" max="4618" width="7.625" style="1627" customWidth="1"/>
    <col min="4619" max="4619" width="10.125" style="1627" customWidth="1"/>
    <col min="4620" max="4620" width="11.375" style="1627" customWidth="1"/>
    <col min="4621" max="4621" width="13.875" style="1627" customWidth="1"/>
    <col min="4622" max="4622" width="7.625" style="1627" customWidth="1"/>
    <col min="4623" max="4623" width="10.125" style="1627" customWidth="1"/>
    <col min="4624" max="4624" width="11.375" style="1627" customWidth="1"/>
    <col min="4625" max="4625" width="13.875" style="1627" customWidth="1"/>
    <col min="4626" max="4626" width="7.625" style="1627" customWidth="1"/>
    <col min="4627" max="4627" width="10.125" style="1627" customWidth="1"/>
    <col min="4628" max="4628" width="11.375" style="1627" customWidth="1"/>
    <col min="4629" max="4629" width="13.875" style="1627" customWidth="1"/>
    <col min="4630" max="4630" width="7.625" style="1627" customWidth="1"/>
    <col min="4631" max="4631" width="10.125" style="1627" customWidth="1"/>
    <col min="4632" max="4632" width="11.375" style="1627" customWidth="1"/>
    <col min="4633" max="4633" width="13.875" style="1627" customWidth="1"/>
    <col min="4634" max="4634" width="11.5" style="1627" customWidth="1"/>
    <col min="4635" max="4636" width="12.625" style="1627" customWidth="1"/>
    <col min="4637" max="4637" width="7.625" style="1627" customWidth="1"/>
    <col min="4638" max="4638" width="10.125" style="1627" customWidth="1"/>
    <col min="4639" max="4639" width="11.375" style="1627" customWidth="1"/>
    <col min="4640" max="4640" width="13.875" style="1627" customWidth="1"/>
    <col min="4641" max="4864" width="9" style="1627"/>
    <col min="4865" max="4865" width="12.875" style="1627" customWidth="1"/>
    <col min="4866" max="4866" width="15.25" style="1627" customWidth="1"/>
    <col min="4867" max="4867" width="16.5" style="1627" customWidth="1"/>
    <col min="4868" max="4868" width="15" style="1627" customWidth="1"/>
    <col min="4869" max="4869" width="12.625" style="1627" customWidth="1"/>
    <col min="4870" max="4870" width="25.625" style="1627" bestFit="1" customWidth="1"/>
    <col min="4871" max="4872" width="7.625" style="1627" customWidth="1"/>
    <col min="4873" max="4873" width="11.375" style="1627" customWidth="1"/>
    <col min="4874" max="4874" width="7.625" style="1627" customWidth="1"/>
    <col min="4875" max="4875" width="10.125" style="1627" customWidth="1"/>
    <col min="4876" max="4876" width="11.375" style="1627" customWidth="1"/>
    <col min="4877" max="4877" width="13.875" style="1627" customWidth="1"/>
    <col min="4878" max="4878" width="7.625" style="1627" customWidth="1"/>
    <col min="4879" max="4879" width="10.125" style="1627" customWidth="1"/>
    <col min="4880" max="4880" width="11.375" style="1627" customWidth="1"/>
    <col min="4881" max="4881" width="13.875" style="1627" customWidth="1"/>
    <col min="4882" max="4882" width="7.625" style="1627" customWidth="1"/>
    <col min="4883" max="4883" width="10.125" style="1627" customWidth="1"/>
    <col min="4884" max="4884" width="11.375" style="1627" customWidth="1"/>
    <col min="4885" max="4885" width="13.875" style="1627" customWidth="1"/>
    <col min="4886" max="4886" width="7.625" style="1627" customWidth="1"/>
    <col min="4887" max="4887" width="10.125" style="1627" customWidth="1"/>
    <col min="4888" max="4888" width="11.375" style="1627" customWidth="1"/>
    <col min="4889" max="4889" width="13.875" style="1627" customWidth="1"/>
    <col min="4890" max="4890" width="11.5" style="1627" customWidth="1"/>
    <col min="4891" max="4892" width="12.625" style="1627" customWidth="1"/>
    <col min="4893" max="4893" width="7.625" style="1627" customWidth="1"/>
    <col min="4894" max="4894" width="10.125" style="1627" customWidth="1"/>
    <col min="4895" max="4895" width="11.375" style="1627" customWidth="1"/>
    <col min="4896" max="4896" width="13.875" style="1627" customWidth="1"/>
    <col min="4897" max="5120" width="9" style="1627"/>
    <col min="5121" max="5121" width="12.875" style="1627" customWidth="1"/>
    <col min="5122" max="5122" width="15.25" style="1627" customWidth="1"/>
    <col min="5123" max="5123" width="16.5" style="1627" customWidth="1"/>
    <col min="5124" max="5124" width="15" style="1627" customWidth="1"/>
    <col min="5125" max="5125" width="12.625" style="1627" customWidth="1"/>
    <col min="5126" max="5126" width="25.625" style="1627" bestFit="1" customWidth="1"/>
    <col min="5127" max="5128" width="7.625" style="1627" customWidth="1"/>
    <col min="5129" max="5129" width="11.375" style="1627" customWidth="1"/>
    <col min="5130" max="5130" width="7.625" style="1627" customWidth="1"/>
    <col min="5131" max="5131" width="10.125" style="1627" customWidth="1"/>
    <col min="5132" max="5132" width="11.375" style="1627" customWidth="1"/>
    <col min="5133" max="5133" width="13.875" style="1627" customWidth="1"/>
    <col min="5134" max="5134" width="7.625" style="1627" customWidth="1"/>
    <col min="5135" max="5135" width="10.125" style="1627" customWidth="1"/>
    <col min="5136" max="5136" width="11.375" style="1627" customWidth="1"/>
    <col min="5137" max="5137" width="13.875" style="1627" customWidth="1"/>
    <col min="5138" max="5138" width="7.625" style="1627" customWidth="1"/>
    <col min="5139" max="5139" width="10.125" style="1627" customWidth="1"/>
    <col min="5140" max="5140" width="11.375" style="1627" customWidth="1"/>
    <col min="5141" max="5141" width="13.875" style="1627" customWidth="1"/>
    <col min="5142" max="5142" width="7.625" style="1627" customWidth="1"/>
    <col min="5143" max="5143" width="10.125" style="1627" customWidth="1"/>
    <col min="5144" max="5144" width="11.375" style="1627" customWidth="1"/>
    <col min="5145" max="5145" width="13.875" style="1627" customWidth="1"/>
    <col min="5146" max="5146" width="11.5" style="1627" customWidth="1"/>
    <col min="5147" max="5148" width="12.625" style="1627" customWidth="1"/>
    <col min="5149" max="5149" width="7.625" style="1627" customWidth="1"/>
    <col min="5150" max="5150" width="10.125" style="1627" customWidth="1"/>
    <col min="5151" max="5151" width="11.375" style="1627" customWidth="1"/>
    <col min="5152" max="5152" width="13.875" style="1627" customWidth="1"/>
    <col min="5153" max="5376" width="9" style="1627"/>
    <col min="5377" max="5377" width="12.875" style="1627" customWidth="1"/>
    <col min="5378" max="5378" width="15.25" style="1627" customWidth="1"/>
    <col min="5379" max="5379" width="16.5" style="1627" customWidth="1"/>
    <col min="5380" max="5380" width="15" style="1627" customWidth="1"/>
    <col min="5381" max="5381" width="12.625" style="1627" customWidth="1"/>
    <col min="5382" max="5382" width="25.625" style="1627" bestFit="1" customWidth="1"/>
    <col min="5383" max="5384" width="7.625" style="1627" customWidth="1"/>
    <col min="5385" max="5385" width="11.375" style="1627" customWidth="1"/>
    <col min="5386" max="5386" width="7.625" style="1627" customWidth="1"/>
    <col min="5387" max="5387" width="10.125" style="1627" customWidth="1"/>
    <col min="5388" max="5388" width="11.375" style="1627" customWidth="1"/>
    <col min="5389" max="5389" width="13.875" style="1627" customWidth="1"/>
    <col min="5390" max="5390" width="7.625" style="1627" customWidth="1"/>
    <col min="5391" max="5391" width="10.125" style="1627" customWidth="1"/>
    <col min="5392" max="5392" width="11.375" style="1627" customWidth="1"/>
    <col min="5393" max="5393" width="13.875" style="1627" customWidth="1"/>
    <col min="5394" max="5394" width="7.625" style="1627" customWidth="1"/>
    <col min="5395" max="5395" width="10.125" style="1627" customWidth="1"/>
    <col min="5396" max="5396" width="11.375" style="1627" customWidth="1"/>
    <col min="5397" max="5397" width="13.875" style="1627" customWidth="1"/>
    <col min="5398" max="5398" width="7.625" style="1627" customWidth="1"/>
    <col min="5399" max="5399" width="10.125" style="1627" customWidth="1"/>
    <col min="5400" max="5400" width="11.375" style="1627" customWidth="1"/>
    <col min="5401" max="5401" width="13.875" style="1627" customWidth="1"/>
    <col min="5402" max="5402" width="11.5" style="1627" customWidth="1"/>
    <col min="5403" max="5404" width="12.625" style="1627" customWidth="1"/>
    <col min="5405" max="5405" width="7.625" style="1627" customWidth="1"/>
    <col min="5406" max="5406" width="10.125" style="1627" customWidth="1"/>
    <col min="5407" max="5407" width="11.375" style="1627" customWidth="1"/>
    <col min="5408" max="5408" width="13.875" style="1627" customWidth="1"/>
    <col min="5409" max="5632" width="9" style="1627"/>
    <col min="5633" max="5633" width="12.875" style="1627" customWidth="1"/>
    <col min="5634" max="5634" width="15.25" style="1627" customWidth="1"/>
    <col min="5635" max="5635" width="16.5" style="1627" customWidth="1"/>
    <col min="5636" max="5636" width="15" style="1627" customWidth="1"/>
    <col min="5637" max="5637" width="12.625" style="1627" customWidth="1"/>
    <col min="5638" max="5638" width="25.625" style="1627" bestFit="1" customWidth="1"/>
    <col min="5639" max="5640" width="7.625" style="1627" customWidth="1"/>
    <col min="5641" max="5641" width="11.375" style="1627" customWidth="1"/>
    <col min="5642" max="5642" width="7.625" style="1627" customWidth="1"/>
    <col min="5643" max="5643" width="10.125" style="1627" customWidth="1"/>
    <col min="5644" max="5644" width="11.375" style="1627" customWidth="1"/>
    <col min="5645" max="5645" width="13.875" style="1627" customWidth="1"/>
    <col min="5646" max="5646" width="7.625" style="1627" customWidth="1"/>
    <col min="5647" max="5647" width="10.125" style="1627" customWidth="1"/>
    <col min="5648" max="5648" width="11.375" style="1627" customWidth="1"/>
    <col min="5649" max="5649" width="13.875" style="1627" customWidth="1"/>
    <col min="5650" max="5650" width="7.625" style="1627" customWidth="1"/>
    <col min="5651" max="5651" width="10.125" style="1627" customWidth="1"/>
    <col min="5652" max="5652" width="11.375" style="1627" customWidth="1"/>
    <col min="5653" max="5653" width="13.875" style="1627" customWidth="1"/>
    <col min="5654" max="5654" width="7.625" style="1627" customWidth="1"/>
    <col min="5655" max="5655" width="10.125" style="1627" customWidth="1"/>
    <col min="5656" max="5656" width="11.375" style="1627" customWidth="1"/>
    <col min="5657" max="5657" width="13.875" style="1627" customWidth="1"/>
    <col min="5658" max="5658" width="11.5" style="1627" customWidth="1"/>
    <col min="5659" max="5660" width="12.625" style="1627" customWidth="1"/>
    <col min="5661" max="5661" width="7.625" style="1627" customWidth="1"/>
    <col min="5662" max="5662" width="10.125" style="1627" customWidth="1"/>
    <col min="5663" max="5663" width="11.375" style="1627" customWidth="1"/>
    <col min="5664" max="5664" width="13.875" style="1627" customWidth="1"/>
    <col min="5665" max="5888" width="9" style="1627"/>
    <col min="5889" max="5889" width="12.875" style="1627" customWidth="1"/>
    <col min="5890" max="5890" width="15.25" style="1627" customWidth="1"/>
    <col min="5891" max="5891" width="16.5" style="1627" customWidth="1"/>
    <col min="5892" max="5892" width="15" style="1627" customWidth="1"/>
    <col min="5893" max="5893" width="12.625" style="1627" customWidth="1"/>
    <col min="5894" max="5894" width="25.625" style="1627" bestFit="1" customWidth="1"/>
    <col min="5895" max="5896" width="7.625" style="1627" customWidth="1"/>
    <col min="5897" max="5897" width="11.375" style="1627" customWidth="1"/>
    <col min="5898" max="5898" width="7.625" style="1627" customWidth="1"/>
    <col min="5899" max="5899" width="10.125" style="1627" customWidth="1"/>
    <col min="5900" max="5900" width="11.375" style="1627" customWidth="1"/>
    <col min="5901" max="5901" width="13.875" style="1627" customWidth="1"/>
    <col min="5902" max="5902" width="7.625" style="1627" customWidth="1"/>
    <col min="5903" max="5903" width="10.125" style="1627" customWidth="1"/>
    <col min="5904" max="5904" width="11.375" style="1627" customWidth="1"/>
    <col min="5905" max="5905" width="13.875" style="1627" customWidth="1"/>
    <col min="5906" max="5906" width="7.625" style="1627" customWidth="1"/>
    <col min="5907" max="5907" width="10.125" style="1627" customWidth="1"/>
    <col min="5908" max="5908" width="11.375" style="1627" customWidth="1"/>
    <col min="5909" max="5909" width="13.875" style="1627" customWidth="1"/>
    <col min="5910" max="5910" width="7.625" style="1627" customWidth="1"/>
    <col min="5911" max="5911" width="10.125" style="1627" customWidth="1"/>
    <col min="5912" max="5912" width="11.375" style="1627" customWidth="1"/>
    <col min="5913" max="5913" width="13.875" style="1627" customWidth="1"/>
    <col min="5914" max="5914" width="11.5" style="1627" customWidth="1"/>
    <col min="5915" max="5916" width="12.625" style="1627" customWidth="1"/>
    <col min="5917" max="5917" width="7.625" style="1627" customWidth="1"/>
    <col min="5918" max="5918" width="10.125" style="1627" customWidth="1"/>
    <col min="5919" max="5919" width="11.375" style="1627" customWidth="1"/>
    <col min="5920" max="5920" width="13.875" style="1627" customWidth="1"/>
    <col min="5921" max="6144" width="9" style="1627"/>
    <col min="6145" max="6145" width="12.875" style="1627" customWidth="1"/>
    <col min="6146" max="6146" width="15.25" style="1627" customWidth="1"/>
    <col min="6147" max="6147" width="16.5" style="1627" customWidth="1"/>
    <col min="6148" max="6148" width="15" style="1627" customWidth="1"/>
    <col min="6149" max="6149" width="12.625" style="1627" customWidth="1"/>
    <col min="6150" max="6150" width="25.625" style="1627" bestFit="1" customWidth="1"/>
    <col min="6151" max="6152" width="7.625" style="1627" customWidth="1"/>
    <col min="6153" max="6153" width="11.375" style="1627" customWidth="1"/>
    <col min="6154" max="6154" width="7.625" style="1627" customWidth="1"/>
    <col min="6155" max="6155" width="10.125" style="1627" customWidth="1"/>
    <col min="6156" max="6156" width="11.375" style="1627" customWidth="1"/>
    <col min="6157" max="6157" width="13.875" style="1627" customWidth="1"/>
    <col min="6158" max="6158" width="7.625" style="1627" customWidth="1"/>
    <col min="6159" max="6159" width="10.125" style="1627" customWidth="1"/>
    <col min="6160" max="6160" width="11.375" style="1627" customWidth="1"/>
    <col min="6161" max="6161" width="13.875" style="1627" customWidth="1"/>
    <col min="6162" max="6162" width="7.625" style="1627" customWidth="1"/>
    <col min="6163" max="6163" width="10.125" style="1627" customWidth="1"/>
    <col min="6164" max="6164" width="11.375" style="1627" customWidth="1"/>
    <col min="6165" max="6165" width="13.875" style="1627" customWidth="1"/>
    <col min="6166" max="6166" width="7.625" style="1627" customWidth="1"/>
    <col min="6167" max="6167" width="10.125" style="1627" customWidth="1"/>
    <col min="6168" max="6168" width="11.375" style="1627" customWidth="1"/>
    <col min="6169" max="6169" width="13.875" style="1627" customWidth="1"/>
    <col min="6170" max="6170" width="11.5" style="1627" customWidth="1"/>
    <col min="6171" max="6172" width="12.625" style="1627" customWidth="1"/>
    <col min="6173" max="6173" width="7.625" style="1627" customWidth="1"/>
    <col min="6174" max="6174" width="10.125" style="1627" customWidth="1"/>
    <col min="6175" max="6175" width="11.375" style="1627" customWidth="1"/>
    <col min="6176" max="6176" width="13.875" style="1627" customWidth="1"/>
    <col min="6177" max="6400" width="9" style="1627"/>
    <col min="6401" max="6401" width="12.875" style="1627" customWidth="1"/>
    <col min="6402" max="6402" width="15.25" style="1627" customWidth="1"/>
    <col min="6403" max="6403" width="16.5" style="1627" customWidth="1"/>
    <col min="6404" max="6404" width="15" style="1627" customWidth="1"/>
    <col min="6405" max="6405" width="12.625" style="1627" customWidth="1"/>
    <col min="6406" max="6406" width="25.625" style="1627" bestFit="1" customWidth="1"/>
    <col min="6407" max="6408" width="7.625" style="1627" customWidth="1"/>
    <col min="6409" max="6409" width="11.375" style="1627" customWidth="1"/>
    <col min="6410" max="6410" width="7.625" style="1627" customWidth="1"/>
    <col min="6411" max="6411" width="10.125" style="1627" customWidth="1"/>
    <col min="6412" max="6412" width="11.375" style="1627" customWidth="1"/>
    <col min="6413" max="6413" width="13.875" style="1627" customWidth="1"/>
    <col min="6414" max="6414" width="7.625" style="1627" customWidth="1"/>
    <col min="6415" max="6415" width="10.125" style="1627" customWidth="1"/>
    <col min="6416" max="6416" width="11.375" style="1627" customWidth="1"/>
    <col min="6417" max="6417" width="13.875" style="1627" customWidth="1"/>
    <col min="6418" max="6418" width="7.625" style="1627" customWidth="1"/>
    <col min="6419" max="6419" width="10.125" style="1627" customWidth="1"/>
    <col min="6420" max="6420" width="11.375" style="1627" customWidth="1"/>
    <col min="6421" max="6421" width="13.875" style="1627" customWidth="1"/>
    <col min="6422" max="6422" width="7.625" style="1627" customWidth="1"/>
    <col min="6423" max="6423" width="10.125" style="1627" customWidth="1"/>
    <col min="6424" max="6424" width="11.375" style="1627" customWidth="1"/>
    <col min="6425" max="6425" width="13.875" style="1627" customWidth="1"/>
    <col min="6426" max="6426" width="11.5" style="1627" customWidth="1"/>
    <col min="6427" max="6428" width="12.625" style="1627" customWidth="1"/>
    <col min="6429" max="6429" width="7.625" style="1627" customWidth="1"/>
    <col min="6430" max="6430" width="10.125" style="1627" customWidth="1"/>
    <col min="6431" max="6431" width="11.375" style="1627" customWidth="1"/>
    <col min="6432" max="6432" width="13.875" style="1627" customWidth="1"/>
    <col min="6433" max="6656" width="9" style="1627"/>
    <col min="6657" max="6657" width="12.875" style="1627" customWidth="1"/>
    <col min="6658" max="6658" width="15.25" style="1627" customWidth="1"/>
    <col min="6659" max="6659" width="16.5" style="1627" customWidth="1"/>
    <col min="6660" max="6660" width="15" style="1627" customWidth="1"/>
    <col min="6661" max="6661" width="12.625" style="1627" customWidth="1"/>
    <col min="6662" max="6662" width="25.625" style="1627" bestFit="1" customWidth="1"/>
    <col min="6663" max="6664" width="7.625" style="1627" customWidth="1"/>
    <col min="6665" max="6665" width="11.375" style="1627" customWidth="1"/>
    <col min="6666" max="6666" width="7.625" style="1627" customWidth="1"/>
    <col min="6667" max="6667" width="10.125" style="1627" customWidth="1"/>
    <col min="6668" max="6668" width="11.375" style="1627" customWidth="1"/>
    <col min="6669" max="6669" width="13.875" style="1627" customWidth="1"/>
    <col min="6670" max="6670" width="7.625" style="1627" customWidth="1"/>
    <col min="6671" max="6671" width="10.125" style="1627" customWidth="1"/>
    <col min="6672" max="6672" width="11.375" style="1627" customWidth="1"/>
    <col min="6673" max="6673" width="13.875" style="1627" customWidth="1"/>
    <col min="6674" max="6674" width="7.625" style="1627" customWidth="1"/>
    <col min="6675" max="6675" width="10.125" style="1627" customWidth="1"/>
    <col min="6676" max="6676" width="11.375" style="1627" customWidth="1"/>
    <col min="6677" max="6677" width="13.875" style="1627" customWidth="1"/>
    <col min="6678" max="6678" width="7.625" style="1627" customWidth="1"/>
    <col min="6679" max="6679" width="10.125" style="1627" customWidth="1"/>
    <col min="6680" max="6680" width="11.375" style="1627" customWidth="1"/>
    <col min="6681" max="6681" width="13.875" style="1627" customWidth="1"/>
    <col min="6682" max="6682" width="11.5" style="1627" customWidth="1"/>
    <col min="6683" max="6684" width="12.625" style="1627" customWidth="1"/>
    <col min="6685" max="6685" width="7.625" style="1627" customWidth="1"/>
    <col min="6686" max="6686" width="10.125" style="1627" customWidth="1"/>
    <col min="6687" max="6687" width="11.375" style="1627" customWidth="1"/>
    <col min="6688" max="6688" width="13.875" style="1627" customWidth="1"/>
    <col min="6689" max="6912" width="9" style="1627"/>
    <col min="6913" max="6913" width="12.875" style="1627" customWidth="1"/>
    <col min="6914" max="6914" width="15.25" style="1627" customWidth="1"/>
    <col min="6915" max="6915" width="16.5" style="1627" customWidth="1"/>
    <col min="6916" max="6916" width="15" style="1627" customWidth="1"/>
    <col min="6917" max="6917" width="12.625" style="1627" customWidth="1"/>
    <col min="6918" max="6918" width="25.625" style="1627" bestFit="1" customWidth="1"/>
    <col min="6919" max="6920" width="7.625" style="1627" customWidth="1"/>
    <col min="6921" max="6921" width="11.375" style="1627" customWidth="1"/>
    <col min="6922" max="6922" width="7.625" style="1627" customWidth="1"/>
    <col min="6923" max="6923" width="10.125" style="1627" customWidth="1"/>
    <col min="6924" max="6924" width="11.375" style="1627" customWidth="1"/>
    <col min="6925" max="6925" width="13.875" style="1627" customWidth="1"/>
    <col min="6926" max="6926" width="7.625" style="1627" customWidth="1"/>
    <col min="6927" max="6927" width="10.125" style="1627" customWidth="1"/>
    <col min="6928" max="6928" width="11.375" style="1627" customWidth="1"/>
    <col min="6929" max="6929" width="13.875" style="1627" customWidth="1"/>
    <col min="6930" max="6930" width="7.625" style="1627" customWidth="1"/>
    <col min="6931" max="6931" width="10.125" style="1627" customWidth="1"/>
    <col min="6932" max="6932" width="11.375" style="1627" customWidth="1"/>
    <col min="6933" max="6933" width="13.875" style="1627" customWidth="1"/>
    <col min="6934" max="6934" width="7.625" style="1627" customWidth="1"/>
    <col min="6935" max="6935" width="10.125" style="1627" customWidth="1"/>
    <col min="6936" max="6936" width="11.375" style="1627" customWidth="1"/>
    <col min="6937" max="6937" width="13.875" style="1627" customWidth="1"/>
    <col min="6938" max="6938" width="11.5" style="1627" customWidth="1"/>
    <col min="6939" max="6940" width="12.625" style="1627" customWidth="1"/>
    <col min="6941" max="6941" width="7.625" style="1627" customWidth="1"/>
    <col min="6942" max="6942" width="10.125" style="1627" customWidth="1"/>
    <col min="6943" max="6943" width="11.375" style="1627" customWidth="1"/>
    <col min="6944" max="6944" width="13.875" style="1627" customWidth="1"/>
    <col min="6945" max="7168" width="9" style="1627"/>
    <col min="7169" max="7169" width="12.875" style="1627" customWidth="1"/>
    <col min="7170" max="7170" width="15.25" style="1627" customWidth="1"/>
    <col min="7171" max="7171" width="16.5" style="1627" customWidth="1"/>
    <col min="7172" max="7172" width="15" style="1627" customWidth="1"/>
    <col min="7173" max="7173" width="12.625" style="1627" customWidth="1"/>
    <col min="7174" max="7174" width="25.625" style="1627" bestFit="1" customWidth="1"/>
    <col min="7175" max="7176" width="7.625" style="1627" customWidth="1"/>
    <col min="7177" max="7177" width="11.375" style="1627" customWidth="1"/>
    <col min="7178" max="7178" width="7.625" style="1627" customWidth="1"/>
    <col min="7179" max="7179" width="10.125" style="1627" customWidth="1"/>
    <col min="7180" max="7180" width="11.375" style="1627" customWidth="1"/>
    <col min="7181" max="7181" width="13.875" style="1627" customWidth="1"/>
    <col min="7182" max="7182" width="7.625" style="1627" customWidth="1"/>
    <col min="7183" max="7183" width="10.125" style="1627" customWidth="1"/>
    <col min="7184" max="7184" width="11.375" style="1627" customWidth="1"/>
    <col min="7185" max="7185" width="13.875" style="1627" customWidth="1"/>
    <col min="7186" max="7186" width="7.625" style="1627" customWidth="1"/>
    <col min="7187" max="7187" width="10.125" style="1627" customWidth="1"/>
    <col min="7188" max="7188" width="11.375" style="1627" customWidth="1"/>
    <col min="7189" max="7189" width="13.875" style="1627" customWidth="1"/>
    <col min="7190" max="7190" width="7.625" style="1627" customWidth="1"/>
    <col min="7191" max="7191" width="10.125" style="1627" customWidth="1"/>
    <col min="7192" max="7192" width="11.375" style="1627" customWidth="1"/>
    <col min="7193" max="7193" width="13.875" style="1627" customWidth="1"/>
    <col min="7194" max="7194" width="11.5" style="1627" customWidth="1"/>
    <col min="7195" max="7196" width="12.625" style="1627" customWidth="1"/>
    <col min="7197" max="7197" width="7.625" style="1627" customWidth="1"/>
    <col min="7198" max="7198" width="10.125" style="1627" customWidth="1"/>
    <col min="7199" max="7199" width="11.375" style="1627" customWidth="1"/>
    <col min="7200" max="7200" width="13.875" style="1627" customWidth="1"/>
    <col min="7201" max="7424" width="9" style="1627"/>
    <col min="7425" max="7425" width="12.875" style="1627" customWidth="1"/>
    <col min="7426" max="7426" width="15.25" style="1627" customWidth="1"/>
    <col min="7427" max="7427" width="16.5" style="1627" customWidth="1"/>
    <col min="7428" max="7428" width="15" style="1627" customWidth="1"/>
    <col min="7429" max="7429" width="12.625" style="1627" customWidth="1"/>
    <col min="7430" max="7430" width="25.625" style="1627" bestFit="1" customWidth="1"/>
    <col min="7431" max="7432" width="7.625" style="1627" customWidth="1"/>
    <col min="7433" max="7433" width="11.375" style="1627" customWidth="1"/>
    <col min="7434" max="7434" width="7.625" style="1627" customWidth="1"/>
    <col min="7435" max="7435" width="10.125" style="1627" customWidth="1"/>
    <col min="7436" max="7436" width="11.375" style="1627" customWidth="1"/>
    <col min="7437" max="7437" width="13.875" style="1627" customWidth="1"/>
    <col min="7438" max="7438" width="7.625" style="1627" customWidth="1"/>
    <col min="7439" max="7439" width="10.125" style="1627" customWidth="1"/>
    <col min="7440" max="7440" width="11.375" style="1627" customWidth="1"/>
    <col min="7441" max="7441" width="13.875" style="1627" customWidth="1"/>
    <col min="7442" max="7442" width="7.625" style="1627" customWidth="1"/>
    <col min="7443" max="7443" width="10.125" style="1627" customWidth="1"/>
    <col min="7444" max="7444" width="11.375" style="1627" customWidth="1"/>
    <col min="7445" max="7445" width="13.875" style="1627" customWidth="1"/>
    <col min="7446" max="7446" width="7.625" style="1627" customWidth="1"/>
    <col min="7447" max="7447" width="10.125" style="1627" customWidth="1"/>
    <col min="7448" max="7448" width="11.375" style="1627" customWidth="1"/>
    <col min="7449" max="7449" width="13.875" style="1627" customWidth="1"/>
    <col min="7450" max="7450" width="11.5" style="1627" customWidth="1"/>
    <col min="7451" max="7452" width="12.625" style="1627" customWidth="1"/>
    <col min="7453" max="7453" width="7.625" style="1627" customWidth="1"/>
    <col min="7454" max="7454" width="10.125" style="1627" customWidth="1"/>
    <col min="7455" max="7455" width="11.375" style="1627" customWidth="1"/>
    <col min="7456" max="7456" width="13.875" style="1627" customWidth="1"/>
    <col min="7457" max="7680" width="9" style="1627"/>
    <col min="7681" max="7681" width="12.875" style="1627" customWidth="1"/>
    <col min="7682" max="7682" width="15.25" style="1627" customWidth="1"/>
    <col min="7683" max="7683" width="16.5" style="1627" customWidth="1"/>
    <col min="7684" max="7684" width="15" style="1627" customWidth="1"/>
    <col min="7685" max="7685" width="12.625" style="1627" customWidth="1"/>
    <col min="7686" max="7686" width="25.625" style="1627" bestFit="1" customWidth="1"/>
    <col min="7687" max="7688" width="7.625" style="1627" customWidth="1"/>
    <col min="7689" max="7689" width="11.375" style="1627" customWidth="1"/>
    <col min="7690" max="7690" width="7.625" style="1627" customWidth="1"/>
    <col min="7691" max="7691" width="10.125" style="1627" customWidth="1"/>
    <col min="7692" max="7692" width="11.375" style="1627" customWidth="1"/>
    <col min="7693" max="7693" width="13.875" style="1627" customWidth="1"/>
    <col min="7694" max="7694" width="7.625" style="1627" customWidth="1"/>
    <col min="7695" max="7695" width="10.125" style="1627" customWidth="1"/>
    <col min="7696" max="7696" width="11.375" style="1627" customWidth="1"/>
    <col min="7697" max="7697" width="13.875" style="1627" customWidth="1"/>
    <col min="7698" max="7698" width="7.625" style="1627" customWidth="1"/>
    <col min="7699" max="7699" width="10.125" style="1627" customWidth="1"/>
    <col min="7700" max="7700" width="11.375" style="1627" customWidth="1"/>
    <col min="7701" max="7701" width="13.875" style="1627" customWidth="1"/>
    <col min="7702" max="7702" width="7.625" style="1627" customWidth="1"/>
    <col min="7703" max="7703" width="10.125" style="1627" customWidth="1"/>
    <col min="7704" max="7704" width="11.375" style="1627" customWidth="1"/>
    <col min="7705" max="7705" width="13.875" style="1627" customWidth="1"/>
    <col min="7706" max="7706" width="11.5" style="1627" customWidth="1"/>
    <col min="7707" max="7708" width="12.625" style="1627" customWidth="1"/>
    <col min="7709" max="7709" width="7.625" style="1627" customWidth="1"/>
    <col min="7710" max="7710" width="10.125" style="1627" customWidth="1"/>
    <col min="7711" max="7711" width="11.375" style="1627" customWidth="1"/>
    <col min="7712" max="7712" width="13.875" style="1627" customWidth="1"/>
    <col min="7713" max="7936" width="9" style="1627"/>
    <col min="7937" max="7937" width="12.875" style="1627" customWidth="1"/>
    <col min="7938" max="7938" width="15.25" style="1627" customWidth="1"/>
    <col min="7939" max="7939" width="16.5" style="1627" customWidth="1"/>
    <col min="7940" max="7940" width="15" style="1627" customWidth="1"/>
    <col min="7941" max="7941" width="12.625" style="1627" customWidth="1"/>
    <col min="7942" max="7942" width="25.625" style="1627" bestFit="1" customWidth="1"/>
    <col min="7943" max="7944" width="7.625" style="1627" customWidth="1"/>
    <col min="7945" max="7945" width="11.375" style="1627" customWidth="1"/>
    <col min="7946" max="7946" width="7.625" style="1627" customWidth="1"/>
    <col min="7947" max="7947" width="10.125" style="1627" customWidth="1"/>
    <col min="7948" max="7948" width="11.375" style="1627" customWidth="1"/>
    <col min="7949" max="7949" width="13.875" style="1627" customWidth="1"/>
    <col min="7950" max="7950" width="7.625" style="1627" customWidth="1"/>
    <col min="7951" max="7951" width="10.125" style="1627" customWidth="1"/>
    <col min="7952" max="7952" width="11.375" style="1627" customWidth="1"/>
    <col min="7953" max="7953" width="13.875" style="1627" customWidth="1"/>
    <col min="7954" max="7954" width="7.625" style="1627" customWidth="1"/>
    <col min="7955" max="7955" width="10.125" style="1627" customWidth="1"/>
    <col min="7956" max="7956" width="11.375" style="1627" customWidth="1"/>
    <col min="7957" max="7957" width="13.875" style="1627" customWidth="1"/>
    <col min="7958" max="7958" width="7.625" style="1627" customWidth="1"/>
    <col min="7959" max="7959" width="10.125" style="1627" customWidth="1"/>
    <col min="7960" max="7960" width="11.375" style="1627" customWidth="1"/>
    <col min="7961" max="7961" width="13.875" style="1627" customWidth="1"/>
    <col min="7962" max="7962" width="11.5" style="1627" customWidth="1"/>
    <col min="7963" max="7964" width="12.625" style="1627" customWidth="1"/>
    <col min="7965" max="7965" width="7.625" style="1627" customWidth="1"/>
    <col min="7966" max="7966" width="10.125" style="1627" customWidth="1"/>
    <col min="7967" max="7967" width="11.375" style="1627" customWidth="1"/>
    <col min="7968" max="7968" width="13.875" style="1627" customWidth="1"/>
    <col min="7969" max="8192" width="9" style="1627"/>
    <col min="8193" max="8193" width="12.875" style="1627" customWidth="1"/>
    <col min="8194" max="8194" width="15.25" style="1627" customWidth="1"/>
    <col min="8195" max="8195" width="16.5" style="1627" customWidth="1"/>
    <col min="8196" max="8196" width="15" style="1627" customWidth="1"/>
    <col min="8197" max="8197" width="12.625" style="1627" customWidth="1"/>
    <col min="8198" max="8198" width="25.625" style="1627" bestFit="1" customWidth="1"/>
    <col min="8199" max="8200" width="7.625" style="1627" customWidth="1"/>
    <col min="8201" max="8201" width="11.375" style="1627" customWidth="1"/>
    <col min="8202" max="8202" width="7.625" style="1627" customWidth="1"/>
    <col min="8203" max="8203" width="10.125" style="1627" customWidth="1"/>
    <col min="8204" max="8204" width="11.375" style="1627" customWidth="1"/>
    <col min="8205" max="8205" width="13.875" style="1627" customWidth="1"/>
    <col min="8206" max="8206" width="7.625" style="1627" customWidth="1"/>
    <col min="8207" max="8207" width="10.125" style="1627" customWidth="1"/>
    <col min="8208" max="8208" width="11.375" style="1627" customWidth="1"/>
    <col min="8209" max="8209" width="13.875" style="1627" customWidth="1"/>
    <col min="8210" max="8210" width="7.625" style="1627" customWidth="1"/>
    <col min="8211" max="8211" width="10.125" style="1627" customWidth="1"/>
    <col min="8212" max="8212" width="11.375" style="1627" customWidth="1"/>
    <col min="8213" max="8213" width="13.875" style="1627" customWidth="1"/>
    <col min="8214" max="8214" width="7.625" style="1627" customWidth="1"/>
    <col min="8215" max="8215" width="10.125" style="1627" customWidth="1"/>
    <col min="8216" max="8216" width="11.375" style="1627" customWidth="1"/>
    <col min="8217" max="8217" width="13.875" style="1627" customWidth="1"/>
    <col min="8218" max="8218" width="11.5" style="1627" customWidth="1"/>
    <col min="8219" max="8220" width="12.625" style="1627" customWidth="1"/>
    <col min="8221" max="8221" width="7.625" style="1627" customWidth="1"/>
    <col min="8222" max="8222" width="10.125" style="1627" customWidth="1"/>
    <col min="8223" max="8223" width="11.375" style="1627" customWidth="1"/>
    <col min="8224" max="8224" width="13.875" style="1627" customWidth="1"/>
    <col min="8225" max="8448" width="9" style="1627"/>
    <col min="8449" max="8449" width="12.875" style="1627" customWidth="1"/>
    <col min="8450" max="8450" width="15.25" style="1627" customWidth="1"/>
    <col min="8451" max="8451" width="16.5" style="1627" customWidth="1"/>
    <col min="8452" max="8452" width="15" style="1627" customWidth="1"/>
    <col min="8453" max="8453" width="12.625" style="1627" customWidth="1"/>
    <col min="8454" max="8454" width="25.625" style="1627" bestFit="1" customWidth="1"/>
    <col min="8455" max="8456" width="7.625" style="1627" customWidth="1"/>
    <col min="8457" max="8457" width="11.375" style="1627" customWidth="1"/>
    <col min="8458" max="8458" width="7.625" style="1627" customWidth="1"/>
    <col min="8459" max="8459" width="10.125" style="1627" customWidth="1"/>
    <col min="8460" max="8460" width="11.375" style="1627" customWidth="1"/>
    <col min="8461" max="8461" width="13.875" style="1627" customWidth="1"/>
    <col min="8462" max="8462" width="7.625" style="1627" customWidth="1"/>
    <col min="8463" max="8463" width="10.125" style="1627" customWidth="1"/>
    <col min="8464" max="8464" width="11.375" style="1627" customWidth="1"/>
    <col min="8465" max="8465" width="13.875" style="1627" customWidth="1"/>
    <col min="8466" max="8466" width="7.625" style="1627" customWidth="1"/>
    <col min="8467" max="8467" width="10.125" style="1627" customWidth="1"/>
    <col min="8468" max="8468" width="11.375" style="1627" customWidth="1"/>
    <col min="8469" max="8469" width="13.875" style="1627" customWidth="1"/>
    <col min="8470" max="8470" width="7.625" style="1627" customWidth="1"/>
    <col min="8471" max="8471" width="10.125" style="1627" customWidth="1"/>
    <col min="8472" max="8472" width="11.375" style="1627" customWidth="1"/>
    <col min="8473" max="8473" width="13.875" style="1627" customWidth="1"/>
    <col min="8474" max="8474" width="11.5" style="1627" customWidth="1"/>
    <col min="8475" max="8476" width="12.625" style="1627" customWidth="1"/>
    <col min="8477" max="8477" width="7.625" style="1627" customWidth="1"/>
    <col min="8478" max="8478" width="10.125" style="1627" customWidth="1"/>
    <col min="8479" max="8479" width="11.375" style="1627" customWidth="1"/>
    <col min="8480" max="8480" width="13.875" style="1627" customWidth="1"/>
    <col min="8481" max="8704" width="9" style="1627"/>
    <col min="8705" max="8705" width="12.875" style="1627" customWidth="1"/>
    <col min="8706" max="8706" width="15.25" style="1627" customWidth="1"/>
    <col min="8707" max="8707" width="16.5" style="1627" customWidth="1"/>
    <col min="8708" max="8708" width="15" style="1627" customWidth="1"/>
    <col min="8709" max="8709" width="12.625" style="1627" customWidth="1"/>
    <col min="8710" max="8710" width="25.625" style="1627" bestFit="1" customWidth="1"/>
    <col min="8711" max="8712" width="7.625" style="1627" customWidth="1"/>
    <col min="8713" max="8713" width="11.375" style="1627" customWidth="1"/>
    <col min="8714" max="8714" width="7.625" style="1627" customWidth="1"/>
    <col min="8715" max="8715" width="10.125" style="1627" customWidth="1"/>
    <col min="8716" max="8716" width="11.375" style="1627" customWidth="1"/>
    <col min="8717" max="8717" width="13.875" style="1627" customWidth="1"/>
    <col min="8718" max="8718" width="7.625" style="1627" customWidth="1"/>
    <col min="8719" max="8719" width="10.125" style="1627" customWidth="1"/>
    <col min="8720" max="8720" width="11.375" style="1627" customWidth="1"/>
    <col min="8721" max="8721" width="13.875" style="1627" customWidth="1"/>
    <col min="8722" max="8722" width="7.625" style="1627" customWidth="1"/>
    <col min="8723" max="8723" width="10.125" style="1627" customWidth="1"/>
    <col min="8724" max="8724" width="11.375" style="1627" customWidth="1"/>
    <col min="8725" max="8725" width="13.875" style="1627" customWidth="1"/>
    <col min="8726" max="8726" width="7.625" style="1627" customWidth="1"/>
    <col min="8727" max="8727" width="10.125" style="1627" customWidth="1"/>
    <col min="8728" max="8728" width="11.375" style="1627" customWidth="1"/>
    <col min="8729" max="8729" width="13.875" style="1627" customWidth="1"/>
    <col min="8730" max="8730" width="11.5" style="1627" customWidth="1"/>
    <col min="8731" max="8732" width="12.625" style="1627" customWidth="1"/>
    <col min="8733" max="8733" width="7.625" style="1627" customWidth="1"/>
    <col min="8734" max="8734" width="10.125" style="1627" customWidth="1"/>
    <col min="8735" max="8735" width="11.375" style="1627" customWidth="1"/>
    <col min="8736" max="8736" width="13.875" style="1627" customWidth="1"/>
    <col min="8737" max="8960" width="9" style="1627"/>
    <col min="8961" max="8961" width="12.875" style="1627" customWidth="1"/>
    <col min="8962" max="8962" width="15.25" style="1627" customWidth="1"/>
    <col min="8963" max="8963" width="16.5" style="1627" customWidth="1"/>
    <col min="8964" max="8964" width="15" style="1627" customWidth="1"/>
    <col min="8965" max="8965" width="12.625" style="1627" customWidth="1"/>
    <col min="8966" max="8966" width="25.625" style="1627" bestFit="1" customWidth="1"/>
    <col min="8967" max="8968" width="7.625" style="1627" customWidth="1"/>
    <col min="8969" max="8969" width="11.375" style="1627" customWidth="1"/>
    <col min="8970" max="8970" width="7.625" style="1627" customWidth="1"/>
    <col min="8971" max="8971" width="10.125" style="1627" customWidth="1"/>
    <col min="8972" max="8972" width="11.375" style="1627" customWidth="1"/>
    <col min="8973" max="8973" width="13.875" style="1627" customWidth="1"/>
    <col min="8974" max="8974" width="7.625" style="1627" customWidth="1"/>
    <col min="8975" max="8975" width="10.125" style="1627" customWidth="1"/>
    <col min="8976" max="8976" width="11.375" style="1627" customWidth="1"/>
    <col min="8977" max="8977" width="13.875" style="1627" customWidth="1"/>
    <col min="8978" max="8978" width="7.625" style="1627" customWidth="1"/>
    <col min="8979" max="8979" width="10.125" style="1627" customWidth="1"/>
    <col min="8980" max="8980" width="11.375" style="1627" customWidth="1"/>
    <col min="8981" max="8981" width="13.875" style="1627" customWidth="1"/>
    <col min="8982" max="8982" width="7.625" style="1627" customWidth="1"/>
    <col min="8983" max="8983" width="10.125" style="1627" customWidth="1"/>
    <col min="8984" max="8984" width="11.375" style="1627" customWidth="1"/>
    <col min="8985" max="8985" width="13.875" style="1627" customWidth="1"/>
    <col min="8986" max="8986" width="11.5" style="1627" customWidth="1"/>
    <col min="8987" max="8988" width="12.625" style="1627" customWidth="1"/>
    <col min="8989" max="8989" width="7.625" style="1627" customWidth="1"/>
    <col min="8990" max="8990" width="10.125" style="1627" customWidth="1"/>
    <col min="8991" max="8991" width="11.375" style="1627" customWidth="1"/>
    <col min="8992" max="8992" width="13.875" style="1627" customWidth="1"/>
    <col min="8993" max="9216" width="9" style="1627"/>
    <col min="9217" max="9217" width="12.875" style="1627" customWidth="1"/>
    <col min="9218" max="9218" width="15.25" style="1627" customWidth="1"/>
    <col min="9219" max="9219" width="16.5" style="1627" customWidth="1"/>
    <col min="9220" max="9220" width="15" style="1627" customWidth="1"/>
    <col min="9221" max="9221" width="12.625" style="1627" customWidth="1"/>
    <col min="9222" max="9222" width="25.625" style="1627" bestFit="1" customWidth="1"/>
    <col min="9223" max="9224" width="7.625" style="1627" customWidth="1"/>
    <col min="9225" max="9225" width="11.375" style="1627" customWidth="1"/>
    <col min="9226" max="9226" width="7.625" style="1627" customWidth="1"/>
    <col min="9227" max="9227" width="10.125" style="1627" customWidth="1"/>
    <col min="9228" max="9228" width="11.375" style="1627" customWidth="1"/>
    <col min="9229" max="9229" width="13.875" style="1627" customWidth="1"/>
    <col min="9230" max="9230" width="7.625" style="1627" customWidth="1"/>
    <col min="9231" max="9231" width="10.125" style="1627" customWidth="1"/>
    <col min="9232" max="9232" width="11.375" style="1627" customWidth="1"/>
    <col min="9233" max="9233" width="13.875" style="1627" customWidth="1"/>
    <col min="9234" max="9234" width="7.625" style="1627" customWidth="1"/>
    <col min="9235" max="9235" width="10.125" style="1627" customWidth="1"/>
    <col min="9236" max="9236" width="11.375" style="1627" customWidth="1"/>
    <col min="9237" max="9237" width="13.875" style="1627" customWidth="1"/>
    <col min="9238" max="9238" width="7.625" style="1627" customWidth="1"/>
    <col min="9239" max="9239" width="10.125" style="1627" customWidth="1"/>
    <col min="9240" max="9240" width="11.375" style="1627" customWidth="1"/>
    <col min="9241" max="9241" width="13.875" style="1627" customWidth="1"/>
    <col min="9242" max="9242" width="11.5" style="1627" customWidth="1"/>
    <col min="9243" max="9244" width="12.625" style="1627" customWidth="1"/>
    <col min="9245" max="9245" width="7.625" style="1627" customWidth="1"/>
    <col min="9246" max="9246" width="10.125" style="1627" customWidth="1"/>
    <col min="9247" max="9247" width="11.375" style="1627" customWidth="1"/>
    <col min="9248" max="9248" width="13.875" style="1627" customWidth="1"/>
    <col min="9249" max="9472" width="9" style="1627"/>
    <col min="9473" max="9473" width="12.875" style="1627" customWidth="1"/>
    <col min="9474" max="9474" width="15.25" style="1627" customWidth="1"/>
    <col min="9475" max="9475" width="16.5" style="1627" customWidth="1"/>
    <col min="9476" max="9476" width="15" style="1627" customWidth="1"/>
    <col min="9477" max="9477" width="12.625" style="1627" customWidth="1"/>
    <col min="9478" max="9478" width="25.625" style="1627" bestFit="1" customWidth="1"/>
    <col min="9479" max="9480" width="7.625" style="1627" customWidth="1"/>
    <col min="9481" max="9481" width="11.375" style="1627" customWidth="1"/>
    <col min="9482" max="9482" width="7.625" style="1627" customWidth="1"/>
    <col min="9483" max="9483" width="10.125" style="1627" customWidth="1"/>
    <col min="9484" max="9484" width="11.375" style="1627" customWidth="1"/>
    <col min="9485" max="9485" width="13.875" style="1627" customWidth="1"/>
    <col min="9486" max="9486" width="7.625" style="1627" customWidth="1"/>
    <col min="9487" max="9487" width="10.125" style="1627" customWidth="1"/>
    <col min="9488" max="9488" width="11.375" style="1627" customWidth="1"/>
    <col min="9489" max="9489" width="13.875" style="1627" customWidth="1"/>
    <col min="9490" max="9490" width="7.625" style="1627" customWidth="1"/>
    <col min="9491" max="9491" width="10.125" style="1627" customWidth="1"/>
    <col min="9492" max="9492" width="11.375" style="1627" customWidth="1"/>
    <col min="9493" max="9493" width="13.875" style="1627" customWidth="1"/>
    <col min="9494" max="9494" width="7.625" style="1627" customWidth="1"/>
    <col min="9495" max="9495" width="10.125" style="1627" customWidth="1"/>
    <col min="9496" max="9496" width="11.375" style="1627" customWidth="1"/>
    <col min="9497" max="9497" width="13.875" style="1627" customWidth="1"/>
    <col min="9498" max="9498" width="11.5" style="1627" customWidth="1"/>
    <col min="9499" max="9500" width="12.625" style="1627" customWidth="1"/>
    <col min="9501" max="9501" width="7.625" style="1627" customWidth="1"/>
    <col min="9502" max="9502" width="10.125" style="1627" customWidth="1"/>
    <col min="9503" max="9503" width="11.375" style="1627" customWidth="1"/>
    <col min="9504" max="9504" width="13.875" style="1627" customWidth="1"/>
    <col min="9505" max="9728" width="9" style="1627"/>
    <col min="9729" max="9729" width="12.875" style="1627" customWidth="1"/>
    <col min="9730" max="9730" width="15.25" style="1627" customWidth="1"/>
    <col min="9731" max="9731" width="16.5" style="1627" customWidth="1"/>
    <col min="9732" max="9732" width="15" style="1627" customWidth="1"/>
    <col min="9733" max="9733" width="12.625" style="1627" customWidth="1"/>
    <col min="9734" max="9734" width="25.625" style="1627" bestFit="1" customWidth="1"/>
    <col min="9735" max="9736" width="7.625" style="1627" customWidth="1"/>
    <col min="9737" max="9737" width="11.375" style="1627" customWidth="1"/>
    <col min="9738" max="9738" width="7.625" style="1627" customWidth="1"/>
    <col min="9739" max="9739" width="10.125" style="1627" customWidth="1"/>
    <col min="9740" max="9740" width="11.375" style="1627" customWidth="1"/>
    <col min="9741" max="9741" width="13.875" style="1627" customWidth="1"/>
    <col min="9742" max="9742" width="7.625" style="1627" customWidth="1"/>
    <col min="9743" max="9743" width="10.125" style="1627" customWidth="1"/>
    <col min="9744" max="9744" width="11.375" style="1627" customWidth="1"/>
    <col min="9745" max="9745" width="13.875" style="1627" customWidth="1"/>
    <col min="9746" max="9746" width="7.625" style="1627" customWidth="1"/>
    <col min="9747" max="9747" width="10.125" style="1627" customWidth="1"/>
    <col min="9748" max="9748" width="11.375" style="1627" customWidth="1"/>
    <col min="9749" max="9749" width="13.875" style="1627" customWidth="1"/>
    <col min="9750" max="9750" width="7.625" style="1627" customWidth="1"/>
    <col min="9751" max="9751" width="10.125" style="1627" customWidth="1"/>
    <col min="9752" max="9752" width="11.375" style="1627" customWidth="1"/>
    <col min="9753" max="9753" width="13.875" style="1627" customWidth="1"/>
    <col min="9754" max="9754" width="11.5" style="1627" customWidth="1"/>
    <col min="9755" max="9756" width="12.625" style="1627" customWidth="1"/>
    <col min="9757" max="9757" width="7.625" style="1627" customWidth="1"/>
    <col min="9758" max="9758" width="10.125" style="1627" customWidth="1"/>
    <col min="9759" max="9759" width="11.375" style="1627" customWidth="1"/>
    <col min="9760" max="9760" width="13.875" style="1627" customWidth="1"/>
    <col min="9761" max="9984" width="9" style="1627"/>
    <col min="9985" max="9985" width="12.875" style="1627" customWidth="1"/>
    <col min="9986" max="9986" width="15.25" style="1627" customWidth="1"/>
    <col min="9987" max="9987" width="16.5" style="1627" customWidth="1"/>
    <col min="9988" max="9988" width="15" style="1627" customWidth="1"/>
    <col min="9989" max="9989" width="12.625" style="1627" customWidth="1"/>
    <col min="9990" max="9990" width="25.625" style="1627" bestFit="1" customWidth="1"/>
    <col min="9991" max="9992" width="7.625" style="1627" customWidth="1"/>
    <col min="9993" max="9993" width="11.375" style="1627" customWidth="1"/>
    <col min="9994" max="9994" width="7.625" style="1627" customWidth="1"/>
    <col min="9995" max="9995" width="10.125" style="1627" customWidth="1"/>
    <col min="9996" max="9996" width="11.375" style="1627" customWidth="1"/>
    <col min="9997" max="9997" width="13.875" style="1627" customWidth="1"/>
    <col min="9998" max="9998" width="7.625" style="1627" customWidth="1"/>
    <col min="9999" max="9999" width="10.125" style="1627" customWidth="1"/>
    <col min="10000" max="10000" width="11.375" style="1627" customWidth="1"/>
    <col min="10001" max="10001" width="13.875" style="1627" customWidth="1"/>
    <col min="10002" max="10002" width="7.625" style="1627" customWidth="1"/>
    <col min="10003" max="10003" width="10.125" style="1627" customWidth="1"/>
    <col min="10004" max="10004" width="11.375" style="1627" customWidth="1"/>
    <col min="10005" max="10005" width="13.875" style="1627" customWidth="1"/>
    <col min="10006" max="10006" width="7.625" style="1627" customWidth="1"/>
    <col min="10007" max="10007" width="10.125" style="1627" customWidth="1"/>
    <col min="10008" max="10008" width="11.375" style="1627" customWidth="1"/>
    <col min="10009" max="10009" width="13.875" style="1627" customWidth="1"/>
    <col min="10010" max="10010" width="11.5" style="1627" customWidth="1"/>
    <col min="10011" max="10012" width="12.625" style="1627" customWidth="1"/>
    <col min="10013" max="10013" width="7.625" style="1627" customWidth="1"/>
    <col min="10014" max="10014" width="10.125" style="1627" customWidth="1"/>
    <col min="10015" max="10015" width="11.375" style="1627" customWidth="1"/>
    <col min="10016" max="10016" width="13.875" style="1627" customWidth="1"/>
    <col min="10017" max="10240" width="9" style="1627"/>
    <col min="10241" max="10241" width="12.875" style="1627" customWidth="1"/>
    <col min="10242" max="10242" width="15.25" style="1627" customWidth="1"/>
    <col min="10243" max="10243" width="16.5" style="1627" customWidth="1"/>
    <col min="10244" max="10244" width="15" style="1627" customWidth="1"/>
    <col min="10245" max="10245" width="12.625" style="1627" customWidth="1"/>
    <col min="10246" max="10246" width="25.625" style="1627" bestFit="1" customWidth="1"/>
    <col min="10247" max="10248" width="7.625" style="1627" customWidth="1"/>
    <col min="10249" max="10249" width="11.375" style="1627" customWidth="1"/>
    <col min="10250" max="10250" width="7.625" style="1627" customWidth="1"/>
    <col min="10251" max="10251" width="10.125" style="1627" customWidth="1"/>
    <col min="10252" max="10252" width="11.375" style="1627" customWidth="1"/>
    <col min="10253" max="10253" width="13.875" style="1627" customWidth="1"/>
    <col min="10254" max="10254" width="7.625" style="1627" customWidth="1"/>
    <col min="10255" max="10255" width="10.125" style="1627" customWidth="1"/>
    <col min="10256" max="10256" width="11.375" style="1627" customWidth="1"/>
    <col min="10257" max="10257" width="13.875" style="1627" customWidth="1"/>
    <col min="10258" max="10258" width="7.625" style="1627" customWidth="1"/>
    <col min="10259" max="10259" width="10.125" style="1627" customWidth="1"/>
    <col min="10260" max="10260" width="11.375" style="1627" customWidth="1"/>
    <col min="10261" max="10261" width="13.875" style="1627" customWidth="1"/>
    <col min="10262" max="10262" width="7.625" style="1627" customWidth="1"/>
    <col min="10263" max="10263" width="10.125" style="1627" customWidth="1"/>
    <col min="10264" max="10264" width="11.375" style="1627" customWidth="1"/>
    <col min="10265" max="10265" width="13.875" style="1627" customWidth="1"/>
    <col min="10266" max="10266" width="11.5" style="1627" customWidth="1"/>
    <col min="10267" max="10268" width="12.625" style="1627" customWidth="1"/>
    <col min="10269" max="10269" width="7.625" style="1627" customWidth="1"/>
    <col min="10270" max="10270" width="10.125" style="1627" customWidth="1"/>
    <col min="10271" max="10271" width="11.375" style="1627" customWidth="1"/>
    <col min="10272" max="10272" width="13.875" style="1627" customWidth="1"/>
    <col min="10273" max="10496" width="9" style="1627"/>
    <col min="10497" max="10497" width="12.875" style="1627" customWidth="1"/>
    <col min="10498" max="10498" width="15.25" style="1627" customWidth="1"/>
    <col min="10499" max="10499" width="16.5" style="1627" customWidth="1"/>
    <col min="10500" max="10500" width="15" style="1627" customWidth="1"/>
    <col min="10501" max="10501" width="12.625" style="1627" customWidth="1"/>
    <col min="10502" max="10502" width="25.625" style="1627" bestFit="1" customWidth="1"/>
    <col min="10503" max="10504" width="7.625" style="1627" customWidth="1"/>
    <col min="10505" max="10505" width="11.375" style="1627" customWidth="1"/>
    <col min="10506" max="10506" width="7.625" style="1627" customWidth="1"/>
    <col min="10507" max="10507" width="10.125" style="1627" customWidth="1"/>
    <col min="10508" max="10508" width="11.375" style="1627" customWidth="1"/>
    <col min="10509" max="10509" width="13.875" style="1627" customWidth="1"/>
    <col min="10510" max="10510" width="7.625" style="1627" customWidth="1"/>
    <col min="10511" max="10511" width="10.125" style="1627" customWidth="1"/>
    <col min="10512" max="10512" width="11.375" style="1627" customWidth="1"/>
    <col min="10513" max="10513" width="13.875" style="1627" customWidth="1"/>
    <col min="10514" max="10514" width="7.625" style="1627" customWidth="1"/>
    <col min="10515" max="10515" width="10.125" style="1627" customWidth="1"/>
    <col min="10516" max="10516" width="11.375" style="1627" customWidth="1"/>
    <col min="10517" max="10517" width="13.875" style="1627" customWidth="1"/>
    <col min="10518" max="10518" width="7.625" style="1627" customWidth="1"/>
    <col min="10519" max="10519" width="10.125" style="1627" customWidth="1"/>
    <col min="10520" max="10520" width="11.375" style="1627" customWidth="1"/>
    <col min="10521" max="10521" width="13.875" style="1627" customWidth="1"/>
    <col min="10522" max="10522" width="11.5" style="1627" customWidth="1"/>
    <col min="10523" max="10524" width="12.625" style="1627" customWidth="1"/>
    <col min="10525" max="10525" width="7.625" style="1627" customWidth="1"/>
    <col min="10526" max="10526" width="10.125" style="1627" customWidth="1"/>
    <col min="10527" max="10527" width="11.375" style="1627" customWidth="1"/>
    <col min="10528" max="10528" width="13.875" style="1627" customWidth="1"/>
    <col min="10529" max="10752" width="9" style="1627"/>
    <col min="10753" max="10753" width="12.875" style="1627" customWidth="1"/>
    <col min="10754" max="10754" width="15.25" style="1627" customWidth="1"/>
    <col min="10755" max="10755" width="16.5" style="1627" customWidth="1"/>
    <col min="10756" max="10756" width="15" style="1627" customWidth="1"/>
    <col min="10757" max="10757" width="12.625" style="1627" customWidth="1"/>
    <col min="10758" max="10758" width="25.625" style="1627" bestFit="1" customWidth="1"/>
    <col min="10759" max="10760" width="7.625" style="1627" customWidth="1"/>
    <col min="10761" max="10761" width="11.375" style="1627" customWidth="1"/>
    <col min="10762" max="10762" width="7.625" style="1627" customWidth="1"/>
    <col min="10763" max="10763" width="10.125" style="1627" customWidth="1"/>
    <col min="10764" max="10764" width="11.375" style="1627" customWidth="1"/>
    <col min="10765" max="10765" width="13.875" style="1627" customWidth="1"/>
    <col min="10766" max="10766" width="7.625" style="1627" customWidth="1"/>
    <col min="10767" max="10767" width="10.125" style="1627" customWidth="1"/>
    <col min="10768" max="10768" width="11.375" style="1627" customWidth="1"/>
    <col min="10769" max="10769" width="13.875" style="1627" customWidth="1"/>
    <col min="10770" max="10770" width="7.625" style="1627" customWidth="1"/>
    <col min="10771" max="10771" width="10.125" style="1627" customWidth="1"/>
    <col min="10772" max="10772" width="11.375" style="1627" customWidth="1"/>
    <col min="10773" max="10773" width="13.875" style="1627" customWidth="1"/>
    <col min="10774" max="10774" width="7.625" style="1627" customWidth="1"/>
    <col min="10775" max="10775" width="10.125" style="1627" customWidth="1"/>
    <col min="10776" max="10776" width="11.375" style="1627" customWidth="1"/>
    <col min="10777" max="10777" width="13.875" style="1627" customWidth="1"/>
    <col min="10778" max="10778" width="11.5" style="1627" customWidth="1"/>
    <col min="10779" max="10780" width="12.625" style="1627" customWidth="1"/>
    <col min="10781" max="10781" width="7.625" style="1627" customWidth="1"/>
    <col min="10782" max="10782" width="10.125" style="1627" customWidth="1"/>
    <col min="10783" max="10783" width="11.375" style="1627" customWidth="1"/>
    <col min="10784" max="10784" width="13.875" style="1627" customWidth="1"/>
    <col min="10785" max="11008" width="9" style="1627"/>
    <col min="11009" max="11009" width="12.875" style="1627" customWidth="1"/>
    <col min="11010" max="11010" width="15.25" style="1627" customWidth="1"/>
    <col min="11011" max="11011" width="16.5" style="1627" customWidth="1"/>
    <col min="11012" max="11012" width="15" style="1627" customWidth="1"/>
    <col min="11013" max="11013" width="12.625" style="1627" customWidth="1"/>
    <col min="11014" max="11014" width="25.625" style="1627" bestFit="1" customWidth="1"/>
    <col min="11015" max="11016" width="7.625" style="1627" customWidth="1"/>
    <col min="11017" max="11017" width="11.375" style="1627" customWidth="1"/>
    <col min="11018" max="11018" width="7.625" style="1627" customWidth="1"/>
    <col min="11019" max="11019" width="10.125" style="1627" customWidth="1"/>
    <col min="11020" max="11020" width="11.375" style="1627" customWidth="1"/>
    <col min="11021" max="11021" width="13.875" style="1627" customWidth="1"/>
    <col min="11022" max="11022" width="7.625" style="1627" customWidth="1"/>
    <col min="11023" max="11023" width="10.125" style="1627" customWidth="1"/>
    <col min="11024" max="11024" width="11.375" style="1627" customWidth="1"/>
    <col min="11025" max="11025" width="13.875" style="1627" customWidth="1"/>
    <col min="11026" max="11026" width="7.625" style="1627" customWidth="1"/>
    <col min="11027" max="11027" width="10.125" style="1627" customWidth="1"/>
    <col min="11028" max="11028" width="11.375" style="1627" customWidth="1"/>
    <col min="11029" max="11029" width="13.875" style="1627" customWidth="1"/>
    <col min="11030" max="11030" width="7.625" style="1627" customWidth="1"/>
    <col min="11031" max="11031" width="10.125" style="1627" customWidth="1"/>
    <col min="11032" max="11032" width="11.375" style="1627" customWidth="1"/>
    <col min="11033" max="11033" width="13.875" style="1627" customWidth="1"/>
    <col min="11034" max="11034" width="11.5" style="1627" customWidth="1"/>
    <col min="11035" max="11036" width="12.625" style="1627" customWidth="1"/>
    <col min="11037" max="11037" width="7.625" style="1627" customWidth="1"/>
    <col min="11038" max="11038" width="10.125" style="1627" customWidth="1"/>
    <col min="11039" max="11039" width="11.375" style="1627" customWidth="1"/>
    <col min="11040" max="11040" width="13.875" style="1627" customWidth="1"/>
    <col min="11041" max="11264" width="9" style="1627"/>
    <col min="11265" max="11265" width="12.875" style="1627" customWidth="1"/>
    <col min="11266" max="11266" width="15.25" style="1627" customWidth="1"/>
    <col min="11267" max="11267" width="16.5" style="1627" customWidth="1"/>
    <col min="11268" max="11268" width="15" style="1627" customWidth="1"/>
    <col min="11269" max="11269" width="12.625" style="1627" customWidth="1"/>
    <col min="11270" max="11270" width="25.625" style="1627" bestFit="1" customWidth="1"/>
    <col min="11271" max="11272" width="7.625" style="1627" customWidth="1"/>
    <col min="11273" max="11273" width="11.375" style="1627" customWidth="1"/>
    <col min="11274" max="11274" width="7.625" style="1627" customWidth="1"/>
    <col min="11275" max="11275" width="10.125" style="1627" customWidth="1"/>
    <col min="11276" max="11276" width="11.375" style="1627" customWidth="1"/>
    <col min="11277" max="11277" width="13.875" style="1627" customWidth="1"/>
    <col min="11278" max="11278" width="7.625" style="1627" customWidth="1"/>
    <col min="11279" max="11279" width="10.125" style="1627" customWidth="1"/>
    <col min="11280" max="11280" width="11.375" style="1627" customWidth="1"/>
    <col min="11281" max="11281" width="13.875" style="1627" customWidth="1"/>
    <col min="11282" max="11282" width="7.625" style="1627" customWidth="1"/>
    <col min="11283" max="11283" width="10.125" style="1627" customWidth="1"/>
    <col min="11284" max="11284" width="11.375" style="1627" customWidth="1"/>
    <col min="11285" max="11285" width="13.875" style="1627" customWidth="1"/>
    <col min="11286" max="11286" width="7.625" style="1627" customWidth="1"/>
    <col min="11287" max="11287" width="10.125" style="1627" customWidth="1"/>
    <col min="11288" max="11288" width="11.375" style="1627" customWidth="1"/>
    <col min="11289" max="11289" width="13.875" style="1627" customWidth="1"/>
    <col min="11290" max="11290" width="11.5" style="1627" customWidth="1"/>
    <col min="11291" max="11292" width="12.625" style="1627" customWidth="1"/>
    <col min="11293" max="11293" width="7.625" style="1627" customWidth="1"/>
    <col min="11294" max="11294" width="10.125" style="1627" customWidth="1"/>
    <col min="11295" max="11295" width="11.375" style="1627" customWidth="1"/>
    <col min="11296" max="11296" width="13.875" style="1627" customWidth="1"/>
    <col min="11297" max="11520" width="9" style="1627"/>
    <col min="11521" max="11521" width="12.875" style="1627" customWidth="1"/>
    <col min="11522" max="11522" width="15.25" style="1627" customWidth="1"/>
    <col min="11523" max="11523" width="16.5" style="1627" customWidth="1"/>
    <col min="11524" max="11524" width="15" style="1627" customWidth="1"/>
    <col min="11525" max="11525" width="12.625" style="1627" customWidth="1"/>
    <col min="11526" max="11526" width="25.625" style="1627" bestFit="1" customWidth="1"/>
    <col min="11527" max="11528" width="7.625" style="1627" customWidth="1"/>
    <col min="11529" max="11529" width="11.375" style="1627" customWidth="1"/>
    <col min="11530" max="11530" width="7.625" style="1627" customWidth="1"/>
    <col min="11531" max="11531" width="10.125" style="1627" customWidth="1"/>
    <col min="11532" max="11532" width="11.375" style="1627" customWidth="1"/>
    <col min="11533" max="11533" width="13.875" style="1627" customWidth="1"/>
    <col min="11534" max="11534" width="7.625" style="1627" customWidth="1"/>
    <col min="11535" max="11535" width="10.125" style="1627" customWidth="1"/>
    <col min="11536" max="11536" width="11.375" style="1627" customWidth="1"/>
    <col min="11537" max="11537" width="13.875" style="1627" customWidth="1"/>
    <col min="11538" max="11538" width="7.625" style="1627" customWidth="1"/>
    <col min="11539" max="11539" width="10.125" style="1627" customWidth="1"/>
    <col min="11540" max="11540" width="11.375" style="1627" customWidth="1"/>
    <col min="11541" max="11541" width="13.875" style="1627" customWidth="1"/>
    <col min="11542" max="11542" width="7.625" style="1627" customWidth="1"/>
    <col min="11543" max="11543" width="10.125" style="1627" customWidth="1"/>
    <col min="11544" max="11544" width="11.375" style="1627" customWidth="1"/>
    <col min="11545" max="11545" width="13.875" style="1627" customWidth="1"/>
    <col min="11546" max="11546" width="11.5" style="1627" customWidth="1"/>
    <col min="11547" max="11548" width="12.625" style="1627" customWidth="1"/>
    <col min="11549" max="11549" width="7.625" style="1627" customWidth="1"/>
    <col min="11550" max="11550" width="10.125" style="1627" customWidth="1"/>
    <col min="11551" max="11551" width="11.375" style="1627" customWidth="1"/>
    <col min="11552" max="11552" width="13.875" style="1627" customWidth="1"/>
    <col min="11553" max="11776" width="9" style="1627"/>
    <col min="11777" max="11777" width="12.875" style="1627" customWidth="1"/>
    <col min="11778" max="11778" width="15.25" style="1627" customWidth="1"/>
    <col min="11779" max="11779" width="16.5" style="1627" customWidth="1"/>
    <col min="11780" max="11780" width="15" style="1627" customWidth="1"/>
    <col min="11781" max="11781" width="12.625" style="1627" customWidth="1"/>
    <col min="11782" max="11782" width="25.625" style="1627" bestFit="1" customWidth="1"/>
    <col min="11783" max="11784" width="7.625" style="1627" customWidth="1"/>
    <col min="11785" max="11785" width="11.375" style="1627" customWidth="1"/>
    <col min="11786" max="11786" width="7.625" style="1627" customWidth="1"/>
    <col min="11787" max="11787" width="10.125" style="1627" customWidth="1"/>
    <col min="11788" max="11788" width="11.375" style="1627" customWidth="1"/>
    <col min="11789" max="11789" width="13.875" style="1627" customWidth="1"/>
    <col min="11790" max="11790" width="7.625" style="1627" customWidth="1"/>
    <col min="11791" max="11791" width="10.125" style="1627" customWidth="1"/>
    <col min="11792" max="11792" width="11.375" style="1627" customWidth="1"/>
    <col min="11793" max="11793" width="13.875" style="1627" customWidth="1"/>
    <col min="11794" max="11794" width="7.625" style="1627" customWidth="1"/>
    <col min="11795" max="11795" width="10.125" style="1627" customWidth="1"/>
    <col min="11796" max="11796" width="11.375" style="1627" customWidth="1"/>
    <col min="11797" max="11797" width="13.875" style="1627" customWidth="1"/>
    <col min="11798" max="11798" width="7.625" style="1627" customWidth="1"/>
    <col min="11799" max="11799" width="10.125" style="1627" customWidth="1"/>
    <col min="11800" max="11800" width="11.375" style="1627" customWidth="1"/>
    <col min="11801" max="11801" width="13.875" style="1627" customWidth="1"/>
    <col min="11802" max="11802" width="11.5" style="1627" customWidth="1"/>
    <col min="11803" max="11804" width="12.625" style="1627" customWidth="1"/>
    <col min="11805" max="11805" width="7.625" style="1627" customWidth="1"/>
    <col min="11806" max="11806" width="10.125" style="1627" customWidth="1"/>
    <col min="11807" max="11807" width="11.375" style="1627" customWidth="1"/>
    <col min="11808" max="11808" width="13.875" style="1627" customWidth="1"/>
    <col min="11809" max="12032" width="9" style="1627"/>
    <col min="12033" max="12033" width="12.875" style="1627" customWidth="1"/>
    <col min="12034" max="12034" width="15.25" style="1627" customWidth="1"/>
    <col min="12035" max="12035" width="16.5" style="1627" customWidth="1"/>
    <col min="12036" max="12036" width="15" style="1627" customWidth="1"/>
    <col min="12037" max="12037" width="12.625" style="1627" customWidth="1"/>
    <col min="12038" max="12038" width="25.625" style="1627" bestFit="1" customWidth="1"/>
    <col min="12039" max="12040" width="7.625" style="1627" customWidth="1"/>
    <col min="12041" max="12041" width="11.375" style="1627" customWidth="1"/>
    <col min="12042" max="12042" width="7.625" style="1627" customWidth="1"/>
    <col min="12043" max="12043" width="10.125" style="1627" customWidth="1"/>
    <col min="12044" max="12044" width="11.375" style="1627" customWidth="1"/>
    <col min="12045" max="12045" width="13.875" style="1627" customWidth="1"/>
    <col min="12046" max="12046" width="7.625" style="1627" customWidth="1"/>
    <col min="12047" max="12047" width="10.125" style="1627" customWidth="1"/>
    <col min="12048" max="12048" width="11.375" style="1627" customWidth="1"/>
    <col min="12049" max="12049" width="13.875" style="1627" customWidth="1"/>
    <col min="12050" max="12050" width="7.625" style="1627" customWidth="1"/>
    <col min="12051" max="12051" width="10.125" style="1627" customWidth="1"/>
    <col min="12052" max="12052" width="11.375" style="1627" customWidth="1"/>
    <col min="12053" max="12053" width="13.875" style="1627" customWidth="1"/>
    <col min="12054" max="12054" width="7.625" style="1627" customWidth="1"/>
    <col min="12055" max="12055" width="10.125" style="1627" customWidth="1"/>
    <col min="12056" max="12056" width="11.375" style="1627" customWidth="1"/>
    <col min="12057" max="12057" width="13.875" style="1627" customWidth="1"/>
    <col min="12058" max="12058" width="11.5" style="1627" customWidth="1"/>
    <col min="12059" max="12060" width="12.625" style="1627" customWidth="1"/>
    <col min="12061" max="12061" width="7.625" style="1627" customWidth="1"/>
    <col min="12062" max="12062" width="10.125" style="1627" customWidth="1"/>
    <col min="12063" max="12063" width="11.375" style="1627" customWidth="1"/>
    <col min="12064" max="12064" width="13.875" style="1627" customWidth="1"/>
    <col min="12065" max="12288" width="9" style="1627"/>
    <col min="12289" max="12289" width="12.875" style="1627" customWidth="1"/>
    <col min="12290" max="12290" width="15.25" style="1627" customWidth="1"/>
    <col min="12291" max="12291" width="16.5" style="1627" customWidth="1"/>
    <col min="12292" max="12292" width="15" style="1627" customWidth="1"/>
    <col min="12293" max="12293" width="12.625" style="1627" customWidth="1"/>
    <col min="12294" max="12294" width="25.625" style="1627" bestFit="1" customWidth="1"/>
    <col min="12295" max="12296" width="7.625" style="1627" customWidth="1"/>
    <col min="12297" max="12297" width="11.375" style="1627" customWidth="1"/>
    <col min="12298" max="12298" width="7.625" style="1627" customWidth="1"/>
    <col min="12299" max="12299" width="10.125" style="1627" customWidth="1"/>
    <col min="12300" max="12300" width="11.375" style="1627" customWidth="1"/>
    <col min="12301" max="12301" width="13.875" style="1627" customWidth="1"/>
    <col min="12302" max="12302" width="7.625" style="1627" customWidth="1"/>
    <col min="12303" max="12303" width="10.125" style="1627" customWidth="1"/>
    <col min="12304" max="12304" width="11.375" style="1627" customWidth="1"/>
    <col min="12305" max="12305" width="13.875" style="1627" customWidth="1"/>
    <col min="12306" max="12306" width="7.625" style="1627" customWidth="1"/>
    <col min="12307" max="12307" width="10.125" style="1627" customWidth="1"/>
    <col min="12308" max="12308" width="11.375" style="1627" customWidth="1"/>
    <col min="12309" max="12309" width="13.875" style="1627" customWidth="1"/>
    <col min="12310" max="12310" width="7.625" style="1627" customWidth="1"/>
    <col min="12311" max="12311" width="10.125" style="1627" customWidth="1"/>
    <col min="12312" max="12312" width="11.375" style="1627" customWidth="1"/>
    <col min="12313" max="12313" width="13.875" style="1627" customWidth="1"/>
    <col min="12314" max="12314" width="11.5" style="1627" customWidth="1"/>
    <col min="12315" max="12316" width="12.625" style="1627" customWidth="1"/>
    <col min="12317" max="12317" width="7.625" style="1627" customWidth="1"/>
    <col min="12318" max="12318" width="10.125" style="1627" customWidth="1"/>
    <col min="12319" max="12319" width="11.375" style="1627" customWidth="1"/>
    <col min="12320" max="12320" width="13.875" style="1627" customWidth="1"/>
    <col min="12321" max="12544" width="9" style="1627"/>
    <col min="12545" max="12545" width="12.875" style="1627" customWidth="1"/>
    <col min="12546" max="12546" width="15.25" style="1627" customWidth="1"/>
    <col min="12547" max="12547" width="16.5" style="1627" customWidth="1"/>
    <col min="12548" max="12548" width="15" style="1627" customWidth="1"/>
    <col min="12549" max="12549" width="12.625" style="1627" customWidth="1"/>
    <col min="12550" max="12550" width="25.625" style="1627" bestFit="1" customWidth="1"/>
    <col min="12551" max="12552" width="7.625" style="1627" customWidth="1"/>
    <col min="12553" max="12553" width="11.375" style="1627" customWidth="1"/>
    <col min="12554" max="12554" width="7.625" style="1627" customWidth="1"/>
    <col min="12555" max="12555" width="10.125" style="1627" customWidth="1"/>
    <col min="12556" max="12556" width="11.375" style="1627" customWidth="1"/>
    <col min="12557" max="12557" width="13.875" style="1627" customWidth="1"/>
    <col min="12558" max="12558" width="7.625" style="1627" customWidth="1"/>
    <col min="12559" max="12559" width="10.125" style="1627" customWidth="1"/>
    <col min="12560" max="12560" width="11.375" style="1627" customWidth="1"/>
    <col min="12561" max="12561" width="13.875" style="1627" customWidth="1"/>
    <col min="12562" max="12562" width="7.625" style="1627" customWidth="1"/>
    <col min="12563" max="12563" width="10.125" style="1627" customWidth="1"/>
    <col min="12564" max="12564" width="11.375" style="1627" customWidth="1"/>
    <col min="12565" max="12565" width="13.875" style="1627" customWidth="1"/>
    <col min="12566" max="12566" width="7.625" style="1627" customWidth="1"/>
    <col min="12567" max="12567" width="10.125" style="1627" customWidth="1"/>
    <col min="12568" max="12568" width="11.375" style="1627" customWidth="1"/>
    <col min="12569" max="12569" width="13.875" style="1627" customWidth="1"/>
    <col min="12570" max="12570" width="11.5" style="1627" customWidth="1"/>
    <col min="12571" max="12572" width="12.625" style="1627" customWidth="1"/>
    <col min="12573" max="12573" width="7.625" style="1627" customWidth="1"/>
    <col min="12574" max="12574" width="10.125" style="1627" customWidth="1"/>
    <col min="12575" max="12575" width="11.375" style="1627" customWidth="1"/>
    <col min="12576" max="12576" width="13.875" style="1627" customWidth="1"/>
    <col min="12577" max="12800" width="9" style="1627"/>
    <col min="12801" max="12801" width="12.875" style="1627" customWidth="1"/>
    <col min="12802" max="12802" width="15.25" style="1627" customWidth="1"/>
    <col min="12803" max="12803" width="16.5" style="1627" customWidth="1"/>
    <col min="12804" max="12804" width="15" style="1627" customWidth="1"/>
    <col min="12805" max="12805" width="12.625" style="1627" customWidth="1"/>
    <col min="12806" max="12806" width="25.625" style="1627" bestFit="1" customWidth="1"/>
    <col min="12807" max="12808" width="7.625" style="1627" customWidth="1"/>
    <col min="12809" max="12809" width="11.375" style="1627" customWidth="1"/>
    <col min="12810" max="12810" width="7.625" style="1627" customWidth="1"/>
    <col min="12811" max="12811" width="10.125" style="1627" customWidth="1"/>
    <col min="12812" max="12812" width="11.375" style="1627" customWidth="1"/>
    <col min="12813" max="12813" width="13.875" style="1627" customWidth="1"/>
    <col min="12814" max="12814" width="7.625" style="1627" customWidth="1"/>
    <col min="12815" max="12815" width="10.125" style="1627" customWidth="1"/>
    <col min="12816" max="12816" width="11.375" style="1627" customWidth="1"/>
    <col min="12817" max="12817" width="13.875" style="1627" customWidth="1"/>
    <col min="12818" max="12818" width="7.625" style="1627" customWidth="1"/>
    <col min="12819" max="12819" width="10.125" style="1627" customWidth="1"/>
    <col min="12820" max="12820" width="11.375" style="1627" customWidth="1"/>
    <col min="12821" max="12821" width="13.875" style="1627" customWidth="1"/>
    <col min="12822" max="12822" width="7.625" style="1627" customWidth="1"/>
    <col min="12823" max="12823" width="10.125" style="1627" customWidth="1"/>
    <col min="12824" max="12824" width="11.375" style="1627" customWidth="1"/>
    <col min="12825" max="12825" width="13.875" style="1627" customWidth="1"/>
    <col min="12826" max="12826" width="11.5" style="1627" customWidth="1"/>
    <col min="12827" max="12828" width="12.625" style="1627" customWidth="1"/>
    <col min="12829" max="12829" width="7.625" style="1627" customWidth="1"/>
    <col min="12830" max="12830" width="10.125" style="1627" customWidth="1"/>
    <col min="12831" max="12831" width="11.375" style="1627" customWidth="1"/>
    <col min="12832" max="12832" width="13.875" style="1627" customWidth="1"/>
    <col min="12833" max="13056" width="9" style="1627"/>
    <col min="13057" max="13057" width="12.875" style="1627" customWidth="1"/>
    <col min="13058" max="13058" width="15.25" style="1627" customWidth="1"/>
    <col min="13059" max="13059" width="16.5" style="1627" customWidth="1"/>
    <col min="13060" max="13060" width="15" style="1627" customWidth="1"/>
    <col min="13061" max="13061" width="12.625" style="1627" customWidth="1"/>
    <col min="13062" max="13062" width="25.625" style="1627" bestFit="1" customWidth="1"/>
    <col min="13063" max="13064" width="7.625" style="1627" customWidth="1"/>
    <col min="13065" max="13065" width="11.375" style="1627" customWidth="1"/>
    <col min="13066" max="13066" width="7.625" style="1627" customWidth="1"/>
    <col min="13067" max="13067" width="10.125" style="1627" customWidth="1"/>
    <col min="13068" max="13068" width="11.375" style="1627" customWidth="1"/>
    <col min="13069" max="13069" width="13.875" style="1627" customWidth="1"/>
    <col min="13070" max="13070" width="7.625" style="1627" customWidth="1"/>
    <col min="13071" max="13071" width="10.125" style="1627" customWidth="1"/>
    <col min="13072" max="13072" width="11.375" style="1627" customWidth="1"/>
    <col min="13073" max="13073" width="13.875" style="1627" customWidth="1"/>
    <col min="13074" max="13074" width="7.625" style="1627" customWidth="1"/>
    <col min="13075" max="13075" width="10.125" style="1627" customWidth="1"/>
    <col min="13076" max="13076" width="11.375" style="1627" customWidth="1"/>
    <col min="13077" max="13077" width="13.875" style="1627" customWidth="1"/>
    <col min="13078" max="13078" width="7.625" style="1627" customWidth="1"/>
    <col min="13079" max="13079" width="10.125" style="1627" customWidth="1"/>
    <col min="13080" max="13080" width="11.375" style="1627" customWidth="1"/>
    <col min="13081" max="13081" width="13.875" style="1627" customWidth="1"/>
    <col min="13082" max="13082" width="11.5" style="1627" customWidth="1"/>
    <col min="13083" max="13084" width="12.625" style="1627" customWidth="1"/>
    <col min="13085" max="13085" width="7.625" style="1627" customWidth="1"/>
    <col min="13086" max="13086" width="10.125" style="1627" customWidth="1"/>
    <col min="13087" max="13087" width="11.375" style="1627" customWidth="1"/>
    <col min="13088" max="13088" width="13.875" style="1627" customWidth="1"/>
    <col min="13089" max="13312" width="9" style="1627"/>
    <col min="13313" max="13313" width="12.875" style="1627" customWidth="1"/>
    <col min="13314" max="13314" width="15.25" style="1627" customWidth="1"/>
    <col min="13315" max="13315" width="16.5" style="1627" customWidth="1"/>
    <col min="13316" max="13316" width="15" style="1627" customWidth="1"/>
    <col min="13317" max="13317" width="12.625" style="1627" customWidth="1"/>
    <col min="13318" max="13318" width="25.625" style="1627" bestFit="1" customWidth="1"/>
    <col min="13319" max="13320" width="7.625" style="1627" customWidth="1"/>
    <col min="13321" max="13321" width="11.375" style="1627" customWidth="1"/>
    <col min="13322" max="13322" width="7.625" style="1627" customWidth="1"/>
    <col min="13323" max="13323" width="10.125" style="1627" customWidth="1"/>
    <col min="13324" max="13324" width="11.375" style="1627" customWidth="1"/>
    <col min="13325" max="13325" width="13.875" style="1627" customWidth="1"/>
    <col min="13326" max="13326" width="7.625" style="1627" customWidth="1"/>
    <col min="13327" max="13327" width="10.125" style="1627" customWidth="1"/>
    <col min="13328" max="13328" width="11.375" style="1627" customWidth="1"/>
    <col min="13329" max="13329" width="13.875" style="1627" customWidth="1"/>
    <col min="13330" max="13330" width="7.625" style="1627" customWidth="1"/>
    <col min="13331" max="13331" width="10.125" style="1627" customWidth="1"/>
    <col min="13332" max="13332" width="11.375" style="1627" customWidth="1"/>
    <col min="13333" max="13333" width="13.875" style="1627" customWidth="1"/>
    <col min="13334" max="13334" width="7.625" style="1627" customWidth="1"/>
    <col min="13335" max="13335" width="10.125" style="1627" customWidth="1"/>
    <col min="13336" max="13336" width="11.375" style="1627" customWidth="1"/>
    <col min="13337" max="13337" width="13.875" style="1627" customWidth="1"/>
    <col min="13338" max="13338" width="11.5" style="1627" customWidth="1"/>
    <col min="13339" max="13340" width="12.625" style="1627" customWidth="1"/>
    <col min="13341" max="13341" width="7.625" style="1627" customWidth="1"/>
    <col min="13342" max="13342" width="10.125" style="1627" customWidth="1"/>
    <col min="13343" max="13343" width="11.375" style="1627" customWidth="1"/>
    <col min="13344" max="13344" width="13.875" style="1627" customWidth="1"/>
    <col min="13345" max="13568" width="9" style="1627"/>
    <col min="13569" max="13569" width="12.875" style="1627" customWidth="1"/>
    <col min="13570" max="13570" width="15.25" style="1627" customWidth="1"/>
    <col min="13571" max="13571" width="16.5" style="1627" customWidth="1"/>
    <col min="13572" max="13572" width="15" style="1627" customWidth="1"/>
    <col min="13573" max="13573" width="12.625" style="1627" customWidth="1"/>
    <col min="13574" max="13574" width="25.625" style="1627" bestFit="1" customWidth="1"/>
    <col min="13575" max="13576" width="7.625" style="1627" customWidth="1"/>
    <col min="13577" max="13577" width="11.375" style="1627" customWidth="1"/>
    <col min="13578" max="13578" width="7.625" style="1627" customWidth="1"/>
    <col min="13579" max="13579" width="10.125" style="1627" customWidth="1"/>
    <col min="13580" max="13580" width="11.375" style="1627" customWidth="1"/>
    <col min="13581" max="13581" width="13.875" style="1627" customWidth="1"/>
    <col min="13582" max="13582" width="7.625" style="1627" customWidth="1"/>
    <col min="13583" max="13583" width="10.125" style="1627" customWidth="1"/>
    <col min="13584" max="13584" width="11.375" style="1627" customWidth="1"/>
    <col min="13585" max="13585" width="13.875" style="1627" customWidth="1"/>
    <col min="13586" max="13586" width="7.625" style="1627" customWidth="1"/>
    <col min="13587" max="13587" width="10.125" style="1627" customWidth="1"/>
    <col min="13588" max="13588" width="11.375" style="1627" customWidth="1"/>
    <col min="13589" max="13589" width="13.875" style="1627" customWidth="1"/>
    <col min="13590" max="13590" width="7.625" style="1627" customWidth="1"/>
    <col min="13591" max="13591" width="10.125" style="1627" customWidth="1"/>
    <col min="13592" max="13592" width="11.375" style="1627" customWidth="1"/>
    <col min="13593" max="13593" width="13.875" style="1627" customWidth="1"/>
    <col min="13594" max="13594" width="11.5" style="1627" customWidth="1"/>
    <col min="13595" max="13596" width="12.625" style="1627" customWidth="1"/>
    <col min="13597" max="13597" width="7.625" style="1627" customWidth="1"/>
    <col min="13598" max="13598" width="10.125" style="1627" customWidth="1"/>
    <col min="13599" max="13599" width="11.375" style="1627" customWidth="1"/>
    <col min="13600" max="13600" width="13.875" style="1627" customWidth="1"/>
    <col min="13601" max="13824" width="9" style="1627"/>
    <col min="13825" max="13825" width="12.875" style="1627" customWidth="1"/>
    <col min="13826" max="13826" width="15.25" style="1627" customWidth="1"/>
    <col min="13827" max="13827" width="16.5" style="1627" customWidth="1"/>
    <col min="13828" max="13828" width="15" style="1627" customWidth="1"/>
    <col min="13829" max="13829" width="12.625" style="1627" customWidth="1"/>
    <col min="13830" max="13830" width="25.625" style="1627" bestFit="1" customWidth="1"/>
    <col min="13831" max="13832" width="7.625" style="1627" customWidth="1"/>
    <col min="13833" max="13833" width="11.375" style="1627" customWidth="1"/>
    <col min="13834" max="13834" width="7.625" style="1627" customWidth="1"/>
    <col min="13835" max="13835" width="10.125" style="1627" customWidth="1"/>
    <col min="13836" max="13836" width="11.375" style="1627" customWidth="1"/>
    <col min="13837" max="13837" width="13.875" style="1627" customWidth="1"/>
    <col min="13838" max="13838" width="7.625" style="1627" customWidth="1"/>
    <col min="13839" max="13839" width="10.125" style="1627" customWidth="1"/>
    <col min="13840" max="13840" width="11.375" style="1627" customWidth="1"/>
    <col min="13841" max="13841" width="13.875" style="1627" customWidth="1"/>
    <col min="13842" max="13842" width="7.625" style="1627" customWidth="1"/>
    <col min="13843" max="13843" width="10.125" style="1627" customWidth="1"/>
    <col min="13844" max="13844" width="11.375" style="1627" customWidth="1"/>
    <col min="13845" max="13845" width="13.875" style="1627" customWidth="1"/>
    <col min="13846" max="13846" width="7.625" style="1627" customWidth="1"/>
    <col min="13847" max="13847" width="10.125" style="1627" customWidth="1"/>
    <col min="13848" max="13848" width="11.375" style="1627" customWidth="1"/>
    <col min="13849" max="13849" width="13.875" style="1627" customWidth="1"/>
    <col min="13850" max="13850" width="11.5" style="1627" customWidth="1"/>
    <col min="13851" max="13852" width="12.625" style="1627" customWidth="1"/>
    <col min="13853" max="13853" width="7.625" style="1627" customWidth="1"/>
    <col min="13854" max="13854" width="10.125" style="1627" customWidth="1"/>
    <col min="13855" max="13855" width="11.375" style="1627" customWidth="1"/>
    <col min="13856" max="13856" width="13.875" style="1627" customWidth="1"/>
    <col min="13857" max="14080" width="9" style="1627"/>
    <col min="14081" max="14081" width="12.875" style="1627" customWidth="1"/>
    <col min="14082" max="14082" width="15.25" style="1627" customWidth="1"/>
    <col min="14083" max="14083" width="16.5" style="1627" customWidth="1"/>
    <col min="14084" max="14084" width="15" style="1627" customWidth="1"/>
    <col min="14085" max="14085" width="12.625" style="1627" customWidth="1"/>
    <col min="14086" max="14086" width="25.625" style="1627" bestFit="1" customWidth="1"/>
    <col min="14087" max="14088" width="7.625" style="1627" customWidth="1"/>
    <col min="14089" max="14089" width="11.375" style="1627" customWidth="1"/>
    <col min="14090" max="14090" width="7.625" style="1627" customWidth="1"/>
    <col min="14091" max="14091" width="10.125" style="1627" customWidth="1"/>
    <col min="14092" max="14092" width="11.375" style="1627" customWidth="1"/>
    <col min="14093" max="14093" width="13.875" style="1627" customWidth="1"/>
    <col min="14094" max="14094" width="7.625" style="1627" customWidth="1"/>
    <col min="14095" max="14095" width="10.125" style="1627" customWidth="1"/>
    <col min="14096" max="14096" width="11.375" style="1627" customWidth="1"/>
    <col min="14097" max="14097" width="13.875" style="1627" customWidth="1"/>
    <col min="14098" max="14098" width="7.625" style="1627" customWidth="1"/>
    <col min="14099" max="14099" width="10.125" style="1627" customWidth="1"/>
    <col min="14100" max="14100" width="11.375" style="1627" customWidth="1"/>
    <col min="14101" max="14101" width="13.875" style="1627" customWidth="1"/>
    <col min="14102" max="14102" width="7.625" style="1627" customWidth="1"/>
    <col min="14103" max="14103" width="10.125" style="1627" customWidth="1"/>
    <col min="14104" max="14104" width="11.375" style="1627" customWidth="1"/>
    <col min="14105" max="14105" width="13.875" style="1627" customWidth="1"/>
    <col min="14106" max="14106" width="11.5" style="1627" customWidth="1"/>
    <col min="14107" max="14108" width="12.625" style="1627" customWidth="1"/>
    <col min="14109" max="14109" width="7.625" style="1627" customWidth="1"/>
    <col min="14110" max="14110" width="10.125" style="1627" customWidth="1"/>
    <col min="14111" max="14111" width="11.375" style="1627" customWidth="1"/>
    <col min="14112" max="14112" width="13.875" style="1627" customWidth="1"/>
    <col min="14113" max="14336" width="9" style="1627"/>
    <col min="14337" max="14337" width="12.875" style="1627" customWidth="1"/>
    <col min="14338" max="14338" width="15.25" style="1627" customWidth="1"/>
    <col min="14339" max="14339" width="16.5" style="1627" customWidth="1"/>
    <col min="14340" max="14340" width="15" style="1627" customWidth="1"/>
    <col min="14341" max="14341" width="12.625" style="1627" customWidth="1"/>
    <col min="14342" max="14342" width="25.625" style="1627" bestFit="1" customWidth="1"/>
    <col min="14343" max="14344" width="7.625" style="1627" customWidth="1"/>
    <col min="14345" max="14345" width="11.375" style="1627" customWidth="1"/>
    <col min="14346" max="14346" width="7.625" style="1627" customWidth="1"/>
    <col min="14347" max="14347" width="10.125" style="1627" customWidth="1"/>
    <col min="14348" max="14348" width="11.375" style="1627" customWidth="1"/>
    <col min="14349" max="14349" width="13.875" style="1627" customWidth="1"/>
    <col min="14350" max="14350" width="7.625" style="1627" customWidth="1"/>
    <col min="14351" max="14351" width="10.125" style="1627" customWidth="1"/>
    <col min="14352" max="14352" width="11.375" style="1627" customWidth="1"/>
    <col min="14353" max="14353" width="13.875" style="1627" customWidth="1"/>
    <col min="14354" max="14354" width="7.625" style="1627" customWidth="1"/>
    <col min="14355" max="14355" width="10.125" style="1627" customWidth="1"/>
    <col min="14356" max="14356" width="11.375" style="1627" customWidth="1"/>
    <col min="14357" max="14357" width="13.875" style="1627" customWidth="1"/>
    <col min="14358" max="14358" width="7.625" style="1627" customWidth="1"/>
    <col min="14359" max="14359" width="10.125" style="1627" customWidth="1"/>
    <col min="14360" max="14360" width="11.375" style="1627" customWidth="1"/>
    <col min="14361" max="14361" width="13.875" style="1627" customWidth="1"/>
    <col min="14362" max="14362" width="11.5" style="1627" customWidth="1"/>
    <col min="14363" max="14364" width="12.625" style="1627" customWidth="1"/>
    <col min="14365" max="14365" width="7.625" style="1627" customWidth="1"/>
    <col min="14366" max="14366" width="10.125" style="1627" customWidth="1"/>
    <col min="14367" max="14367" width="11.375" style="1627" customWidth="1"/>
    <col min="14368" max="14368" width="13.875" style="1627" customWidth="1"/>
    <col min="14369" max="14592" width="9" style="1627"/>
    <col min="14593" max="14593" width="12.875" style="1627" customWidth="1"/>
    <col min="14594" max="14594" width="15.25" style="1627" customWidth="1"/>
    <col min="14595" max="14595" width="16.5" style="1627" customWidth="1"/>
    <col min="14596" max="14596" width="15" style="1627" customWidth="1"/>
    <col min="14597" max="14597" width="12.625" style="1627" customWidth="1"/>
    <col min="14598" max="14598" width="25.625" style="1627" bestFit="1" customWidth="1"/>
    <col min="14599" max="14600" width="7.625" style="1627" customWidth="1"/>
    <col min="14601" max="14601" width="11.375" style="1627" customWidth="1"/>
    <col min="14602" max="14602" width="7.625" style="1627" customWidth="1"/>
    <col min="14603" max="14603" width="10.125" style="1627" customWidth="1"/>
    <col min="14604" max="14604" width="11.375" style="1627" customWidth="1"/>
    <col min="14605" max="14605" width="13.875" style="1627" customWidth="1"/>
    <col min="14606" max="14606" width="7.625" style="1627" customWidth="1"/>
    <col min="14607" max="14607" width="10.125" style="1627" customWidth="1"/>
    <col min="14608" max="14608" width="11.375" style="1627" customWidth="1"/>
    <col min="14609" max="14609" width="13.875" style="1627" customWidth="1"/>
    <col min="14610" max="14610" width="7.625" style="1627" customWidth="1"/>
    <col min="14611" max="14611" width="10.125" style="1627" customWidth="1"/>
    <col min="14612" max="14612" width="11.375" style="1627" customWidth="1"/>
    <col min="14613" max="14613" width="13.875" style="1627" customWidth="1"/>
    <col min="14614" max="14614" width="7.625" style="1627" customWidth="1"/>
    <col min="14615" max="14615" width="10.125" style="1627" customWidth="1"/>
    <col min="14616" max="14616" width="11.375" style="1627" customWidth="1"/>
    <col min="14617" max="14617" width="13.875" style="1627" customWidth="1"/>
    <col min="14618" max="14618" width="11.5" style="1627" customWidth="1"/>
    <col min="14619" max="14620" width="12.625" style="1627" customWidth="1"/>
    <col min="14621" max="14621" width="7.625" style="1627" customWidth="1"/>
    <col min="14622" max="14622" width="10.125" style="1627" customWidth="1"/>
    <col min="14623" max="14623" width="11.375" style="1627" customWidth="1"/>
    <col min="14624" max="14624" width="13.875" style="1627" customWidth="1"/>
    <col min="14625" max="14848" width="9" style="1627"/>
    <col min="14849" max="14849" width="12.875" style="1627" customWidth="1"/>
    <col min="14850" max="14850" width="15.25" style="1627" customWidth="1"/>
    <col min="14851" max="14851" width="16.5" style="1627" customWidth="1"/>
    <col min="14852" max="14852" width="15" style="1627" customWidth="1"/>
    <col min="14853" max="14853" width="12.625" style="1627" customWidth="1"/>
    <col min="14854" max="14854" width="25.625" style="1627" bestFit="1" customWidth="1"/>
    <col min="14855" max="14856" width="7.625" style="1627" customWidth="1"/>
    <col min="14857" max="14857" width="11.375" style="1627" customWidth="1"/>
    <col min="14858" max="14858" width="7.625" style="1627" customWidth="1"/>
    <col min="14859" max="14859" width="10.125" style="1627" customWidth="1"/>
    <col min="14860" max="14860" width="11.375" style="1627" customWidth="1"/>
    <col min="14861" max="14861" width="13.875" style="1627" customWidth="1"/>
    <col min="14862" max="14862" width="7.625" style="1627" customWidth="1"/>
    <col min="14863" max="14863" width="10.125" style="1627" customWidth="1"/>
    <col min="14864" max="14864" width="11.375" style="1627" customWidth="1"/>
    <col min="14865" max="14865" width="13.875" style="1627" customWidth="1"/>
    <col min="14866" max="14866" width="7.625" style="1627" customWidth="1"/>
    <col min="14867" max="14867" width="10.125" style="1627" customWidth="1"/>
    <col min="14868" max="14868" width="11.375" style="1627" customWidth="1"/>
    <col min="14869" max="14869" width="13.875" style="1627" customWidth="1"/>
    <col min="14870" max="14870" width="7.625" style="1627" customWidth="1"/>
    <col min="14871" max="14871" width="10.125" style="1627" customWidth="1"/>
    <col min="14872" max="14872" width="11.375" style="1627" customWidth="1"/>
    <col min="14873" max="14873" width="13.875" style="1627" customWidth="1"/>
    <col min="14874" max="14874" width="11.5" style="1627" customWidth="1"/>
    <col min="14875" max="14876" width="12.625" style="1627" customWidth="1"/>
    <col min="14877" max="14877" width="7.625" style="1627" customWidth="1"/>
    <col min="14878" max="14878" width="10.125" style="1627" customWidth="1"/>
    <col min="14879" max="14879" width="11.375" style="1627" customWidth="1"/>
    <col min="14880" max="14880" width="13.875" style="1627" customWidth="1"/>
    <col min="14881" max="15104" width="9" style="1627"/>
    <col min="15105" max="15105" width="12.875" style="1627" customWidth="1"/>
    <col min="15106" max="15106" width="15.25" style="1627" customWidth="1"/>
    <col min="15107" max="15107" width="16.5" style="1627" customWidth="1"/>
    <col min="15108" max="15108" width="15" style="1627" customWidth="1"/>
    <col min="15109" max="15109" width="12.625" style="1627" customWidth="1"/>
    <col min="15110" max="15110" width="25.625" style="1627" bestFit="1" customWidth="1"/>
    <col min="15111" max="15112" width="7.625" style="1627" customWidth="1"/>
    <col min="15113" max="15113" width="11.375" style="1627" customWidth="1"/>
    <col min="15114" max="15114" width="7.625" style="1627" customWidth="1"/>
    <col min="15115" max="15115" width="10.125" style="1627" customWidth="1"/>
    <col min="15116" max="15116" width="11.375" style="1627" customWidth="1"/>
    <col min="15117" max="15117" width="13.875" style="1627" customWidth="1"/>
    <col min="15118" max="15118" width="7.625" style="1627" customWidth="1"/>
    <col min="15119" max="15119" width="10.125" style="1627" customWidth="1"/>
    <col min="15120" max="15120" width="11.375" style="1627" customWidth="1"/>
    <col min="15121" max="15121" width="13.875" style="1627" customWidth="1"/>
    <col min="15122" max="15122" width="7.625" style="1627" customWidth="1"/>
    <col min="15123" max="15123" width="10.125" style="1627" customWidth="1"/>
    <col min="15124" max="15124" width="11.375" style="1627" customWidth="1"/>
    <col min="15125" max="15125" width="13.875" style="1627" customWidth="1"/>
    <col min="15126" max="15126" width="7.625" style="1627" customWidth="1"/>
    <col min="15127" max="15127" width="10.125" style="1627" customWidth="1"/>
    <col min="15128" max="15128" width="11.375" style="1627" customWidth="1"/>
    <col min="15129" max="15129" width="13.875" style="1627" customWidth="1"/>
    <col min="15130" max="15130" width="11.5" style="1627" customWidth="1"/>
    <col min="15131" max="15132" width="12.625" style="1627" customWidth="1"/>
    <col min="15133" max="15133" width="7.625" style="1627" customWidth="1"/>
    <col min="15134" max="15134" width="10.125" style="1627" customWidth="1"/>
    <col min="15135" max="15135" width="11.375" style="1627" customWidth="1"/>
    <col min="15136" max="15136" width="13.875" style="1627" customWidth="1"/>
    <col min="15137" max="15360" width="9" style="1627"/>
    <col min="15361" max="15361" width="12.875" style="1627" customWidth="1"/>
    <col min="15362" max="15362" width="15.25" style="1627" customWidth="1"/>
    <col min="15363" max="15363" width="16.5" style="1627" customWidth="1"/>
    <col min="15364" max="15364" width="15" style="1627" customWidth="1"/>
    <col min="15365" max="15365" width="12.625" style="1627" customWidth="1"/>
    <col min="15366" max="15366" width="25.625" style="1627" bestFit="1" customWidth="1"/>
    <col min="15367" max="15368" width="7.625" style="1627" customWidth="1"/>
    <col min="15369" max="15369" width="11.375" style="1627" customWidth="1"/>
    <col min="15370" max="15370" width="7.625" style="1627" customWidth="1"/>
    <col min="15371" max="15371" width="10.125" style="1627" customWidth="1"/>
    <col min="15372" max="15372" width="11.375" style="1627" customWidth="1"/>
    <col min="15373" max="15373" width="13.875" style="1627" customWidth="1"/>
    <col min="15374" max="15374" width="7.625" style="1627" customWidth="1"/>
    <col min="15375" max="15375" width="10.125" style="1627" customWidth="1"/>
    <col min="15376" max="15376" width="11.375" style="1627" customWidth="1"/>
    <col min="15377" max="15377" width="13.875" style="1627" customWidth="1"/>
    <col min="15378" max="15378" width="7.625" style="1627" customWidth="1"/>
    <col min="15379" max="15379" width="10.125" style="1627" customWidth="1"/>
    <col min="15380" max="15380" width="11.375" style="1627" customWidth="1"/>
    <col min="15381" max="15381" width="13.875" style="1627" customWidth="1"/>
    <col min="15382" max="15382" width="7.625" style="1627" customWidth="1"/>
    <col min="15383" max="15383" width="10.125" style="1627" customWidth="1"/>
    <col min="15384" max="15384" width="11.375" style="1627" customWidth="1"/>
    <col min="15385" max="15385" width="13.875" style="1627" customWidth="1"/>
    <col min="15386" max="15386" width="11.5" style="1627" customWidth="1"/>
    <col min="15387" max="15388" width="12.625" style="1627" customWidth="1"/>
    <col min="15389" max="15389" width="7.625" style="1627" customWidth="1"/>
    <col min="15390" max="15390" width="10.125" style="1627" customWidth="1"/>
    <col min="15391" max="15391" width="11.375" style="1627" customWidth="1"/>
    <col min="15392" max="15392" width="13.875" style="1627" customWidth="1"/>
    <col min="15393" max="15616" width="9" style="1627"/>
    <col min="15617" max="15617" width="12.875" style="1627" customWidth="1"/>
    <col min="15618" max="15618" width="15.25" style="1627" customWidth="1"/>
    <col min="15619" max="15619" width="16.5" style="1627" customWidth="1"/>
    <col min="15620" max="15620" width="15" style="1627" customWidth="1"/>
    <col min="15621" max="15621" width="12.625" style="1627" customWidth="1"/>
    <col min="15622" max="15622" width="25.625" style="1627" bestFit="1" customWidth="1"/>
    <col min="15623" max="15624" width="7.625" style="1627" customWidth="1"/>
    <col min="15625" max="15625" width="11.375" style="1627" customWidth="1"/>
    <col min="15626" max="15626" width="7.625" style="1627" customWidth="1"/>
    <col min="15627" max="15627" width="10.125" style="1627" customWidth="1"/>
    <col min="15628" max="15628" width="11.375" style="1627" customWidth="1"/>
    <col min="15629" max="15629" width="13.875" style="1627" customWidth="1"/>
    <col min="15630" max="15630" width="7.625" style="1627" customWidth="1"/>
    <col min="15631" max="15631" width="10.125" style="1627" customWidth="1"/>
    <col min="15632" max="15632" width="11.375" style="1627" customWidth="1"/>
    <col min="15633" max="15633" width="13.875" style="1627" customWidth="1"/>
    <col min="15634" max="15634" width="7.625" style="1627" customWidth="1"/>
    <col min="15635" max="15635" width="10.125" style="1627" customWidth="1"/>
    <col min="15636" max="15636" width="11.375" style="1627" customWidth="1"/>
    <col min="15637" max="15637" width="13.875" style="1627" customWidth="1"/>
    <col min="15638" max="15638" width="7.625" style="1627" customWidth="1"/>
    <col min="15639" max="15639" width="10.125" style="1627" customWidth="1"/>
    <col min="15640" max="15640" width="11.375" style="1627" customWidth="1"/>
    <col min="15641" max="15641" width="13.875" style="1627" customWidth="1"/>
    <col min="15642" max="15642" width="11.5" style="1627" customWidth="1"/>
    <col min="15643" max="15644" width="12.625" style="1627" customWidth="1"/>
    <col min="15645" max="15645" width="7.625" style="1627" customWidth="1"/>
    <col min="15646" max="15646" width="10.125" style="1627" customWidth="1"/>
    <col min="15647" max="15647" width="11.375" style="1627" customWidth="1"/>
    <col min="15648" max="15648" width="13.875" style="1627" customWidth="1"/>
    <col min="15649" max="15872" width="9" style="1627"/>
    <col min="15873" max="15873" width="12.875" style="1627" customWidth="1"/>
    <col min="15874" max="15874" width="15.25" style="1627" customWidth="1"/>
    <col min="15875" max="15875" width="16.5" style="1627" customWidth="1"/>
    <col min="15876" max="15876" width="15" style="1627" customWidth="1"/>
    <col min="15877" max="15877" width="12.625" style="1627" customWidth="1"/>
    <col min="15878" max="15878" width="25.625" style="1627" bestFit="1" customWidth="1"/>
    <col min="15879" max="15880" width="7.625" style="1627" customWidth="1"/>
    <col min="15881" max="15881" width="11.375" style="1627" customWidth="1"/>
    <col min="15882" max="15882" width="7.625" style="1627" customWidth="1"/>
    <col min="15883" max="15883" width="10.125" style="1627" customWidth="1"/>
    <col min="15884" max="15884" width="11.375" style="1627" customWidth="1"/>
    <col min="15885" max="15885" width="13.875" style="1627" customWidth="1"/>
    <col min="15886" max="15886" width="7.625" style="1627" customWidth="1"/>
    <col min="15887" max="15887" width="10.125" style="1627" customWidth="1"/>
    <col min="15888" max="15888" width="11.375" style="1627" customWidth="1"/>
    <col min="15889" max="15889" width="13.875" style="1627" customWidth="1"/>
    <col min="15890" max="15890" width="7.625" style="1627" customWidth="1"/>
    <col min="15891" max="15891" width="10.125" style="1627" customWidth="1"/>
    <col min="15892" max="15892" width="11.375" style="1627" customWidth="1"/>
    <col min="15893" max="15893" width="13.875" style="1627" customWidth="1"/>
    <col min="15894" max="15894" width="7.625" style="1627" customWidth="1"/>
    <col min="15895" max="15895" width="10.125" style="1627" customWidth="1"/>
    <col min="15896" max="15896" width="11.375" style="1627" customWidth="1"/>
    <col min="15897" max="15897" width="13.875" style="1627" customWidth="1"/>
    <col min="15898" max="15898" width="11.5" style="1627" customWidth="1"/>
    <col min="15899" max="15900" width="12.625" style="1627" customWidth="1"/>
    <col min="15901" max="15901" width="7.625" style="1627" customWidth="1"/>
    <col min="15902" max="15902" width="10.125" style="1627" customWidth="1"/>
    <col min="15903" max="15903" width="11.375" style="1627" customWidth="1"/>
    <col min="15904" max="15904" width="13.875" style="1627" customWidth="1"/>
    <col min="15905" max="16128" width="9" style="1627"/>
    <col min="16129" max="16129" width="12.875" style="1627" customWidth="1"/>
    <col min="16130" max="16130" width="15.25" style="1627" customWidth="1"/>
    <col min="16131" max="16131" width="16.5" style="1627" customWidth="1"/>
    <col min="16132" max="16132" width="15" style="1627" customWidth="1"/>
    <col min="16133" max="16133" width="12.625" style="1627" customWidth="1"/>
    <col min="16134" max="16134" width="25.625" style="1627" bestFit="1" customWidth="1"/>
    <col min="16135" max="16136" width="7.625" style="1627" customWidth="1"/>
    <col min="16137" max="16137" width="11.375" style="1627" customWidth="1"/>
    <col min="16138" max="16138" width="7.625" style="1627" customWidth="1"/>
    <col min="16139" max="16139" width="10.125" style="1627" customWidth="1"/>
    <col min="16140" max="16140" width="11.375" style="1627" customWidth="1"/>
    <col min="16141" max="16141" width="13.875" style="1627" customWidth="1"/>
    <col min="16142" max="16142" width="7.625" style="1627" customWidth="1"/>
    <col min="16143" max="16143" width="10.125" style="1627" customWidth="1"/>
    <col min="16144" max="16144" width="11.375" style="1627" customWidth="1"/>
    <col min="16145" max="16145" width="13.875" style="1627" customWidth="1"/>
    <col min="16146" max="16146" width="7.625" style="1627" customWidth="1"/>
    <col min="16147" max="16147" width="10.125" style="1627" customWidth="1"/>
    <col min="16148" max="16148" width="11.375" style="1627" customWidth="1"/>
    <col min="16149" max="16149" width="13.875" style="1627" customWidth="1"/>
    <col min="16150" max="16150" width="7.625" style="1627" customWidth="1"/>
    <col min="16151" max="16151" width="10.125" style="1627" customWidth="1"/>
    <col min="16152" max="16152" width="11.375" style="1627" customWidth="1"/>
    <col min="16153" max="16153" width="13.875" style="1627" customWidth="1"/>
    <col min="16154" max="16154" width="11.5" style="1627" customWidth="1"/>
    <col min="16155" max="16156" width="12.625" style="1627" customWidth="1"/>
    <col min="16157" max="16157" width="7.625" style="1627" customWidth="1"/>
    <col min="16158" max="16158" width="10.125" style="1627" customWidth="1"/>
    <col min="16159" max="16159" width="11.375" style="1627" customWidth="1"/>
    <col min="16160" max="16160" width="13.875" style="1627" customWidth="1"/>
    <col min="16161" max="16384" width="9" style="1627"/>
  </cols>
  <sheetData>
    <row r="1" spans="1:32" ht="21.95" customHeight="1">
      <c r="A1" s="3083" t="s">
        <v>3204</v>
      </c>
      <c r="B1" s="3083" t="s">
        <v>3205</v>
      </c>
      <c r="C1" s="3083" t="s">
        <v>3206</v>
      </c>
      <c r="D1" s="3083" t="s">
        <v>3207</v>
      </c>
      <c r="E1" s="3083" t="s">
        <v>3208</v>
      </c>
      <c r="F1" s="3083" t="s">
        <v>3209</v>
      </c>
      <c r="G1" s="3083" t="s">
        <v>3210</v>
      </c>
      <c r="H1" s="3083" t="s">
        <v>3211</v>
      </c>
      <c r="I1" s="3083" t="s">
        <v>3212</v>
      </c>
      <c r="J1" s="3083" t="s">
        <v>3213</v>
      </c>
      <c r="K1" s="3083"/>
      <c r="L1" s="3083"/>
      <c r="M1" s="3083"/>
      <c r="N1" s="3083" t="s">
        <v>3214</v>
      </c>
      <c r="O1" s="3083"/>
      <c r="P1" s="3083"/>
      <c r="Q1" s="3083"/>
      <c r="R1" s="3083" t="s">
        <v>3215</v>
      </c>
      <c r="S1" s="3083"/>
      <c r="T1" s="3083"/>
      <c r="U1" s="3083"/>
      <c r="V1" s="3083" t="s">
        <v>3216</v>
      </c>
      <c r="W1" s="3083"/>
      <c r="X1" s="3083"/>
      <c r="Y1" s="3083"/>
      <c r="Z1" s="3083" t="s">
        <v>3217</v>
      </c>
      <c r="AA1" s="3083" t="s">
        <v>3218</v>
      </c>
      <c r="AB1" s="3083" t="s">
        <v>3219</v>
      </c>
      <c r="AC1" s="3083" t="s">
        <v>3220</v>
      </c>
      <c r="AD1" s="3083"/>
      <c r="AE1" s="3083"/>
      <c r="AF1" s="3083"/>
    </row>
    <row r="2" spans="1:32" ht="21.95" customHeight="1">
      <c r="A2" s="3083"/>
      <c r="B2" s="3083"/>
      <c r="C2" s="3083"/>
      <c r="D2" s="3083"/>
      <c r="E2" s="3083"/>
      <c r="F2" s="3083"/>
      <c r="G2" s="3083"/>
      <c r="H2" s="3083"/>
      <c r="I2" s="3083"/>
      <c r="J2" s="2963" t="s">
        <v>3221</v>
      </c>
      <c r="K2" s="2963" t="s">
        <v>3222</v>
      </c>
      <c r="L2" s="2963" t="s">
        <v>3223</v>
      </c>
      <c r="M2" s="2963" t="s">
        <v>3224</v>
      </c>
      <c r="N2" s="2963" t="s">
        <v>3221</v>
      </c>
      <c r="O2" s="2963" t="s">
        <v>3222</v>
      </c>
      <c r="P2" s="2963" t="s">
        <v>3223</v>
      </c>
      <c r="Q2" s="2963" t="s">
        <v>3224</v>
      </c>
      <c r="R2" s="2963" t="s">
        <v>3221</v>
      </c>
      <c r="S2" s="2963" t="s">
        <v>3222</v>
      </c>
      <c r="T2" s="2963" t="s">
        <v>3223</v>
      </c>
      <c r="U2" s="2963" t="s">
        <v>3224</v>
      </c>
      <c r="V2" s="2963" t="s">
        <v>3221</v>
      </c>
      <c r="W2" s="2963" t="s">
        <v>3222</v>
      </c>
      <c r="X2" s="2963" t="s">
        <v>3223</v>
      </c>
      <c r="Y2" s="2963" t="s">
        <v>3224</v>
      </c>
      <c r="Z2" s="3083"/>
      <c r="AA2" s="3083"/>
      <c r="AB2" s="3083"/>
      <c r="AC2" s="2963" t="s">
        <v>3221</v>
      </c>
      <c r="AD2" s="2963" t="s">
        <v>3222</v>
      </c>
      <c r="AE2" s="2963" t="s">
        <v>3223</v>
      </c>
      <c r="AF2" s="2963" t="s">
        <v>3224</v>
      </c>
    </row>
    <row r="3" spans="1:32" ht="14.1" customHeight="1">
      <c r="A3" s="2964" t="s">
        <v>3225</v>
      </c>
      <c r="B3" s="2964" t="s">
        <v>3226</v>
      </c>
      <c r="C3" s="2964" t="s">
        <v>3227</v>
      </c>
      <c r="D3" s="2964" t="s">
        <v>3228</v>
      </c>
      <c r="E3" s="2964" t="s">
        <v>3228</v>
      </c>
      <c r="F3" s="2964" t="s">
        <v>3229</v>
      </c>
      <c r="G3" s="2964" t="s">
        <v>3230</v>
      </c>
      <c r="H3" s="2964" t="s">
        <v>3231</v>
      </c>
      <c r="I3" s="2964">
        <v>37.46</v>
      </c>
      <c r="J3" s="2965">
        <v>255</v>
      </c>
      <c r="K3" s="2965">
        <v>9530.06</v>
      </c>
      <c r="L3" s="2965">
        <v>27345.26</v>
      </c>
      <c r="M3" s="2965">
        <v>26060.2</v>
      </c>
      <c r="N3" s="2965">
        <v>1</v>
      </c>
      <c r="O3" s="2965">
        <v>59.06</v>
      </c>
      <c r="P3" s="2965">
        <v>20496.59</v>
      </c>
      <c r="Q3" s="2965">
        <v>121.05</v>
      </c>
      <c r="R3" s="2965"/>
      <c r="S3" s="2965"/>
      <c r="T3" s="2965"/>
      <c r="U3" s="2965"/>
      <c r="V3" s="2965">
        <v>256</v>
      </c>
      <c r="W3" s="2965">
        <v>9589.1200000000008</v>
      </c>
      <c r="X3" s="2965">
        <v>27303.08</v>
      </c>
      <c r="Y3" s="2965">
        <v>26181.25</v>
      </c>
      <c r="Z3" s="2964" t="s">
        <v>3232</v>
      </c>
      <c r="AA3" s="2964" t="s">
        <v>3233</v>
      </c>
      <c r="AB3" s="2964" t="s">
        <v>3234</v>
      </c>
      <c r="AC3" s="2965">
        <v>255</v>
      </c>
      <c r="AD3" s="2965">
        <v>9530.06</v>
      </c>
      <c r="AE3" s="2965">
        <v>27345.26</v>
      </c>
      <c r="AF3" s="2965">
        <v>26060.2</v>
      </c>
    </row>
    <row r="4" spans="1:32" ht="14.1" customHeight="1">
      <c r="A4" s="2964" t="s">
        <v>3225</v>
      </c>
      <c r="B4" s="2964" t="s">
        <v>3226</v>
      </c>
      <c r="C4" s="2964" t="s">
        <v>3227</v>
      </c>
      <c r="D4" s="2964" t="s">
        <v>3235</v>
      </c>
      <c r="E4" s="2964" t="s">
        <v>3235</v>
      </c>
      <c r="F4" s="2964" t="s">
        <v>3236</v>
      </c>
      <c r="G4" s="2964" t="s">
        <v>3230</v>
      </c>
      <c r="H4" s="2964" t="s">
        <v>3231</v>
      </c>
      <c r="I4" s="2964">
        <v>59</v>
      </c>
      <c r="J4" s="2965">
        <v>9</v>
      </c>
      <c r="K4" s="2965">
        <v>530.96</v>
      </c>
      <c r="L4" s="2965">
        <v>26135.72</v>
      </c>
      <c r="M4" s="2965">
        <v>1387.7</v>
      </c>
      <c r="N4" s="2965"/>
      <c r="O4" s="2965"/>
      <c r="P4" s="2965"/>
      <c r="Q4" s="2965"/>
      <c r="R4" s="2965"/>
      <c r="S4" s="2965"/>
      <c r="T4" s="2965"/>
      <c r="U4" s="2965"/>
      <c r="V4" s="2965">
        <v>9</v>
      </c>
      <c r="W4" s="2965">
        <v>530.96</v>
      </c>
      <c r="X4" s="2965">
        <v>26135.72</v>
      </c>
      <c r="Y4" s="2965">
        <v>1387.7</v>
      </c>
      <c r="Z4" s="2964" t="s">
        <v>3237</v>
      </c>
      <c r="AA4" s="2964" t="s">
        <v>3237</v>
      </c>
      <c r="AB4" s="2964" t="s">
        <v>3237</v>
      </c>
      <c r="AC4" s="2965">
        <v>9</v>
      </c>
      <c r="AD4" s="2965">
        <v>530.96</v>
      </c>
      <c r="AE4" s="2965">
        <v>26135.72</v>
      </c>
      <c r="AF4" s="2965">
        <v>1387.7</v>
      </c>
    </row>
    <row r="5" spans="1:32" ht="14.1" customHeight="1">
      <c r="A5" s="2964" t="s">
        <v>3225</v>
      </c>
      <c r="B5" s="2964" t="s">
        <v>3226</v>
      </c>
      <c r="C5" s="2964" t="s">
        <v>3227</v>
      </c>
      <c r="D5" s="2964" t="s">
        <v>3238</v>
      </c>
      <c r="E5" s="2964"/>
      <c r="F5" s="2964" t="s">
        <v>3239</v>
      </c>
      <c r="G5" s="2964" t="s">
        <v>3230</v>
      </c>
      <c r="H5" s="2964" t="s">
        <v>3231</v>
      </c>
      <c r="I5" s="2964"/>
      <c r="J5" s="2965"/>
      <c r="K5" s="2965"/>
      <c r="L5" s="2965"/>
      <c r="M5" s="2965"/>
      <c r="N5" s="2965"/>
      <c r="O5" s="2965"/>
      <c r="P5" s="2965"/>
      <c r="Q5" s="2965"/>
      <c r="R5" s="2965"/>
      <c r="S5" s="2965"/>
      <c r="T5" s="2965"/>
      <c r="U5" s="2965"/>
      <c r="V5" s="2965"/>
      <c r="W5" s="2965"/>
      <c r="X5" s="2965"/>
      <c r="Y5" s="2965"/>
      <c r="Z5" s="2964" t="s">
        <v>3237</v>
      </c>
      <c r="AA5" s="2964" t="s">
        <v>3237</v>
      </c>
      <c r="AB5" s="2964" t="s">
        <v>3237</v>
      </c>
      <c r="AC5" s="2965"/>
      <c r="AD5" s="2965"/>
      <c r="AE5" s="2965"/>
      <c r="AF5" s="2965"/>
    </row>
    <row r="6" spans="1:32" ht="14.1" customHeight="1">
      <c r="A6" s="2964" t="s">
        <v>3225</v>
      </c>
      <c r="B6" s="2964" t="s">
        <v>3226</v>
      </c>
      <c r="C6" s="2964" t="s">
        <v>3227</v>
      </c>
      <c r="D6" s="2964" t="s">
        <v>3240</v>
      </c>
      <c r="E6" s="2964"/>
      <c r="F6" s="2964" t="s">
        <v>3241</v>
      </c>
      <c r="G6" s="2964" t="s">
        <v>3230</v>
      </c>
      <c r="H6" s="2964" t="s">
        <v>3231</v>
      </c>
      <c r="I6" s="2964"/>
      <c r="J6" s="2965"/>
      <c r="K6" s="2965"/>
      <c r="L6" s="2965"/>
      <c r="M6" s="2965"/>
      <c r="N6" s="2965"/>
      <c r="O6" s="2965"/>
      <c r="P6" s="2965"/>
      <c r="Q6" s="2965"/>
      <c r="R6" s="2965"/>
      <c r="S6" s="2965"/>
      <c r="T6" s="2965"/>
      <c r="U6" s="2965"/>
      <c r="V6" s="2965"/>
      <c r="W6" s="2965"/>
      <c r="X6" s="2965"/>
      <c r="Y6" s="2965"/>
      <c r="Z6" s="2964" t="s">
        <v>3237</v>
      </c>
      <c r="AA6" s="2964" t="s">
        <v>3237</v>
      </c>
      <c r="AB6" s="2964" t="s">
        <v>3237</v>
      </c>
      <c r="AC6" s="2965"/>
      <c r="AD6" s="2965"/>
      <c r="AE6" s="2965"/>
      <c r="AF6" s="2965"/>
    </row>
    <row r="7" spans="1:32" ht="14.1" customHeight="1">
      <c r="A7" s="2964" t="s">
        <v>3225</v>
      </c>
      <c r="B7" s="2964" t="s">
        <v>3226</v>
      </c>
      <c r="C7" s="2964" t="s">
        <v>3227</v>
      </c>
      <c r="D7" s="2964" t="s">
        <v>3242</v>
      </c>
      <c r="E7" s="2964" t="s">
        <v>3242</v>
      </c>
      <c r="F7" s="2964" t="s">
        <v>3243</v>
      </c>
      <c r="G7" s="2964" t="s">
        <v>3244</v>
      </c>
      <c r="H7" s="2964" t="s">
        <v>3231</v>
      </c>
      <c r="I7" s="2964">
        <v>62.64</v>
      </c>
      <c r="J7" s="2965">
        <v>10</v>
      </c>
      <c r="K7" s="2965">
        <v>626.38</v>
      </c>
      <c r="L7" s="2965">
        <v>15002.09</v>
      </c>
      <c r="M7" s="2965">
        <v>939.7</v>
      </c>
      <c r="N7" s="2965"/>
      <c r="O7" s="2965"/>
      <c r="P7" s="2965"/>
      <c r="Q7" s="2965"/>
      <c r="R7" s="2965"/>
      <c r="S7" s="2965"/>
      <c r="T7" s="2965"/>
      <c r="U7" s="2965"/>
      <c r="V7" s="2965">
        <v>10</v>
      </c>
      <c r="W7" s="2965">
        <v>626.38</v>
      </c>
      <c r="X7" s="2965">
        <v>15002.09</v>
      </c>
      <c r="Y7" s="2965">
        <v>939.7</v>
      </c>
      <c r="Z7" s="2964" t="s">
        <v>3237</v>
      </c>
      <c r="AA7" s="2964" t="s">
        <v>3237</v>
      </c>
      <c r="AB7" s="2964" t="s">
        <v>3237</v>
      </c>
      <c r="AC7" s="2965">
        <v>10</v>
      </c>
      <c r="AD7" s="2965">
        <v>626.38</v>
      </c>
      <c r="AE7" s="2965">
        <v>15002.09</v>
      </c>
      <c r="AF7" s="2965">
        <v>939.7</v>
      </c>
    </row>
    <row r="8" spans="1:32" ht="14.1" customHeight="1">
      <c r="A8" s="2964" t="s">
        <v>3225</v>
      </c>
      <c r="B8" s="2964" t="s">
        <v>3226</v>
      </c>
      <c r="C8" s="2964" t="s">
        <v>3227</v>
      </c>
      <c r="D8" s="2964" t="s">
        <v>3245</v>
      </c>
      <c r="E8" s="2964" t="s">
        <v>3245</v>
      </c>
      <c r="F8" s="2964" t="s">
        <v>3246</v>
      </c>
      <c r="G8" s="2964" t="s">
        <v>3246</v>
      </c>
      <c r="H8" s="2964" t="s">
        <v>3231</v>
      </c>
      <c r="I8" s="2964">
        <v>51.36</v>
      </c>
      <c r="J8" s="2965">
        <v>10</v>
      </c>
      <c r="K8" s="2965">
        <v>513.55999999999995</v>
      </c>
      <c r="L8" s="2965">
        <v>15000</v>
      </c>
      <c r="M8" s="2965">
        <v>770.34</v>
      </c>
      <c r="N8" s="2965"/>
      <c r="O8" s="2965"/>
      <c r="P8" s="2965"/>
      <c r="Q8" s="2965"/>
      <c r="R8" s="2965"/>
      <c r="S8" s="2965"/>
      <c r="T8" s="2965"/>
      <c r="U8" s="2965"/>
      <c r="V8" s="2965">
        <v>10</v>
      </c>
      <c r="W8" s="2965">
        <v>513.55999999999995</v>
      </c>
      <c r="X8" s="2965">
        <v>15000</v>
      </c>
      <c r="Y8" s="2965">
        <v>770.34</v>
      </c>
      <c r="Z8" s="2964" t="s">
        <v>3237</v>
      </c>
      <c r="AA8" s="2964" t="s">
        <v>3237</v>
      </c>
      <c r="AB8" s="2964" t="s">
        <v>3237</v>
      </c>
      <c r="AC8" s="2965">
        <v>10</v>
      </c>
      <c r="AD8" s="2965">
        <v>513.55999999999995</v>
      </c>
      <c r="AE8" s="2965">
        <v>15000</v>
      </c>
      <c r="AF8" s="2965">
        <v>770.34</v>
      </c>
    </row>
    <row r="9" spans="1:32" ht="14.1" customHeight="1">
      <c r="A9" s="2964" t="s">
        <v>3225</v>
      </c>
      <c r="B9" s="2964" t="s">
        <v>3226</v>
      </c>
      <c r="C9" s="2964" t="s">
        <v>3227</v>
      </c>
      <c r="D9" s="2964" t="s">
        <v>3247</v>
      </c>
      <c r="E9" s="2964" t="s">
        <v>3247</v>
      </c>
      <c r="F9" s="2964" t="s">
        <v>3248</v>
      </c>
      <c r="G9" s="2964" t="s">
        <v>1377</v>
      </c>
      <c r="H9" s="2964" t="s">
        <v>3231</v>
      </c>
      <c r="I9" s="2964">
        <v>46.47</v>
      </c>
      <c r="J9" s="2965">
        <v>11</v>
      </c>
      <c r="K9" s="2965">
        <v>511.17</v>
      </c>
      <c r="L9" s="2965">
        <v>46625.29</v>
      </c>
      <c r="M9" s="2965">
        <v>2383.34</v>
      </c>
      <c r="N9" s="2965"/>
      <c r="O9" s="2965"/>
      <c r="P9" s="2965"/>
      <c r="Q9" s="2965"/>
      <c r="R9" s="2965"/>
      <c r="S9" s="2965"/>
      <c r="T9" s="2965"/>
      <c r="U9" s="2965"/>
      <c r="V9" s="2965">
        <v>11</v>
      </c>
      <c r="W9" s="2965">
        <v>511.17</v>
      </c>
      <c r="X9" s="2965">
        <v>46625.29</v>
      </c>
      <c r="Y9" s="2965">
        <v>2383.34</v>
      </c>
      <c r="Z9" s="2964" t="s">
        <v>3237</v>
      </c>
      <c r="AA9" s="2964" t="s">
        <v>3237</v>
      </c>
      <c r="AB9" s="2964" t="s">
        <v>3237</v>
      </c>
      <c r="AC9" s="2965">
        <v>11</v>
      </c>
      <c r="AD9" s="2965">
        <v>511.17</v>
      </c>
      <c r="AE9" s="2965">
        <v>46625.29</v>
      </c>
      <c r="AF9" s="2965">
        <v>2383.34</v>
      </c>
    </row>
    <row r="10" spans="1:32" ht="14.1" customHeight="1">
      <c r="A10" s="2964" t="s">
        <v>3225</v>
      </c>
      <c r="B10" s="2964" t="s">
        <v>3226</v>
      </c>
      <c r="C10" s="2964" t="s">
        <v>3227</v>
      </c>
      <c r="D10" s="2964" t="s">
        <v>3249</v>
      </c>
      <c r="E10" s="2964" t="s">
        <v>3249</v>
      </c>
      <c r="F10" s="2964" t="s">
        <v>3229</v>
      </c>
      <c r="G10" s="2964" t="s">
        <v>3230</v>
      </c>
      <c r="H10" s="2964" t="s">
        <v>3231</v>
      </c>
      <c r="I10" s="2964">
        <v>39.99</v>
      </c>
      <c r="J10" s="2965">
        <v>161</v>
      </c>
      <c r="K10" s="2965">
        <v>6439</v>
      </c>
      <c r="L10" s="2965">
        <v>28607.24</v>
      </c>
      <c r="M10" s="2965">
        <v>18420.2</v>
      </c>
      <c r="N10" s="2965"/>
      <c r="O10" s="2965"/>
      <c r="P10" s="2965"/>
      <c r="Q10" s="2965"/>
      <c r="R10" s="2965"/>
      <c r="S10" s="2965"/>
      <c r="T10" s="2965"/>
      <c r="U10" s="2965"/>
      <c r="V10" s="2965">
        <v>161</v>
      </c>
      <c r="W10" s="2965">
        <v>6439</v>
      </c>
      <c r="X10" s="2965">
        <v>28607.24</v>
      </c>
      <c r="Y10" s="2965">
        <v>18420.2</v>
      </c>
      <c r="Z10" s="2964" t="s">
        <v>3237</v>
      </c>
      <c r="AA10" s="2964" t="s">
        <v>3237</v>
      </c>
      <c r="AB10" s="2964" t="s">
        <v>3237</v>
      </c>
      <c r="AC10" s="2965">
        <v>159</v>
      </c>
      <c r="AD10" s="2965">
        <v>6352.86</v>
      </c>
      <c r="AE10" s="2965">
        <v>28643.74</v>
      </c>
      <c r="AF10" s="2965">
        <v>18196.97</v>
      </c>
    </row>
    <row r="11" spans="1:32" ht="14.1" customHeight="1">
      <c r="A11" s="2964" t="s">
        <v>3225</v>
      </c>
      <c r="B11" s="2964" t="s">
        <v>3226</v>
      </c>
      <c r="C11" s="2964" t="s">
        <v>3227</v>
      </c>
      <c r="D11" s="2964" t="s">
        <v>3250</v>
      </c>
      <c r="E11" s="2964"/>
      <c r="F11" s="2964" t="s">
        <v>3236</v>
      </c>
      <c r="G11" s="2964" t="s">
        <v>3230</v>
      </c>
      <c r="H11" s="2964" t="s">
        <v>3231</v>
      </c>
      <c r="I11" s="2964"/>
      <c r="J11" s="2965"/>
      <c r="K11" s="2965"/>
      <c r="L11" s="2965"/>
      <c r="M11" s="2965"/>
      <c r="N11" s="2965"/>
      <c r="O11" s="2965"/>
      <c r="P11" s="2965"/>
      <c r="Q11" s="2965"/>
      <c r="R11" s="2965"/>
      <c r="S11" s="2965"/>
      <c r="T11" s="2965"/>
      <c r="U11" s="2965"/>
      <c r="V11" s="2965"/>
      <c r="W11" s="2965"/>
      <c r="X11" s="2965"/>
      <c r="Y11" s="2965"/>
      <c r="Z11" s="2964" t="s">
        <v>3237</v>
      </c>
      <c r="AA11" s="2964" t="s">
        <v>3237</v>
      </c>
      <c r="AB11" s="2964" t="s">
        <v>3237</v>
      </c>
      <c r="AC11" s="2965"/>
      <c r="AD11" s="2965"/>
      <c r="AE11" s="2965"/>
      <c r="AF11" s="2965"/>
    </row>
    <row r="12" spans="1:32" ht="14.1" customHeight="1">
      <c r="A12" s="2964" t="s">
        <v>3225</v>
      </c>
      <c r="B12" s="2964" t="s">
        <v>3226</v>
      </c>
      <c r="C12" s="2964" t="s">
        <v>3227</v>
      </c>
      <c r="D12" s="2964" t="s">
        <v>3251</v>
      </c>
      <c r="E12" s="2964"/>
      <c r="F12" s="2964" t="s">
        <v>3239</v>
      </c>
      <c r="G12" s="2964" t="s">
        <v>3230</v>
      </c>
      <c r="H12" s="2964" t="s">
        <v>3231</v>
      </c>
      <c r="I12" s="2964"/>
      <c r="J12" s="2965"/>
      <c r="K12" s="2965"/>
      <c r="L12" s="2965"/>
      <c r="M12" s="2965"/>
      <c r="N12" s="2965"/>
      <c r="O12" s="2965"/>
      <c r="P12" s="2965"/>
      <c r="Q12" s="2965"/>
      <c r="R12" s="2965"/>
      <c r="S12" s="2965"/>
      <c r="T12" s="2965"/>
      <c r="U12" s="2965"/>
      <c r="V12" s="2965"/>
      <c r="W12" s="2965"/>
      <c r="X12" s="2965"/>
      <c r="Y12" s="2965"/>
      <c r="Z12" s="2964" t="s">
        <v>3237</v>
      </c>
      <c r="AA12" s="2964" t="s">
        <v>3237</v>
      </c>
      <c r="AB12" s="2964" t="s">
        <v>3237</v>
      </c>
      <c r="AC12" s="2965"/>
      <c r="AD12" s="2965"/>
      <c r="AE12" s="2965"/>
      <c r="AF12" s="2965"/>
    </row>
    <row r="13" spans="1:32" ht="14.1" customHeight="1">
      <c r="A13" s="2964" t="s">
        <v>3225</v>
      </c>
      <c r="B13" s="2964" t="s">
        <v>3226</v>
      </c>
      <c r="C13" s="2964" t="s">
        <v>3227</v>
      </c>
      <c r="D13" s="2964" t="s">
        <v>3252</v>
      </c>
      <c r="E13" s="2964" t="s">
        <v>3252</v>
      </c>
      <c r="F13" s="2964" t="s">
        <v>3241</v>
      </c>
      <c r="G13" s="2964" t="s">
        <v>3230</v>
      </c>
      <c r="H13" s="2964" t="s">
        <v>3231</v>
      </c>
      <c r="I13" s="2964">
        <v>31.25</v>
      </c>
      <c r="J13" s="2965">
        <v>9</v>
      </c>
      <c r="K13" s="2965">
        <v>281.22000000000003</v>
      </c>
      <c r="L13" s="2965">
        <v>26296.799999999999</v>
      </c>
      <c r="M13" s="2965">
        <v>739.52</v>
      </c>
      <c r="N13" s="2965"/>
      <c r="O13" s="2965"/>
      <c r="P13" s="2965"/>
      <c r="Q13" s="2965"/>
      <c r="R13" s="2965"/>
      <c r="S13" s="2965"/>
      <c r="T13" s="2965"/>
      <c r="U13" s="2965"/>
      <c r="V13" s="2965">
        <v>9</v>
      </c>
      <c r="W13" s="2965">
        <v>281.22000000000003</v>
      </c>
      <c r="X13" s="2965">
        <v>26296.799999999999</v>
      </c>
      <c r="Y13" s="2965">
        <v>739.52</v>
      </c>
      <c r="Z13" s="2964" t="s">
        <v>3237</v>
      </c>
      <c r="AA13" s="2964" t="s">
        <v>3237</v>
      </c>
      <c r="AB13" s="2964" t="s">
        <v>3237</v>
      </c>
      <c r="AC13" s="2965">
        <v>8</v>
      </c>
      <c r="AD13" s="2965">
        <v>249.92</v>
      </c>
      <c r="AE13" s="2965">
        <v>26547.94</v>
      </c>
      <c r="AF13" s="2965">
        <v>663.49</v>
      </c>
    </row>
    <row r="14" spans="1:32" ht="14.1" customHeight="1">
      <c r="A14" s="2964" t="s">
        <v>3225</v>
      </c>
      <c r="B14" s="2964" t="s">
        <v>3226</v>
      </c>
      <c r="C14" s="2964" t="s">
        <v>3227</v>
      </c>
      <c r="D14" s="2964" t="s">
        <v>3253</v>
      </c>
      <c r="E14" s="2964"/>
      <c r="F14" s="2964" t="s">
        <v>3243</v>
      </c>
      <c r="G14" s="2964" t="s">
        <v>3244</v>
      </c>
      <c r="H14" s="2964" t="s">
        <v>3231</v>
      </c>
      <c r="I14" s="2964"/>
      <c r="J14" s="2965"/>
      <c r="K14" s="2965"/>
      <c r="L14" s="2965"/>
      <c r="M14" s="2965"/>
      <c r="N14" s="2965"/>
      <c r="O14" s="2965"/>
      <c r="P14" s="2965"/>
      <c r="Q14" s="2965"/>
      <c r="R14" s="2965"/>
      <c r="S14" s="2965"/>
      <c r="T14" s="2965"/>
      <c r="U14" s="2965"/>
      <c r="V14" s="2965"/>
      <c r="W14" s="2965"/>
      <c r="X14" s="2965"/>
      <c r="Y14" s="2965"/>
      <c r="Z14" s="2964" t="s">
        <v>3237</v>
      </c>
      <c r="AA14" s="2964" t="s">
        <v>3237</v>
      </c>
      <c r="AB14" s="2964" t="s">
        <v>3237</v>
      </c>
      <c r="AC14" s="2965"/>
      <c r="AD14" s="2965"/>
      <c r="AE14" s="2965"/>
      <c r="AF14" s="2965"/>
    </row>
    <row r="15" spans="1:32" ht="14.1" customHeight="1">
      <c r="A15" s="2964" t="s">
        <v>3225</v>
      </c>
      <c r="B15" s="2964" t="s">
        <v>3226</v>
      </c>
      <c r="C15" s="2964" t="s">
        <v>3227</v>
      </c>
      <c r="D15" s="2964" t="s">
        <v>3254</v>
      </c>
      <c r="E15" s="2964"/>
      <c r="F15" s="2964" t="s">
        <v>3246</v>
      </c>
      <c r="G15" s="2964" t="s">
        <v>3246</v>
      </c>
      <c r="H15" s="2964" t="s">
        <v>3231</v>
      </c>
      <c r="I15" s="2964"/>
      <c r="J15" s="2965"/>
      <c r="K15" s="2965"/>
      <c r="L15" s="2965"/>
      <c r="M15" s="2965"/>
      <c r="N15" s="2965"/>
      <c r="O15" s="2965"/>
      <c r="P15" s="2965"/>
      <c r="Q15" s="2965"/>
      <c r="R15" s="2965"/>
      <c r="S15" s="2965"/>
      <c r="T15" s="2965"/>
      <c r="U15" s="2965"/>
      <c r="V15" s="2965"/>
      <c r="W15" s="2965"/>
      <c r="X15" s="2965"/>
      <c r="Y15" s="2965"/>
      <c r="Z15" s="2964" t="s">
        <v>3237</v>
      </c>
      <c r="AA15" s="2964" t="s">
        <v>3237</v>
      </c>
      <c r="AB15" s="2964" t="s">
        <v>3237</v>
      </c>
      <c r="AC15" s="2965"/>
      <c r="AD15" s="2965"/>
      <c r="AE15" s="2965"/>
      <c r="AF15" s="2965"/>
    </row>
    <row r="16" spans="1:32" ht="14.1" customHeight="1">
      <c r="A16" s="2964" t="s">
        <v>3225</v>
      </c>
      <c r="B16" s="2964" t="s">
        <v>3226</v>
      </c>
      <c r="C16" s="2964" t="s">
        <v>3227</v>
      </c>
      <c r="D16" s="2964" t="s">
        <v>3255</v>
      </c>
      <c r="E16" s="2964"/>
      <c r="F16" s="2964" t="s">
        <v>3248</v>
      </c>
      <c r="G16" s="2964" t="s">
        <v>1377</v>
      </c>
      <c r="H16" s="2964" t="s">
        <v>3231</v>
      </c>
      <c r="I16" s="2964"/>
      <c r="J16" s="2965"/>
      <c r="K16" s="2965"/>
      <c r="L16" s="2965"/>
      <c r="M16" s="2965"/>
      <c r="N16" s="2965"/>
      <c r="O16" s="2965"/>
      <c r="P16" s="2965"/>
      <c r="Q16" s="2965"/>
      <c r="R16" s="2965"/>
      <c r="S16" s="2965"/>
      <c r="T16" s="2965"/>
      <c r="U16" s="2965"/>
      <c r="V16" s="2965"/>
      <c r="W16" s="2965"/>
      <c r="X16" s="2965"/>
      <c r="Y16" s="2965"/>
      <c r="Z16" s="2964" t="s">
        <v>3237</v>
      </c>
      <c r="AA16" s="2964" t="s">
        <v>3237</v>
      </c>
      <c r="AB16" s="2964" t="s">
        <v>3237</v>
      </c>
      <c r="AC16" s="2965"/>
      <c r="AD16" s="2965"/>
      <c r="AE16" s="2965"/>
      <c r="AF16" s="2965"/>
    </row>
    <row r="17" spans="1:32" ht="14.1" customHeight="1">
      <c r="A17" s="2964" t="s">
        <v>3225</v>
      </c>
      <c r="B17" s="2964" t="s">
        <v>3226</v>
      </c>
      <c r="C17" s="2964" t="s">
        <v>3227</v>
      </c>
      <c r="D17" s="2964" t="s">
        <v>3256</v>
      </c>
      <c r="E17" s="2964" t="s">
        <v>3256</v>
      </c>
      <c r="F17" s="2964" t="s">
        <v>3229</v>
      </c>
      <c r="G17" s="2964" t="s">
        <v>3230</v>
      </c>
      <c r="H17" s="2964" t="s">
        <v>3231</v>
      </c>
      <c r="I17" s="2964">
        <v>38.5</v>
      </c>
      <c r="J17" s="2965">
        <v>113</v>
      </c>
      <c r="K17" s="2965">
        <v>4350.41</v>
      </c>
      <c r="L17" s="2965">
        <v>27509.62</v>
      </c>
      <c r="M17" s="2965">
        <v>11967.81</v>
      </c>
      <c r="N17" s="2965"/>
      <c r="O17" s="2965"/>
      <c r="P17" s="2965"/>
      <c r="Q17" s="2965"/>
      <c r="R17" s="2965"/>
      <c r="S17" s="2965"/>
      <c r="T17" s="2965"/>
      <c r="U17" s="2965"/>
      <c r="V17" s="2965">
        <v>113</v>
      </c>
      <c r="W17" s="2965">
        <v>4350.41</v>
      </c>
      <c r="X17" s="2965">
        <v>27509.62</v>
      </c>
      <c r="Y17" s="2965">
        <v>11967.81</v>
      </c>
      <c r="Z17" s="2964" t="s">
        <v>3237</v>
      </c>
      <c r="AA17" s="2964" t="s">
        <v>3237</v>
      </c>
      <c r="AB17" s="2964" t="s">
        <v>3237</v>
      </c>
      <c r="AC17" s="2965">
        <v>113</v>
      </c>
      <c r="AD17" s="2965">
        <v>4350.41</v>
      </c>
      <c r="AE17" s="2965">
        <v>27509.62</v>
      </c>
      <c r="AF17" s="2965">
        <v>11967.81</v>
      </c>
    </row>
    <row r="18" spans="1:32" ht="14.1" customHeight="1">
      <c r="A18" s="2964" t="s">
        <v>3225</v>
      </c>
      <c r="B18" s="2964" t="s">
        <v>3226</v>
      </c>
      <c r="C18" s="2964" t="s">
        <v>3227</v>
      </c>
      <c r="D18" s="2964" t="s">
        <v>3257</v>
      </c>
      <c r="E18" s="2964" t="s">
        <v>3257</v>
      </c>
      <c r="F18" s="2964" t="s">
        <v>3236</v>
      </c>
      <c r="G18" s="2964" t="s">
        <v>3230</v>
      </c>
      <c r="H18" s="2964" t="s">
        <v>3231</v>
      </c>
      <c r="I18" s="2964">
        <v>51.89</v>
      </c>
      <c r="J18" s="2965">
        <v>5</v>
      </c>
      <c r="K18" s="2965">
        <v>259.47000000000003</v>
      </c>
      <c r="L18" s="2965">
        <v>25877.58</v>
      </c>
      <c r="M18" s="2965">
        <v>671.45</v>
      </c>
      <c r="N18" s="2965"/>
      <c r="O18" s="2965"/>
      <c r="P18" s="2965"/>
      <c r="Q18" s="2965"/>
      <c r="R18" s="2965"/>
      <c r="S18" s="2965"/>
      <c r="T18" s="2965"/>
      <c r="U18" s="2965"/>
      <c r="V18" s="2965">
        <v>5</v>
      </c>
      <c r="W18" s="2965">
        <v>259.47000000000003</v>
      </c>
      <c r="X18" s="2965">
        <v>25877.58</v>
      </c>
      <c r="Y18" s="2965">
        <v>671.45</v>
      </c>
      <c r="Z18" s="2964" t="s">
        <v>3237</v>
      </c>
      <c r="AA18" s="2964" t="s">
        <v>3237</v>
      </c>
      <c r="AB18" s="2964" t="s">
        <v>3237</v>
      </c>
      <c r="AC18" s="2965">
        <v>5</v>
      </c>
      <c r="AD18" s="2965">
        <v>259.47000000000003</v>
      </c>
      <c r="AE18" s="2965">
        <v>25877.58</v>
      </c>
      <c r="AF18" s="2965">
        <v>671.45</v>
      </c>
    </row>
    <row r="19" spans="1:32" ht="14.1" customHeight="1">
      <c r="A19" s="2964" t="s">
        <v>3225</v>
      </c>
      <c r="B19" s="2964" t="s">
        <v>3226</v>
      </c>
      <c r="C19" s="2964" t="s">
        <v>3227</v>
      </c>
      <c r="D19" s="2964" t="s">
        <v>3258</v>
      </c>
      <c r="E19" s="2964"/>
      <c r="F19" s="2964" t="s">
        <v>3239</v>
      </c>
      <c r="G19" s="2964" t="s">
        <v>3230</v>
      </c>
      <c r="H19" s="2964" t="s">
        <v>3231</v>
      </c>
      <c r="I19" s="2964"/>
      <c r="J19" s="2965"/>
      <c r="K19" s="2965"/>
      <c r="L19" s="2965"/>
      <c r="M19" s="2965"/>
      <c r="N19" s="2965"/>
      <c r="O19" s="2965"/>
      <c r="P19" s="2965"/>
      <c r="Q19" s="2965"/>
      <c r="R19" s="2965"/>
      <c r="S19" s="2965"/>
      <c r="T19" s="2965"/>
      <c r="U19" s="2965"/>
      <c r="V19" s="2965"/>
      <c r="W19" s="2965"/>
      <c r="X19" s="2965"/>
      <c r="Y19" s="2965"/>
      <c r="Z19" s="2964" t="s">
        <v>3237</v>
      </c>
      <c r="AA19" s="2964" t="s">
        <v>3237</v>
      </c>
      <c r="AB19" s="2964" t="s">
        <v>3237</v>
      </c>
      <c r="AC19" s="2965"/>
      <c r="AD19" s="2965"/>
      <c r="AE19" s="2965"/>
      <c r="AF19" s="2965"/>
    </row>
    <row r="20" spans="1:32" ht="14.1" customHeight="1">
      <c r="A20" s="2964" t="s">
        <v>3225</v>
      </c>
      <c r="B20" s="2964" t="s">
        <v>3226</v>
      </c>
      <c r="C20" s="2964" t="s">
        <v>3227</v>
      </c>
      <c r="D20" s="2964" t="s">
        <v>3259</v>
      </c>
      <c r="E20" s="2964"/>
      <c r="F20" s="2964" t="s">
        <v>3241</v>
      </c>
      <c r="G20" s="2964" t="s">
        <v>3230</v>
      </c>
      <c r="H20" s="2964" t="s">
        <v>3231</v>
      </c>
      <c r="I20" s="2964"/>
      <c r="J20" s="2965"/>
      <c r="K20" s="2965"/>
      <c r="L20" s="2965"/>
      <c r="M20" s="2965"/>
      <c r="N20" s="2965"/>
      <c r="O20" s="2965"/>
      <c r="P20" s="2965"/>
      <c r="Q20" s="2965"/>
      <c r="R20" s="2965"/>
      <c r="S20" s="2965"/>
      <c r="T20" s="2965"/>
      <c r="U20" s="2965"/>
      <c r="V20" s="2965"/>
      <c r="W20" s="2965"/>
      <c r="X20" s="2965"/>
      <c r="Y20" s="2965"/>
      <c r="Z20" s="2964" t="s">
        <v>3237</v>
      </c>
      <c r="AA20" s="2964" t="s">
        <v>3237</v>
      </c>
      <c r="AB20" s="2964" t="s">
        <v>3237</v>
      </c>
      <c r="AC20" s="2965"/>
      <c r="AD20" s="2965"/>
      <c r="AE20" s="2965"/>
      <c r="AF20" s="2965"/>
    </row>
    <row r="21" spans="1:32" ht="14.1" customHeight="1">
      <c r="A21" s="2964" t="s">
        <v>3225</v>
      </c>
      <c r="B21" s="2964" t="s">
        <v>3226</v>
      </c>
      <c r="C21" s="2964" t="s">
        <v>3227</v>
      </c>
      <c r="D21" s="2964" t="s">
        <v>3260</v>
      </c>
      <c r="E21" s="2964" t="s">
        <v>3260</v>
      </c>
      <c r="F21" s="2964" t="s">
        <v>3243</v>
      </c>
      <c r="G21" s="2964" t="s">
        <v>3244</v>
      </c>
      <c r="H21" s="2964" t="s">
        <v>3231</v>
      </c>
      <c r="I21" s="2964">
        <v>59.28</v>
      </c>
      <c r="J21" s="2965">
        <v>6</v>
      </c>
      <c r="K21" s="2965">
        <v>355.7</v>
      </c>
      <c r="L21" s="2965">
        <v>15000</v>
      </c>
      <c r="M21" s="2965">
        <v>533.54999999999995</v>
      </c>
      <c r="N21" s="2965"/>
      <c r="O21" s="2965"/>
      <c r="P21" s="2965"/>
      <c r="Q21" s="2965"/>
      <c r="R21" s="2965"/>
      <c r="S21" s="2965"/>
      <c r="T21" s="2965"/>
      <c r="U21" s="2965"/>
      <c r="V21" s="2965">
        <v>6</v>
      </c>
      <c r="W21" s="2965">
        <v>355.7</v>
      </c>
      <c r="X21" s="2965">
        <v>15000</v>
      </c>
      <c r="Y21" s="2965">
        <v>533.54999999999995</v>
      </c>
      <c r="Z21" s="2964" t="s">
        <v>3237</v>
      </c>
      <c r="AA21" s="2964" t="s">
        <v>3237</v>
      </c>
      <c r="AB21" s="2964" t="s">
        <v>3237</v>
      </c>
      <c r="AC21" s="2965">
        <v>6</v>
      </c>
      <c r="AD21" s="2965">
        <v>355.7</v>
      </c>
      <c r="AE21" s="2965">
        <v>15000</v>
      </c>
      <c r="AF21" s="2965">
        <v>533.54999999999995</v>
      </c>
    </row>
    <row r="22" spans="1:32" ht="14.1" customHeight="1">
      <c r="A22" s="2964" t="s">
        <v>3225</v>
      </c>
      <c r="B22" s="2964" t="s">
        <v>3226</v>
      </c>
      <c r="C22" s="2964" t="s">
        <v>3227</v>
      </c>
      <c r="D22" s="2964" t="s">
        <v>3261</v>
      </c>
      <c r="E22" s="2964"/>
      <c r="F22" s="2964" t="s">
        <v>3246</v>
      </c>
      <c r="G22" s="2964" t="s">
        <v>3246</v>
      </c>
      <c r="H22" s="2964" t="s">
        <v>3231</v>
      </c>
      <c r="I22" s="2964"/>
      <c r="J22" s="2965"/>
      <c r="K22" s="2965"/>
      <c r="L22" s="2965"/>
      <c r="M22" s="2965"/>
      <c r="N22" s="2965"/>
      <c r="O22" s="2965"/>
      <c r="P22" s="2965"/>
      <c r="Q22" s="2965"/>
      <c r="R22" s="2965"/>
      <c r="S22" s="2965"/>
      <c r="T22" s="2965"/>
      <c r="U22" s="2965"/>
      <c r="V22" s="2965"/>
      <c r="W22" s="2965"/>
      <c r="X22" s="2965"/>
      <c r="Y22" s="2965"/>
      <c r="Z22" s="2964" t="s">
        <v>3237</v>
      </c>
      <c r="AA22" s="2964" t="s">
        <v>3237</v>
      </c>
      <c r="AB22" s="2964" t="s">
        <v>3237</v>
      </c>
      <c r="AC22" s="2965"/>
      <c r="AD22" s="2965"/>
      <c r="AE22" s="2965"/>
      <c r="AF22" s="2965"/>
    </row>
    <row r="23" spans="1:32" ht="14.1" customHeight="1">
      <c r="A23" s="2964" t="s">
        <v>3225</v>
      </c>
      <c r="B23" s="2964" t="s">
        <v>3226</v>
      </c>
      <c r="C23" s="2964" t="s">
        <v>3227</v>
      </c>
      <c r="D23" s="2964" t="s">
        <v>3262</v>
      </c>
      <c r="E23" s="2964"/>
      <c r="F23" s="2964" t="s">
        <v>3248</v>
      </c>
      <c r="G23" s="2964" t="s">
        <v>1377</v>
      </c>
      <c r="H23" s="2964" t="s">
        <v>3231</v>
      </c>
      <c r="I23" s="2964"/>
      <c r="J23" s="2965"/>
      <c r="K23" s="2965"/>
      <c r="L23" s="2965"/>
      <c r="M23" s="2965"/>
      <c r="N23" s="2965"/>
      <c r="O23" s="2965"/>
      <c r="P23" s="2965"/>
      <c r="Q23" s="2965"/>
      <c r="R23" s="2965"/>
      <c r="S23" s="2965"/>
      <c r="T23" s="2965"/>
      <c r="U23" s="2965"/>
      <c r="V23" s="2965"/>
      <c r="W23" s="2965"/>
      <c r="X23" s="2965"/>
      <c r="Y23" s="2965"/>
      <c r="Z23" s="2964" t="s">
        <v>3237</v>
      </c>
      <c r="AA23" s="2964" t="s">
        <v>3237</v>
      </c>
      <c r="AB23" s="2964" t="s">
        <v>3237</v>
      </c>
      <c r="AC23" s="2965"/>
      <c r="AD23" s="2965"/>
      <c r="AE23" s="2965"/>
      <c r="AF23" s="2965"/>
    </row>
    <row r="24" spans="1:32" ht="14.1" customHeight="1">
      <c r="A24" s="2964" t="s">
        <v>3225</v>
      </c>
      <c r="B24" s="2964" t="s">
        <v>3226</v>
      </c>
      <c r="C24" s="2964" t="s">
        <v>3227</v>
      </c>
      <c r="D24" s="2964" t="s">
        <v>3263</v>
      </c>
      <c r="E24" s="2964" t="s">
        <v>3263</v>
      </c>
      <c r="F24" s="2964" t="s">
        <v>3229</v>
      </c>
      <c r="G24" s="2964" t="s">
        <v>3230</v>
      </c>
      <c r="H24" s="2964" t="s">
        <v>3231</v>
      </c>
      <c r="I24" s="2964">
        <v>40.159999999999997</v>
      </c>
      <c r="J24" s="2965">
        <v>158</v>
      </c>
      <c r="K24" s="2965">
        <v>6344.71</v>
      </c>
      <c r="L24" s="2965">
        <v>28999.21</v>
      </c>
      <c r="M24" s="2965">
        <v>18399.16</v>
      </c>
      <c r="N24" s="2965">
        <v>1</v>
      </c>
      <c r="O24" s="2965">
        <v>39.950000000000003</v>
      </c>
      <c r="P24" s="2965">
        <v>22459.68</v>
      </c>
      <c r="Q24" s="2965">
        <v>89.73</v>
      </c>
      <c r="R24" s="2965"/>
      <c r="S24" s="2965"/>
      <c r="T24" s="2965"/>
      <c r="U24" s="2965"/>
      <c r="V24" s="2965">
        <v>159</v>
      </c>
      <c r="W24" s="2965">
        <v>6384.66</v>
      </c>
      <c r="X24" s="2965">
        <v>28958.29</v>
      </c>
      <c r="Y24" s="2965">
        <v>18488.88</v>
      </c>
      <c r="Z24" s="2964" t="s">
        <v>3264</v>
      </c>
      <c r="AA24" s="2964" t="s">
        <v>3264</v>
      </c>
      <c r="AB24" s="2964" t="s">
        <v>3265</v>
      </c>
      <c r="AC24" s="2965">
        <v>154</v>
      </c>
      <c r="AD24" s="2965">
        <v>6185.75</v>
      </c>
      <c r="AE24" s="2965">
        <v>29051.59</v>
      </c>
      <c r="AF24" s="2965">
        <v>17970.59</v>
      </c>
    </row>
    <row r="25" spans="1:32" ht="14.1" customHeight="1">
      <c r="A25" s="2964" t="s">
        <v>3225</v>
      </c>
      <c r="B25" s="2964" t="s">
        <v>3226</v>
      </c>
      <c r="C25" s="2964" t="s">
        <v>3227</v>
      </c>
      <c r="D25" s="2964" t="s">
        <v>3266</v>
      </c>
      <c r="E25" s="2964"/>
      <c r="F25" s="2964" t="s">
        <v>3236</v>
      </c>
      <c r="G25" s="2964" t="s">
        <v>3230</v>
      </c>
      <c r="H25" s="2964" t="s">
        <v>3231</v>
      </c>
      <c r="I25" s="2964"/>
      <c r="J25" s="2965"/>
      <c r="K25" s="2965"/>
      <c r="L25" s="2965"/>
      <c r="M25" s="2965"/>
      <c r="N25" s="2965"/>
      <c r="O25" s="2965"/>
      <c r="P25" s="2965"/>
      <c r="Q25" s="2965"/>
      <c r="R25" s="2965"/>
      <c r="S25" s="2965"/>
      <c r="T25" s="2965"/>
      <c r="U25" s="2965"/>
      <c r="V25" s="2965"/>
      <c r="W25" s="2965"/>
      <c r="X25" s="2965"/>
      <c r="Y25" s="2965"/>
      <c r="Z25" s="2964" t="s">
        <v>3237</v>
      </c>
      <c r="AA25" s="2964" t="s">
        <v>3237</v>
      </c>
      <c r="AB25" s="2964" t="s">
        <v>3237</v>
      </c>
      <c r="AC25" s="2965"/>
      <c r="AD25" s="2965"/>
      <c r="AE25" s="2965"/>
      <c r="AF25" s="2965"/>
    </row>
    <row r="26" spans="1:32" ht="14.1" customHeight="1">
      <c r="A26" s="2964" t="s">
        <v>3225</v>
      </c>
      <c r="B26" s="2964" t="s">
        <v>3226</v>
      </c>
      <c r="C26" s="2964" t="s">
        <v>3227</v>
      </c>
      <c r="D26" s="2964" t="s">
        <v>3267</v>
      </c>
      <c r="E26" s="2964"/>
      <c r="F26" s="2964" t="s">
        <v>3239</v>
      </c>
      <c r="G26" s="2964" t="s">
        <v>3230</v>
      </c>
      <c r="H26" s="2964" t="s">
        <v>3231</v>
      </c>
      <c r="I26" s="2964"/>
      <c r="J26" s="2965"/>
      <c r="K26" s="2965"/>
      <c r="L26" s="2965"/>
      <c r="M26" s="2965"/>
      <c r="N26" s="2965"/>
      <c r="O26" s="2965"/>
      <c r="P26" s="2965"/>
      <c r="Q26" s="2965"/>
      <c r="R26" s="2965"/>
      <c r="S26" s="2965"/>
      <c r="T26" s="2965"/>
      <c r="U26" s="2965"/>
      <c r="V26" s="2965"/>
      <c r="W26" s="2965"/>
      <c r="X26" s="2965"/>
      <c r="Y26" s="2965"/>
      <c r="Z26" s="2964" t="s">
        <v>3237</v>
      </c>
      <c r="AA26" s="2964" t="s">
        <v>3237</v>
      </c>
      <c r="AB26" s="2964" t="s">
        <v>3237</v>
      </c>
      <c r="AC26" s="2965"/>
      <c r="AD26" s="2965"/>
      <c r="AE26" s="2965"/>
      <c r="AF26" s="2965"/>
    </row>
    <row r="27" spans="1:32" ht="14.1" customHeight="1">
      <c r="A27" s="2964" t="s">
        <v>3225</v>
      </c>
      <c r="B27" s="2964" t="s">
        <v>3226</v>
      </c>
      <c r="C27" s="2964" t="s">
        <v>3227</v>
      </c>
      <c r="D27" s="2964" t="s">
        <v>3268</v>
      </c>
      <c r="E27" s="2964" t="s">
        <v>3268</v>
      </c>
      <c r="F27" s="2964" t="s">
        <v>3241</v>
      </c>
      <c r="G27" s="2964" t="s">
        <v>3230</v>
      </c>
      <c r="H27" s="2964" t="s">
        <v>3231</v>
      </c>
      <c r="I27" s="2964">
        <v>31.25</v>
      </c>
      <c r="J27" s="2965">
        <v>9</v>
      </c>
      <c r="K27" s="2965">
        <v>281.25</v>
      </c>
      <c r="L27" s="2965">
        <v>27497.9</v>
      </c>
      <c r="M27" s="2965">
        <v>773.38</v>
      </c>
      <c r="N27" s="2965"/>
      <c r="O27" s="2965"/>
      <c r="P27" s="2965"/>
      <c r="Q27" s="2965"/>
      <c r="R27" s="2965"/>
      <c r="S27" s="2965"/>
      <c r="T27" s="2965"/>
      <c r="U27" s="2965"/>
      <c r="V27" s="2965">
        <v>9</v>
      </c>
      <c r="W27" s="2965">
        <v>281.25</v>
      </c>
      <c r="X27" s="2965">
        <v>27497.9</v>
      </c>
      <c r="Y27" s="2965">
        <v>773.38</v>
      </c>
      <c r="Z27" s="2964" t="s">
        <v>3237</v>
      </c>
      <c r="AA27" s="2964" t="s">
        <v>3237</v>
      </c>
      <c r="AB27" s="2964" t="s">
        <v>3237</v>
      </c>
      <c r="AC27" s="2965">
        <v>9</v>
      </c>
      <c r="AD27" s="2965">
        <v>281.25</v>
      </c>
      <c r="AE27" s="2965">
        <v>27497.9</v>
      </c>
      <c r="AF27" s="2965">
        <v>773.38</v>
      </c>
    </row>
    <row r="28" spans="1:32" ht="14.1" customHeight="1">
      <c r="A28" s="2964" t="s">
        <v>3225</v>
      </c>
      <c r="B28" s="2964" t="s">
        <v>3226</v>
      </c>
      <c r="C28" s="2964" t="s">
        <v>3227</v>
      </c>
      <c r="D28" s="2964" t="s">
        <v>3269</v>
      </c>
      <c r="E28" s="2964"/>
      <c r="F28" s="2964" t="s">
        <v>3243</v>
      </c>
      <c r="G28" s="2964" t="s">
        <v>3244</v>
      </c>
      <c r="H28" s="2964" t="s">
        <v>3231</v>
      </c>
      <c r="I28" s="2964"/>
      <c r="J28" s="2965"/>
      <c r="K28" s="2965"/>
      <c r="L28" s="2965"/>
      <c r="M28" s="2965"/>
      <c r="N28" s="2965"/>
      <c r="O28" s="2965"/>
      <c r="P28" s="2965"/>
      <c r="Q28" s="2965"/>
      <c r="R28" s="2965"/>
      <c r="S28" s="2965"/>
      <c r="T28" s="2965"/>
      <c r="U28" s="2965"/>
      <c r="V28" s="2965"/>
      <c r="W28" s="2965"/>
      <c r="X28" s="2965"/>
      <c r="Y28" s="2965"/>
      <c r="Z28" s="2964" t="s">
        <v>3237</v>
      </c>
      <c r="AA28" s="2964" t="s">
        <v>3237</v>
      </c>
      <c r="AB28" s="2964" t="s">
        <v>3237</v>
      </c>
      <c r="AC28" s="2965"/>
      <c r="AD28" s="2965"/>
      <c r="AE28" s="2965"/>
      <c r="AF28" s="2965"/>
    </row>
    <row r="29" spans="1:32" ht="14.1" customHeight="1">
      <c r="A29" s="2964" t="s">
        <v>3225</v>
      </c>
      <c r="B29" s="2964" t="s">
        <v>3226</v>
      </c>
      <c r="C29" s="2964" t="s">
        <v>3227</v>
      </c>
      <c r="D29" s="2964" t="s">
        <v>3270</v>
      </c>
      <c r="E29" s="2964"/>
      <c r="F29" s="2964" t="s">
        <v>3246</v>
      </c>
      <c r="G29" s="2964" t="s">
        <v>3246</v>
      </c>
      <c r="H29" s="2964" t="s">
        <v>3231</v>
      </c>
      <c r="I29" s="2964"/>
      <c r="J29" s="2965"/>
      <c r="K29" s="2965"/>
      <c r="L29" s="2965"/>
      <c r="M29" s="2965"/>
      <c r="N29" s="2965"/>
      <c r="O29" s="2965"/>
      <c r="P29" s="2965"/>
      <c r="Q29" s="2965"/>
      <c r="R29" s="2965"/>
      <c r="S29" s="2965"/>
      <c r="T29" s="2965"/>
      <c r="U29" s="2965"/>
      <c r="V29" s="2965"/>
      <c r="W29" s="2965"/>
      <c r="X29" s="2965"/>
      <c r="Y29" s="2965"/>
      <c r="Z29" s="2964" t="s">
        <v>3237</v>
      </c>
      <c r="AA29" s="2964" t="s">
        <v>3237</v>
      </c>
      <c r="AB29" s="2964" t="s">
        <v>3237</v>
      </c>
      <c r="AC29" s="2965"/>
      <c r="AD29" s="2965"/>
      <c r="AE29" s="2965"/>
      <c r="AF29" s="2965"/>
    </row>
    <row r="30" spans="1:32" ht="14.1" customHeight="1">
      <c r="A30" s="2964" t="s">
        <v>3225</v>
      </c>
      <c r="B30" s="2964" t="s">
        <v>3226</v>
      </c>
      <c r="C30" s="2964" t="s">
        <v>3227</v>
      </c>
      <c r="D30" s="2964" t="s">
        <v>3271</v>
      </c>
      <c r="E30" s="2964"/>
      <c r="F30" s="2964" t="s">
        <v>3248</v>
      </c>
      <c r="G30" s="2964" t="s">
        <v>1377</v>
      </c>
      <c r="H30" s="2964" t="s">
        <v>3231</v>
      </c>
      <c r="I30" s="2964"/>
      <c r="J30" s="2965"/>
      <c r="K30" s="2965"/>
      <c r="L30" s="2965"/>
      <c r="M30" s="2965"/>
      <c r="N30" s="2965"/>
      <c r="O30" s="2965"/>
      <c r="P30" s="2965"/>
      <c r="Q30" s="2965"/>
      <c r="R30" s="2965"/>
      <c r="S30" s="2965"/>
      <c r="T30" s="2965"/>
      <c r="U30" s="2965"/>
      <c r="V30" s="2965"/>
      <c r="W30" s="2965"/>
      <c r="X30" s="2965"/>
      <c r="Y30" s="2965"/>
      <c r="Z30" s="2964" t="s">
        <v>3237</v>
      </c>
      <c r="AA30" s="2964" t="s">
        <v>3237</v>
      </c>
      <c r="AB30" s="2964" t="s">
        <v>3237</v>
      </c>
      <c r="AC30" s="2965"/>
      <c r="AD30" s="2965"/>
      <c r="AE30" s="2965"/>
      <c r="AF30" s="2965"/>
    </row>
    <row r="31" spans="1:32" ht="14.1" customHeight="1">
      <c r="A31" s="2964" t="s">
        <v>3225</v>
      </c>
      <c r="B31" s="2964" t="s">
        <v>3226</v>
      </c>
      <c r="C31" s="2964" t="s">
        <v>3227</v>
      </c>
      <c r="D31" s="2964" t="s">
        <v>3272</v>
      </c>
      <c r="E31" s="2964" t="s">
        <v>3272</v>
      </c>
      <c r="F31" s="2964" t="s">
        <v>3229</v>
      </c>
      <c r="G31" s="2964" t="s">
        <v>3230</v>
      </c>
      <c r="H31" s="2964" t="s">
        <v>3231</v>
      </c>
      <c r="I31" s="2964">
        <v>38.619999999999997</v>
      </c>
      <c r="J31" s="2965">
        <v>128</v>
      </c>
      <c r="K31" s="2965">
        <v>4955.2</v>
      </c>
      <c r="L31" s="2965">
        <v>27921.95</v>
      </c>
      <c r="M31" s="2965">
        <v>13835.88</v>
      </c>
      <c r="N31" s="2965">
        <v>1</v>
      </c>
      <c r="O31" s="2965">
        <v>27.31</v>
      </c>
      <c r="P31" s="2965">
        <v>23505.61</v>
      </c>
      <c r="Q31" s="2965">
        <v>64.19</v>
      </c>
      <c r="R31" s="2965"/>
      <c r="S31" s="2965"/>
      <c r="T31" s="2965"/>
      <c r="U31" s="2965"/>
      <c r="V31" s="2965">
        <v>129</v>
      </c>
      <c r="W31" s="2965">
        <v>4982.51</v>
      </c>
      <c r="X31" s="2965">
        <v>27897.74</v>
      </c>
      <c r="Y31" s="2965">
        <v>13900.08</v>
      </c>
      <c r="Z31" s="2964" t="s">
        <v>3273</v>
      </c>
      <c r="AA31" s="2964" t="s">
        <v>3274</v>
      </c>
      <c r="AB31" s="2964" t="s">
        <v>3234</v>
      </c>
      <c r="AC31" s="2965">
        <v>127</v>
      </c>
      <c r="AD31" s="2965">
        <v>4927.8900000000003</v>
      </c>
      <c r="AE31" s="2965">
        <v>27940.12</v>
      </c>
      <c r="AF31" s="2965">
        <v>13768.58</v>
      </c>
    </row>
    <row r="32" spans="1:32" ht="14.1" customHeight="1">
      <c r="A32" s="2964" t="s">
        <v>3225</v>
      </c>
      <c r="B32" s="2964" t="s">
        <v>3226</v>
      </c>
      <c r="C32" s="2964" t="s">
        <v>3227</v>
      </c>
      <c r="D32" s="2964" t="s">
        <v>3275</v>
      </c>
      <c r="E32" s="2964" t="s">
        <v>3275</v>
      </c>
      <c r="F32" s="2964" t="s">
        <v>3236</v>
      </c>
      <c r="G32" s="2964" t="s">
        <v>3230</v>
      </c>
      <c r="H32" s="2964" t="s">
        <v>3231</v>
      </c>
      <c r="I32" s="2964">
        <v>47.06</v>
      </c>
      <c r="J32" s="2965">
        <v>6</v>
      </c>
      <c r="K32" s="2965">
        <v>282.38</v>
      </c>
      <c r="L32" s="2965">
        <v>22639.51</v>
      </c>
      <c r="M32" s="2965">
        <v>639.29</v>
      </c>
      <c r="N32" s="2965"/>
      <c r="O32" s="2965"/>
      <c r="P32" s="2965"/>
      <c r="Q32" s="2965"/>
      <c r="R32" s="2965"/>
      <c r="S32" s="2965"/>
      <c r="T32" s="2965"/>
      <c r="U32" s="2965"/>
      <c r="V32" s="2965">
        <v>6</v>
      </c>
      <c r="W32" s="2965">
        <v>282.38</v>
      </c>
      <c r="X32" s="2965">
        <v>22639.51</v>
      </c>
      <c r="Y32" s="2965">
        <v>639.29</v>
      </c>
      <c r="Z32" s="2964" t="s">
        <v>3237</v>
      </c>
      <c r="AA32" s="2964" t="s">
        <v>3237</v>
      </c>
      <c r="AB32" s="2964" t="s">
        <v>3237</v>
      </c>
      <c r="AC32" s="2965">
        <v>6</v>
      </c>
      <c r="AD32" s="2965">
        <v>282.27999999999997</v>
      </c>
      <c r="AE32" s="2965">
        <v>22640.73</v>
      </c>
      <c r="AF32" s="2965">
        <v>639.1</v>
      </c>
    </row>
    <row r="33" spans="1:32" ht="14.1" customHeight="1">
      <c r="A33" s="2964" t="s">
        <v>3225</v>
      </c>
      <c r="B33" s="2964" t="s">
        <v>3226</v>
      </c>
      <c r="C33" s="2964" t="s">
        <v>3227</v>
      </c>
      <c r="D33" s="2964" t="s">
        <v>3276</v>
      </c>
      <c r="E33" s="2964"/>
      <c r="F33" s="2964" t="s">
        <v>3239</v>
      </c>
      <c r="G33" s="2964" t="s">
        <v>3230</v>
      </c>
      <c r="H33" s="2964" t="s">
        <v>3231</v>
      </c>
      <c r="I33" s="2964"/>
      <c r="J33" s="2965"/>
      <c r="K33" s="2965"/>
      <c r="L33" s="2965"/>
      <c r="M33" s="2965"/>
      <c r="N33" s="2965"/>
      <c r="O33" s="2965"/>
      <c r="P33" s="2965"/>
      <c r="Q33" s="2965"/>
      <c r="R33" s="2965"/>
      <c r="S33" s="2965"/>
      <c r="T33" s="2965"/>
      <c r="U33" s="2965"/>
      <c r="V33" s="2965"/>
      <c r="W33" s="2965"/>
      <c r="X33" s="2965"/>
      <c r="Y33" s="2965"/>
      <c r="Z33" s="2964" t="s">
        <v>3237</v>
      </c>
      <c r="AA33" s="2964" t="s">
        <v>3237</v>
      </c>
      <c r="AB33" s="2964" t="s">
        <v>3237</v>
      </c>
      <c r="AC33" s="2965"/>
      <c r="AD33" s="2965"/>
      <c r="AE33" s="2965"/>
      <c r="AF33" s="2965"/>
    </row>
    <row r="34" spans="1:32" ht="14.1" customHeight="1">
      <c r="A34" s="2964" t="s">
        <v>3225</v>
      </c>
      <c r="B34" s="2964" t="s">
        <v>3226</v>
      </c>
      <c r="C34" s="2964" t="s">
        <v>3227</v>
      </c>
      <c r="D34" s="2964" t="s">
        <v>3277</v>
      </c>
      <c r="E34" s="2964"/>
      <c r="F34" s="2964" t="s">
        <v>3241</v>
      </c>
      <c r="G34" s="2964" t="s">
        <v>3230</v>
      </c>
      <c r="H34" s="2964" t="s">
        <v>3231</v>
      </c>
      <c r="I34" s="2964"/>
      <c r="J34" s="2965"/>
      <c r="K34" s="2965"/>
      <c r="L34" s="2965"/>
      <c r="M34" s="2965"/>
      <c r="N34" s="2965"/>
      <c r="O34" s="2965"/>
      <c r="P34" s="2965"/>
      <c r="Q34" s="2965"/>
      <c r="R34" s="2965"/>
      <c r="S34" s="2965"/>
      <c r="T34" s="2965"/>
      <c r="U34" s="2965"/>
      <c r="V34" s="2965"/>
      <c r="W34" s="2965"/>
      <c r="X34" s="2965"/>
      <c r="Y34" s="2965"/>
      <c r="Z34" s="2964" t="s">
        <v>3237</v>
      </c>
      <c r="AA34" s="2964" t="s">
        <v>3237</v>
      </c>
      <c r="AB34" s="2964" t="s">
        <v>3237</v>
      </c>
      <c r="AC34" s="2965"/>
      <c r="AD34" s="2965"/>
      <c r="AE34" s="2965"/>
      <c r="AF34" s="2965"/>
    </row>
    <row r="35" spans="1:32" ht="14.1" customHeight="1">
      <c r="A35" s="2964" t="s">
        <v>3225</v>
      </c>
      <c r="B35" s="2964" t="s">
        <v>3226</v>
      </c>
      <c r="C35" s="2964" t="s">
        <v>3227</v>
      </c>
      <c r="D35" s="2964" t="s">
        <v>3278</v>
      </c>
      <c r="E35" s="2964" t="s">
        <v>3278</v>
      </c>
      <c r="F35" s="2964" t="s">
        <v>3243</v>
      </c>
      <c r="G35" s="2964" t="s">
        <v>3244</v>
      </c>
      <c r="H35" s="2964" t="s">
        <v>3231</v>
      </c>
      <c r="I35" s="2964">
        <v>64.72</v>
      </c>
      <c r="J35" s="2965">
        <v>6</v>
      </c>
      <c r="K35" s="2965">
        <v>388.33</v>
      </c>
      <c r="L35" s="2965">
        <v>15004.63</v>
      </c>
      <c r="M35" s="2965">
        <v>582.66999999999996</v>
      </c>
      <c r="N35" s="2965"/>
      <c r="O35" s="2965"/>
      <c r="P35" s="2965"/>
      <c r="Q35" s="2965"/>
      <c r="R35" s="2965"/>
      <c r="S35" s="2965"/>
      <c r="T35" s="2965"/>
      <c r="U35" s="2965"/>
      <c r="V35" s="2965">
        <v>6</v>
      </c>
      <c r="W35" s="2965">
        <v>388.33</v>
      </c>
      <c r="X35" s="2965">
        <v>15004.63</v>
      </c>
      <c r="Y35" s="2965">
        <v>582.66999999999996</v>
      </c>
      <c r="Z35" s="2964" t="s">
        <v>3237</v>
      </c>
      <c r="AA35" s="2964" t="s">
        <v>3237</v>
      </c>
      <c r="AB35" s="2964" t="s">
        <v>3237</v>
      </c>
      <c r="AC35" s="2965">
        <v>6</v>
      </c>
      <c r="AD35" s="2965">
        <v>387.67</v>
      </c>
      <c r="AE35" s="2965">
        <v>15000</v>
      </c>
      <c r="AF35" s="2965">
        <v>581.51</v>
      </c>
    </row>
    <row r="36" spans="1:32" ht="14.1" customHeight="1">
      <c r="A36" s="2964" t="s">
        <v>3225</v>
      </c>
      <c r="B36" s="2964" t="s">
        <v>3226</v>
      </c>
      <c r="C36" s="2964" t="s">
        <v>3227</v>
      </c>
      <c r="D36" s="2964" t="s">
        <v>3279</v>
      </c>
      <c r="E36" s="2964"/>
      <c r="F36" s="2964" t="s">
        <v>3246</v>
      </c>
      <c r="G36" s="2964" t="s">
        <v>3246</v>
      </c>
      <c r="H36" s="2964" t="s">
        <v>3231</v>
      </c>
      <c r="I36" s="2964"/>
      <c r="J36" s="2965"/>
      <c r="K36" s="2965"/>
      <c r="L36" s="2965"/>
      <c r="M36" s="2965"/>
      <c r="N36" s="2965"/>
      <c r="O36" s="2965"/>
      <c r="P36" s="2965"/>
      <c r="Q36" s="2965"/>
      <c r="R36" s="2965"/>
      <c r="S36" s="2965"/>
      <c r="T36" s="2965"/>
      <c r="U36" s="2965"/>
      <c r="V36" s="2965"/>
      <c r="W36" s="2965"/>
      <c r="X36" s="2965"/>
      <c r="Y36" s="2965"/>
      <c r="Z36" s="2964" t="s">
        <v>3237</v>
      </c>
      <c r="AA36" s="2964" t="s">
        <v>3237</v>
      </c>
      <c r="AB36" s="2964" t="s">
        <v>3237</v>
      </c>
      <c r="AC36" s="2965"/>
      <c r="AD36" s="2965"/>
      <c r="AE36" s="2965"/>
      <c r="AF36" s="2965"/>
    </row>
    <row r="37" spans="1:32" ht="14.1" customHeight="1">
      <c r="A37" s="2964" t="s">
        <v>3225</v>
      </c>
      <c r="B37" s="2964" t="s">
        <v>3226</v>
      </c>
      <c r="C37" s="2964" t="s">
        <v>3227</v>
      </c>
      <c r="D37" s="2964" t="s">
        <v>3280</v>
      </c>
      <c r="E37" s="2964"/>
      <c r="F37" s="2964" t="s">
        <v>3248</v>
      </c>
      <c r="G37" s="2964" t="s">
        <v>1377</v>
      </c>
      <c r="H37" s="2964" t="s">
        <v>3231</v>
      </c>
      <c r="I37" s="2964"/>
      <c r="J37" s="2965"/>
      <c r="K37" s="2965"/>
      <c r="L37" s="2965"/>
      <c r="M37" s="2965"/>
      <c r="N37" s="2965"/>
      <c r="O37" s="2965"/>
      <c r="P37" s="2965"/>
      <c r="Q37" s="2965"/>
      <c r="R37" s="2965"/>
      <c r="S37" s="2965"/>
      <c r="T37" s="2965"/>
      <c r="U37" s="2965"/>
      <c r="V37" s="2965"/>
      <c r="W37" s="2965"/>
      <c r="X37" s="2965"/>
      <c r="Y37" s="2965"/>
      <c r="Z37" s="2964" t="s">
        <v>3237</v>
      </c>
      <c r="AA37" s="2964" t="s">
        <v>3237</v>
      </c>
      <c r="AB37" s="2964" t="s">
        <v>3237</v>
      </c>
      <c r="AC37" s="2965"/>
      <c r="AD37" s="2965"/>
      <c r="AE37" s="2965"/>
      <c r="AF37" s="2965"/>
    </row>
    <row r="38" spans="1:32" ht="14.1" customHeight="1">
      <c r="A38" s="2966" t="s">
        <v>3225</v>
      </c>
      <c r="B38" s="2966" t="s">
        <v>3226</v>
      </c>
      <c r="C38" s="2966" t="s">
        <v>3281</v>
      </c>
      <c r="D38" s="2966" t="s">
        <v>3282</v>
      </c>
      <c r="E38" s="2966" t="s">
        <v>3282</v>
      </c>
      <c r="F38" s="2966" t="s">
        <v>3282</v>
      </c>
      <c r="G38" s="2966" t="s">
        <v>3282</v>
      </c>
      <c r="H38" s="2966"/>
      <c r="I38" s="2966">
        <v>39.799999999999997</v>
      </c>
      <c r="J38" s="2967">
        <v>896</v>
      </c>
      <c r="K38" s="2967">
        <v>35649.800000000003</v>
      </c>
      <c r="L38" s="2967">
        <v>27518.87</v>
      </c>
      <c r="M38" s="2967">
        <v>98104.2</v>
      </c>
      <c r="N38" s="2967">
        <v>3</v>
      </c>
      <c r="O38" s="2967">
        <v>126.32</v>
      </c>
      <c r="P38" s="2967">
        <v>21767.98</v>
      </c>
      <c r="Q38" s="2967">
        <v>274.97000000000003</v>
      </c>
      <c r="R38" s="2967"/>
      <c r="S38" s="2967"/>
      <c r="T38" s="2967"/>
      <c r="U38" s="2967"/>
      <c r="V38" s="2967">
        <v>899</v>
      </c>
      <c r="W38" s="2967">
        <v>35776.120000000003</v>
      </c>
      <c r="X38" s="2967">
        <v>27498.560000000001</v>
      </c>
      <c r="Y38" s="2967">
        <v>98379.18</v>
      </c>
      <c r="Z38" s="2966" t="s">
        <v>3283</v>
      </c>
      <c r="AA38" s="2966" t="s">
        <v>3284</v>
      </c>
      <c r="AB38" s="2966" t="s">
        <v>3285</v>
      </c>
      <c r="AC38" s="2967">
        <v>888</v>
      </c>
      <c r="AD38" s="2967">
        <v>35345.33</v>
      </c>
      <c r="AE38" s="2967">
        <v>27530.57</v>
      </c>
      <c r="AF38" s="2967">
        <v>97307.71</v>
      </c>
    </row>
    <row r="39" spans="1:32" ht="14.1" customHeight="1">
      <c r="A39" s="2964" t="s">
        <v>3225</v>
      </c>
      <c r="B39" s="2964" t="s">
        <v>3226</v>
      </c>
      <c r="C39" s="2964" t="s">
        <v>3286</v>
      </c>
      <c r="D39" s="2964" t="s">
        <v>3287</v>
      </c>
      <c r="E39" s="2964" t="s">
        <v>3287</v>
      </c>
      <c r="F39" s="2964" t="s">
        <v>3229</v>
      </c>
      <c r="G39" s="2964" t="s">
        <v>3230</v>
      </c>
      <c r="H39" s="2964" t="s">
        <v>3231</v>
      </c>
      <c r="I39" s="2964">
        <v>38.25</v>
      </c>
      <c r="J39" s="2965">
        <v>440</v>
      </c>
      <c r="K39" s="2965">
        <v>16787.009999999998</v>
      </c>
      <c r="L39" s="2965">
        <v>33931.910000000003</v>
      </c>
      <c r="M39" s="2965">
        <v>56961.53</v>
      </c>
      <c r="N39" s="2965">
        <v>3</v>
      </c>
      <c r="O39" s="2965">
        <v>157.38999999999999</v>
      </c>
      <c r="P39" s="2965">
        <v>31627.45</v>
      </c>
      <c r="Q39" s="2965">
        <v>497.78</v>
      </c>
      <c r="R39" s="2965"/>
      <c r="S39" s="2965"/>
      <c r="T39" s="2965"/>
      <c r="U39" s="2965"/>
      <c r="V39" s="2965">
        <v>443</v>
      </c>
      <c r="W39" s="2965">
        <v>16944.400000000001</v>
      </c>
      <c r="X39" s="2965">
        <v>33910.51</v>
      </c>
      <c r="Y39" s="2965">
        <v>57459.32</v>
      </c>
      <c r="Z39" s="2964" t="s">
        <v>3288</v>
      </c>
      <c r="AA39" s="2964" t="s">
        <v>3289</v>
      </c>
      <c r="AB39" s="2964" t="s">
        <v>3290</v>
      </c>
      <c r="AC39" s="2965">
        <v>440</v>
      </c>
      <c r="AD39" s="2965">
        <v>16787.009999999998</v>
      </c>
      <c r="AE39" s="2965">
        <v>33931.910000000003</v>
      </c>
      <c r="AF39" s="2965">
        <v>56961.53</v>
      </c>
    </row>
    <row r="40" spans="1:32" ht="14.1" customHeight="1">
      <c r="A40" s="2964" t="s">
        <v>3225</v>
      </c>
      <c r="B40" s="2964" t="s">
        <v>3226</v>
      </c>
      <c r="C40" s="2964" t="s">
        <v>3286</v>
      </c>
      <c r="D40" s="2964" t="s">
        <v>3291</v>
      </c>
      <c r="E40" s="2964"/>
      <c r="F40" s="2964" t="s">
        <v>3236</v>
      </c>
      <c r="G40" s="2964" t="s">
        <v>3230</v>
      </c>
      <c r="H40" s="2964" t="s">
        <v>3231</v>
      </c>
      <c r="I40" s="2964"/>
      <c r="J40" s="2965"/>
      <c r="K40" s="2965"/>
      <c r="L40" s="2965"/>
      <c r="M40" s="2965"/>
      <c r="N40" s="2965"/>
      <c r="O40" s="2965"/>
      <c r="P40" s="2965"/>
      <c r="Q40" s="2965"/>
      <c r="R40" s="2965"/>
      <c r="S40" s="2965"/>
      <c r="T40" s="2965"/>
      <c r="U40" s="2965"/>
      <c r="V40" s="2965"/>
      <c r="W40" s="2965"/>
      <c r="X40" s="2965"/>
      <c r="Y40" s="2965"/>
      <c r="Z40" s="2964" t="s">
        <v>3237</v>
      </c>
      <c r="AA40" s="2964" t="s">
        <v>3237</v>
      </c>
      <c r="AB40" s="2964" t="s">
        <v>3237</v>
      </c>
      <c r="AC40" s="2965"/>
      <c r="AD40" s="2965"/>
      <c r="AE40" s="2965"/>
      <c r="AF40" s="2965"/>
    </row>
    <row r="41" spans="1:32" ht="14.1" customHeight="1">
      <c r="A41" s="2964" t="s">
        <v>3225</v>
      </c>
      <c r="B41" s="2964" t="s">
        <v>3226</v>
      </c>
      <c r="C41" s="2964" t="s">
        <v>3286</v>
      </c>
      <c r="D41" s="2964" t="s">
        <v>3292</v>
      </c>
      <c r="E41" s="2964" t="s">
        <v>3292</v>
      </c>
      <c r="F41" s="2964" t="s">
        <v>3239</v>
      </c>
      <c r="G41" s="2964" t="s">
        <v>3230</v>
      </c>
      <c r="H41" s="2964" t="s">
        <v>3231</v>
      </c>
      <c r="I41" s="2964">
        <v>44.38</v>
      </c>
      <c r="J41" s="2965">
        <v>63</v>
      </c>
      <c r="K41" s="2965">
        <v>2774.62</v>
      </c>
      <c r="L41" s="2965">
        <v>31941.74</v>
      </c>
      <c r="M41" s="2965">
        <v>8862.6200000000008</v>
      </c>
      <c r="N41" s="2965">
        <v>2</v>
      </c>
      <c r="O41" s="2965">
        <v>110.05</v>
      </c>
      <c r="P41" s="2965">
        <v>28719.56</v>
      </c>
      <c r="Q41" s="2965">
        <v>316.06</v>
      </c>
      <c r="R41" s="2965"/>
      <c r="S41" s="2965"/>
      <c r="T41" s="2965"/>
      <c r="U41" s="2965"/>
      <c r="V41" s="2965">
        <v>65</v>
      </c>
      <c r="W41" s="2965">
        <v>2884.67</v>
      </c>
      <c r="X41" s="2965">
        <v>31818.81</v>
      </c>
      <c r="Y41" s="2965">
        <v>9178.68</v>
      </c>
      <c r="Z41" s="2964" t="s">
        <v>3293</v>
      </c>
      <c r="AA41" s="2964" t="s">
        <v>3294</v>
      </c>
      <c r="AB41" s="2964" t="s">
        <v>3295</v>
      </c>
      <c r="AC41" s="2965">
        <v>62</v>
      </c>
      <c r="AD41" s="2965">
        <v>2746.57</v>
      </c>
      <c r="AE41" s="2965">
        <v>31944.19</v>
      </c>
      <c r="AF41" s="2965">
        <v>8773.7000000000007</v>
      </c>
    </row>
    <row r="42" spans="1:32" ht="14.1" customHeight="1">
      <c r="A42" s="2964" t="s">
        <v>3225</v>
      </c>
      <c r="B42" s="2964" t="s">
        <v>3226</v>
      </c>
      <c r="C42" s="2964" t="s">
        <v>3286</v>
      </c>
      <c r="D42" s="2964" t="s">
        <v>3296</v>
      </c>
      <c r="E42" s="2964" t="s">
        <v>3296</v>
      </c>
      <c r="F42" s="2964" t="s">
        <v>3241</v>
      </c>
      <c r="G42" s="2964" t="s">
        <v>3230</v>
      </c>
      <c r="H42" s="2964" t="s">
        <v>3231</v>
      </c>
      <c r="I42" s="2964">
        <v>67.819999999999993</v>
      </c>
      <c r="J42" s="2965">
        <v>17</v>
      </c>
      <c r="K42" s="2965">
        <v>1131.79</v>
      </c>
      <c r="L42" s="2965">
        <v>33295.72</v>
      </c>
      <c r="M42" s="2965">
        <v>3768.38</v>
      </c>
      <c r="N42" s="2965">
        <v>1</v>
      </c>
      <c r="O42" s="2965">
        <v>88.91</v>
      </c>
      <c r="P42" s="2965">
        <v>30437.06</v>
      </c>
      <c r="Q42" s="2965">
        <v>270.62</v>
      </c>
      <c r="R42" s="2965"/>
      <c r="S42" s="2965"/>
      <c r="T42" s="2965"/>
      <c r="U42" s="2965"/>
      <c r="V42" s="2965">
        <v>18</v>
      </c>
      <c r="W42" s="2965">
        <v>1220.7</v>
      </c>
      <c r="X42" s="2965">
        <v>33087.51</v>
      </c>
      <c r="Y42" s="2965">
        <v>4038.99</v>
      </c>
      <c r="Z42" s="2964" t="s">
        <v>3297</v>
      </c>
      <c r="AA42" s="2964" t="s">
        <v>3298</v>
      </c>
      <c r="AB42" s="2964" t="s">
        <v>3299</v>
      </c>
      <c r="AC42" s="2965">
        <v>17</v>
      </c>
      <c r="AD42" s="2965">
        <v>1131.79</v>
      </c>
      <c r="AE42" s="2965">
        <v>33295.72</v>
      </c>
      <c r="AF42" s="2965">
        <v>3768.38</v>
      </c>
    </row>
    <row r="43" spans="1:32" ht="14.1" customHeight="1">
      <c r="A43" s="2964" t="s">
        <v>3225</v>
      </c>
      <c r="B43" s="2964" t="s">
        <v>3226</v>
      </c>
      <c r="C43" s="2964" t="s">
        <v>3286</v>
      </c>
      <c r="D43" s="2964" t="s">
        <v>3300</v>
      </c>
      <c r="E43" s="2964" t="s">
        <v>3300</v>
      </c>
      <c r="F43" s="2964" t="s">
        <v>3243</v>
      </c>
      <c r="G43" s="2964" t="s">
        <v>3244</v>
      </c>
      <c r="H43" s="2964" t="s">
        <v>3231</v>
      </c>
      <c r="I43" s="2964">
        <v>51.22</v>
      </c>
      <c r="J43" s="2965">
        <v>15</v>
      </c>
      <c r="K43" s="2965">
        <v>774.89</v>
      </c>
      <c r="L43" s="2965">
        <v>15000</v>
      </c>
      <c r="M43" s="2965">
        <v>1162.3399999999999</v>
      </c>
      <c r="N43" s="2965">
        <v>8</v>
      </c>
      <c r="O43" s="2965">
        <v>403.25</v>
      </c>
      <c r="P43" s="2965">
        <v>15000</v>
      </c>
      <c r="Q43" s="2965">
        <v>604.88</v>
      </c>
      <c r="R43" s="2965"/>
      <c r="S43" s="2965"/>
      <c r="T43" s="2965"/>
      <c r="U43" s="2965"/>
      <c r="V43" s="2965">
        <v>23</v>
      </c>
      <c r="W43" s="2965">
        <v>1178.1400000000001</v>
      </c>
      <c r="X43" s="2965">
        <v>15000</v>
      </c>
      <c r="Y43" s="2965">
        <v>1767.21</v>
      </c>
      <c r="Z43" s="2964" t="s">
        <v>3301</v>
      </c>
      <c r="AA43" s="2964" t="s">
        <v>3302</v>
      </c>
      <c r="AB43" s="2964" t="s">
        <v>3302</v>
      </c>
      <c r="AC43" s="2965">
        <v>15</v>
      </c>
      <c r="AD43" s="2965">
        <v>774.89</v>
      </c>
      <c r="AE43" s="2965">
        <v>15000</v>
      </c>
      <c r="AF43" s="2965">
        <v>1162.3399999999999</v>
      </c>
    </row>
    <row r="44" spans="1:32" ht="14.1" customHeight="1">
      <c r="A44" s="2964" t="s">
        <v>3225</v>
      </c>
      <c r="B44" s="2964" t="s">
        <v>3226</v>
      </c>
      <c r="C44" s="2964" t="s">
        <v>3286</v>
      </c>
      <c r="D44" s="2964" t="s">
        <v>3303</v>
      </c>
      <c r="E44" s="2964" t="s">
        <v>3303</v>
      </c>
      <c r="F44" s="2964" t="s">
        <v>3248</v>
      </c>
      <c r="G44" s="2964" t="s">
        <v>1377</v>
      </c>
      <c r="H44" s="2964" t="s">
        <v>3231</v>
      </c>
      <c r="I44" s="2964">
        <v>97.46</v>
      </c>
      <c r="J44" s="2965">
        <v>22</v>
      </c>
      <c r="K44" s="2965">
        <v>2090.77</v>
      </c>
      <c r="L44" s="2965">
        <v>49151.03</v>
      </c>
      <c r="M44" s="2965">
        <v>10276.35</v>
      </c>
      <c r="N44" s="2965">
        <v>3</v>
      </c>
      <c r="O44" s="2965">
        <v>345.84</v>
      </c>
      <c r="P44" s="2965">
        <v>50072.54</v>
      </c>
      <c r="Q44" s="2965">
        <v>1731.71</v>
      </c>
      <c r="R44" s="2965"/>
      <c r="S44" s="2965"/>
      <c r="T44" s="2965"/>
      <c r="U44" s="2965"/>
      <c r="V44" s="2965">
        <v>25</v>
      </c>
      <c r="W44" s="2965">
        <v>2436.61</v>
      </c>
      <c r="X44" s="2965">
        <v>49281.82</v>
      </c>
      <c r="Y44" s="2965">
        <v>12008.06</v>
      </c>
      <c r="Z44" s="2964" t="s">
        <v>3304</v>
      </c>
      <c r="AA44" s="2964" t="s">
        <v>3305</v>
      </c>
      <c r="AB44" s="2964" t="s">
        <v>3306</v>
      </c>
      <c r="AC44" s="2965">
        <v>22</v>
      </c>
      <c r="AD44" s="2965">
        <v>2090.77</v>
      </c>
      <c r="AE44" s="2965">
        <v>49151.03</v>
      </c>
      <c r="AF44" s="2965">
        <v>10276.35</v>
      </c>
    </row>
    <row r="45" spans="1:32" ht="14.1" customHeight="1">
      <c r="A45" s="2964" t="s">
        <v>3225</v>
      </c>
      <c r="B45" s="2964" t="s">
        <v>3226</v>
      </c>
      <c r="C45" s="2964" t="s">
        <v>3286</v>
      </c>
      <c r="D45" s="2964" t="s">
        <v>3307</v>
      </c>
      <c r="E45" s="2964" t="s">
        <v>3307</v>
      </c>
      <c r="F45" s="2964" t="s">
        <v>3229</v>
      </c>
      <c r="G45" s="2964" t="s">
        <v>3230</v>
      </c>
      <c r="H45" s="2964" t="s">
        <v>3231</v>
      </c>
      <c r="I45" s="2964">
        <v>43.01</v>
      </c>
      <c r="J45" s="2965">
        <v>136</v>
      </c>
      <c r="K45" s="2965">
        <v>5840.07</v>
      </c>
      <c r="L45" s="2965">
        <v>33849.769999999997</v>
      </c>
      <c r="M45" s="2965">
        <v>19768.5</v>
      </c>
      <c r="N45" s="2965">
        <v>2</v>
      </c>
      <c r="O45" s="2965">
        <v>94.8</v>
      </c>
      <c r="P45" s="2965">
        <v>29626.12</v>
      </c>
      <c r="Q45" s="2965">
        <v>280.86</v>
      </c>
      <c r="R45" s="2965"/>
      <c r="S45" s="2965"/>
      <c r="T45" s="2965"/>
      <c r="U45" s="2965"/>
      <c r="V45" s="2965">
        <v>138</v>
      </c>
      <c r="W45" s="2965">
        <v>5934.87</v>
      </c>
      <c r="X45" s="2965">
        <v>33782.300000000003</v>
      </c>
      <c r="Y45" s="2965">
        <v>20049.36</v>
      </c>
      <c r="Z45" s="2964" t="s">
        <v>3308</v>
      </c>
      <c r="AA45" s="2964" t="s">
        <v>3309</v>
      </c>
      <c r="AB45" s="2964" t="s">
        <v>3310</v>
      </c>
      <c r="AC45" s="2965">
        <v>136</v>
      </c>
      <c r="AD45" s="2965">
        <v>5840.07</v>
      </c>
      <c r="AE45" s="2965">
        <v>33849.769999999997</v>
      </c>
      <c r="AF45" s="2965">
        <v>19768.5</v>
      </c>
    </row>
    <row r="46" spans="1:32" ht="14.1" customHeight="1">
      <c r="A46" s="2964" t="s">
        <v>3225</v>
      </c>
      <c r="B46" s="2964" t="s">
        <v>3226</v>
      </c>
      <c r="C46" s="2964" t="s">
        <v>3286</v>
      </c>
      <c r="D46" s="2964" t="s">
        <v>3311</v>
      </c>
      <c r="E46" s="2964"/>
      <c r="F46" s="2964" t="s">
        <v>3236</v>
      </c>
      <c r="G46" s="2964" t="s">
        <v>3230</v>
      </c>
      <c r="H46" s="2964" t="s">
        <v>3231</v>
      </c>
      <c r="I46" s="2964"/>
      <c r="J46" s="2965"/>
      <c r="K46" s="2965"/>
      <c r="L46" s="2965"/>
      <c r="M46" s="2965"/>
      <c r="N46" s="2965"/>
      <c r="O46" s="2965"/>
      <c r="P46" s="2965"/>
      <c r="Q46" s="2965"/>
      <c r="R46" s="2965"/>
      <c r="S46" s="2965"/>
      <c r="T46" s="2965"/>
      <c r="U46" s="2965"/>
      <c r="V46" s="2965"/>
      <c r="W46" s="2965"/>
      <c r="X46" s="2965"/>
      <c r="Y46" s="2965"/>
      <c r="Z46" s="2964" t="s">
        <v>3237</v>
      </c>
      <c r="AA46" s="2964" t="s">
        <v>3237</v>
      </c>
      <c r="AB46" s="2964" t="s">
        <v>3237</v>
      </c>
      <c r="AC46" s="2965"/>
      <c r="AD46" s="2965"/>
      <c r="AE46" s="2965"/>
      <c r="AF46" s="2965"/>
    </row>
    <row r="47" spans="1:32" ht="14.1" customHeight="1">
      <c r="A47" s="2964" t="s">
        <v>3225</v>
      </c>
      <c r="B47" s="2964" t="s">
        <v>3226</v>
      </c>
      <c r="C47" s="2964" t="s">
        <v>3286</v>
      </c>
      <c r="D47" s="2964" t="s">
        <v>3312</v>
      </c>
      <c r="E47" s="2964"/>
      <c r="F47" s="2964" t="s">
        <v>3239</v>
      </c>
      <c r="G47" s="2964" t="s">
        <v>3230</v>
      </c>
      <c r="H47" s="2964" t="s">
        <v>3231</v>
      </c>
      <c r="I47" s="2964"/>
      <c r="J47" s="2965"/>
      <c r="K47" s="2965"/>
      <c r="L47" s="2965"/>
      <c r="M47" s="2965"/>
      <c r="N47" s="2965"/>
      <c r="O47" s="2965"/>
      <c r="P47" s="2965"/>
      <c r="Q47" s="2965"/>
      <c r="R47" s="2965"/>
      <c r="S47" s="2965"/>
      <c r="T47" s="2965"/>
      <c r="U47" s="2965"/>
      <c r="V47" s="2965"/>
      <c r="W47" s="2965"/>
      <c r="X47" s="2965"/>
      <c r="Y47" s="2965"/>
      <c r="Z47" s="2964" t="s">
        <v>3237</v>
      </c>
      <c r="AA47" s="2964" t="s">
        <v>3237</v>
      </c>
      <c r="AB47" s="2964" t="s">
        <v>3237</v>
      </c>
      <c r="AC47" s="2965"/>
      <c r="AD47" s="2965"/>
      <c r="AE47" s="2965"/>
      <c r="AF47" s="2965"/>
    </row>
    <row r="48" spans="1:32" ht="14.1" customHeight="1">
      <c r="A48" s="2964" t="s">
        <v>3225</v>
      </c>
      <c r="B48" s="2964" t="s">
        <v>3226</v>
      </c>
      <c r="C48" s="2964" t="s">
        <v>3286</v>
      </c>
      <c r="D48" s="2964" t="s">
        <v>3313</v>
      </c>
      <c r="E48" s="2964" t="s">
        <v>3313</v>
      </c>
      <c r="F48" s="2964" t="s">
        <v>3241</v>
      </c>
      <c r="G48" s="2964" t="s">
        <v>3230</v>
      </c>
      <c r="H48" s="2964" t="s">
        <v>3231</v>
      </c>
      <c r="I48" s="2964">
        <v>49.53</v>
      </c>
      <c r="J48" s="2965">
        <v>18</v>
      </c>
      <c r="K48" s="2965">
        <v>891.45</v>
      </c>
      <c r="L48" s="2965">
        <v>35613.68</v>
      </c>
      <c r="M48" s="2965">
        <v>3174.78</v>
      </c>
      <c r="N48" s="2965"/>
      <c r="O48" s="2965"/>
      <c r="P48" s="2965"/>
      <c r="Q48" s="2965"/>
      <c r="R48" s="2965"/>
      <c r="S48" s="2965"/>
      <c r="T48" s="2965"/>
      <c r="U48" s="2965"/>
      <c r="V48" s="2965">
        <v>18</v>
      </c>
      <c r="W48" s="2965">
        <v>891.45</v>
      </c>
      <c r="X48" s="2965">
        <v>35613.68</v>
      </c>
      <c r="Y48" s="2965">
        <v>3174.78</v>
      </c>
      <c r="Z48" s="2964" t="s">
        <v>3237</v>
      </c>
      <c r="AA48" s="2964" t="s">
        <v>3237</v>
      </c>
      <c r="AB48" s="2964" t="s">
        <v>3237</v>
      </c>
      <c r="AC48" s="2965">
        <v>18</v>
      </c>
      <c r="AD48" s="2965">
        <v>891.45</v>
      </c>
      <c r="AE48" s="2965">
        <v>35613.68</v>
      </c>
      <c r="AF48" s="2965">
        <v>3174.78</v>
      </c>
    </row>
    <row r="49" spans="1:32" ht="14.1" customHeight="1">
      <c r="A49" s="2964" t="s">
        <v>3225</v>
      </c>
      <c r="B49" s="2964" t="s">
        <v>3226</v>
      </c>
      <c r="C49" s="2964" t="s">
        <v>3286</v>
      </c>
      <c r="D49" s="2964" t="s">
        <v>3314</v>
      </c>
      <c r="E49" s="2964" t="s">
        <v>3314</v>
      </c>
      <c r="F49" s="2964" t="s">
        <v>3243</v>
      </c>
      <c r="G49" s="2964" t="s">
        <v>3244</v>
      </c>
      <c r="H49" s="2964" t="s">
        <v>3231</v>
      </c>
      <c r="I49" s="2964">
        <v>65.22</v>
      </c>
      <c r="J49" s="2965">
        <v>9</v>
      </c>
      <c r="K49" s="2965">
        <v>583.5</v>
      </c>
      <c r="L49" s="2965">
        <v>15000</v>
      </c>
      <c r="M49" s="2965">
        <v>875.25</v>
      </c>
      <c r="N49" s="2965">
        <v>3</v>
      </c>
      <c r="O49" s="2965">
        <v>199.16</v>
      </c>
      <c r="P49" s="2965">
        <v>15000</v>
      </c>
      <c r="Q49" s="2965">
        <v>298.74</v>
      </c>
      <c r="R49" s="2965"/>
      <c r="S49" s="2965"/>
      <c r="T49" s="2965"/>
      <c r="U49" s="2965"/>
      <c r="V49" s="2965">
        <v>12</v>
      </c>
      <c r="W49" s="2965">
        <v>782.66</v>
      </c>
      <c r="X49" s="2965">
        <v>15000</v>
      </c>
      <c r="Y49" s="2965">
        <v>1173.99</v>
      </c>
      <c r="Z49" s="2964" t="s">
        <v>3315</v>
      </c>
      <c r="AA49" s="2964" t="s">
        <v>3316</v>
      </c>
      <c r="AB49" s="2964" t="s">
        <v>3316</v>
      </c>
      <c r="AC49" s="2965">
        <v>9</v>
      </c>
      <c r="AD49" s="2965">
        <v>583.5</v>
      </c>
      <c r="AE49" s="2965">
        <v>15000</v>
      </c>
      <c r="AF49" s="2965">
        <v>875.25</v>
      </c>
    </row>
    <row r="50" spans="1:32" ht="14.1" customHeight="1">
      <c r="A50" s="2964" t="s">
        <v>3225</v>
      </c>
      <c r="B50" s="2964" t="s">
        <v>3226</v>
      </c>
      <c r="C50" s="2964" t="s">
        <v>3286</v>
      </c>
      <c r="D50" s="2964" t="s">
        <v>3317</v>
      </c>
      <c r="E50" s="2964" t="s">
        <v>3317</v>
      </c>
      <c r="F50" s="2964" t="s">
        <v>3248</v>
      </c>
      <c r="G50" s="2964" t="s">
        <v>1377</v>
      </c>
      <c r="H50" s="2964" t="s">
        <v>3231</v>
      </c>
      <c r="I50" s="2964">
        <v>70.8</v>
      </c>
      <c r="J50" s="2965">
        <v>11</v>
      </c>
      <c r="K50" s="2965">
        <v>754.47</v>
      </c>
      <c r="L50" s="2965">
        <v>50697.96</v>
      </c>
      <c r="M50" s="2965">
        <v>3825.01</v>
      </c>
      <c r="N50" s="2965">
        <v>1</v>
      </c>
      <c r="O50" s="2965">
        <v>95.16</v>
      </c>
      <c r="P50" s="2965">
        <v>46034.52</v>
      </c>
      <c r="Q50" s="2965">
        <v>438.06</v>
      </c>
      <c r="R50" s="2965"/>
      <c r="S50" s="2965"/>
      <c r="T50" s="2965"/>
      <c r="U50" s="2965"/>
      <c r="V50" s="2965">
        <v>12</v>
      </c>
      <c r="W50" s="2965">
        <v>849.63</v>
      </c>
      <c r="X50" s="2965">
        <v>50175.65</v>
      </c>
      <c r="Y50" s="2965">
        <v>4263.07</v>
      </c>
      <c r="Z50" s="2964" t="s">
        <v>3318</v>
      </c>
      <c r="AA50" s="2964" t="s">
        <v>3319</v>
      </c>
      <c r="AB50" s="2964" t="s">
        <v>3320</v>
      </c>
      <c r="AC50" s="2965">
        <v>11</v>
      </c>
      <c r="AD50" s="2965">
        <v>754.47</v>
      </c>
      <c r="AE50" s="2965">
        <v>50697.96</v>
      </c>
      <c r="AF50" s="2965">
        <v>3825.01</v>
      </c>
    </row>
    <row r="51" spans="1:32" ht="14.1" customHeight="1">
      <c r="A51" s="2966" t="s">
        <v>3225</v>
      </c>
      <c r="B51" s="2966" t="s">
        <v>3226</v>
      </c>
      <c r="C51" s="2966" t="s">
        <v>3321</v>
      </c>
      <c r="D51" s="2966" t="s">
        <v>3282</v>
      </c>
      <c r="E51" s="2966" t="s">
        <v>3282</v>
      </c>
      <c r="F51" s="2966" t="s">
        <v>3282</v>
      </c>
      <c r="G51" s="2966" t="s">
        <v>3282</v>
      </c>
      <c r="H51" s="2966"/>
      <c r="I51" s="2966">
        <v>43.93</v>
      </c>
      <c r="J51" s="2967">
        <v>731</v>
      </c>
      <c r="K51" s="2967">
        <v>31628.57</v>
      </c>
      <c r="L51" s="2967">
        <v>34359.68</v>
      </c>
      <c r="M51" s="2967">
        <v>108674.75</v>
      </c>
      <c r="N51" s="2967">
        <v>23</v>
      </c>
      <c r="O51" s="2967">
        <v>1494.56</v>
      </c>
      <c r="P51" s="2967">
        <v>29699.06</v>
      </c>
      <c r="Q51" s="2967">
        <v>4438.7</v>
      </c>
      <c r="R51" s="2967"/>
      <c r="S51" s="2967"/>
      <c r="T51" s="2967"/>
      <c r="U51" s="2967"/>
      <c r="V51" s="2967">
        <v>754</v>
      </c>
      <c r="W51" s="2967">
        <v>33123.129999999997</v>
      </c>
      <c r="X51" s="2967">
        <v>34149.39</v>
      </c>
      <c r="Y51" s="2967">
        <v>113113.46</v>
      </c>
      <c r="Z51" s="2966" t="s">
        <v>3322</v>
      </c>
      <c r="AA51" s="2966" t="s">
        <v>3323</v>
      </c>
      <c r="AB51" s="2966" t="s">
        <v>3324</v>
      </c>
      <c r="AC51" s="2967">
        <v>730</v>
      </c>
      <c r="AD51" s="2967">
        <v>31600.52</v>
      </c>
      <c r="AE51" s="2967">
        <v>34362.04</v>
      </c>
      <c r="AF51" s="2967">
        <v>108585.83</v>
      </c>
    </row>
    <row r="52" spans="1:32" ht="14.1" customHeight="1">
      <c r="A52" s="2964" t="s">
        <v>3225</v>
      </c>
      <c r="B52" s="2964" t="s">
        <v>3226</v>
      </c>
      <c r="C52" s="2964" t="s">
        <v>3325</v>
      </c>
      <c r="D52" s="2964" t="s">
        <v>3326</v>
      </c>
      <c r="E52" s="2964" t="s">
        <v>3326</v>
      </c>
      <c r="F52" s="2964" t="s">
        <v>3229</v>
      </c>
      <c r="G52" s="2964" t="s">
        <v>3230</v>
      </c>
      <c r="H52" s="2964" t="s">
        <v>3231</v>
      </c>
      <c r="I52" s="2964">
        <v>37.520000000000003</v>
      </c>
      <c r="J52" s="2965">
        <v>196</v>
      </c>
      <c r="K52" s="2965">
        <v>7353.46</v>
      </c>
      <c r="L52" s="2965">
        <v>28319.35</v>
      </c>
      <c r="M52" s="2965">
        <v>20824.52</v>
      </c>
      <c r="N52" s="2965">
        <v>1</v>
      </c>
      <c r="O52" s="2965">
        <v>38.74</v>
      </c>
      <c r="P52" s="2965">
        <v>24409.84</v>
      </c>
      <c r="Q52" s="2965">
        <v>94.56</v>
      </c>
      <c r="R52" s="2965"/>
      <c r="S52" s="2965"/>
      <c r="T52" s="2965"/>
      <c r="U52" s="2965"/>
      <c r="V52" s="2965">
        <v>197</v>
      </c>
      <c r="W52" s="2965">
        <v>7392.2</v>
      </c>
      <c r="X52" s="2965">
        <v>28298.86</v>
      </c>
      <c r="Y52" s="2965">
        <v>20919.080000000002</v>
      </c>
      <c r="Z52" s="2964" t="s">
        <v>3327</v>
      </c>
      <c r="AA52" s="2964" t="s">
        <v>3328</v>
      </c>
      <c r="AB52" s="2964" t="s">
        <v>3329</v>
      </c>
      <c r="AC52" s="2965">
        <v>195</v>
      </c>
      <c r="AD52" s="2965">
        <v>7295.23</v>
      </c>
      <c r="AE52" s="2965">
        <v>28342.01</v>
      </c>
      <c r="AF52" s="2965">
        <v>20676.150000000001</v>
      </c>
    </row>
    <row r="53" spans="1:32" ht="14.1" customHeight="1">
      <c r="A53" s="2964" t="s">
        <v>3225</v>
      </c>
      <c r="B53" s="2964" t="s">
        <v>3226</v>
      </c>
      <c r="C53" s="2964" t="s">
        <v>3325</v>
      </c>
      <c r="D53" s="2964" t="s">
        <v>3330</v>
      </c>
      <c r="E53" s="2964" t="s">
        <v>3330</v>
      </c>
      <c r="F53" s="2964" t="s">
        <v>3236</v>
      </c>
      <c r="G53" s="2964" t="s">
        <v>3230</v>
      </c>
      <c r="H53" s="2964" t="s">
        <v>3231</v>
      </c>
      <c r="I53" s="2964">
        <v>42.51</v>
      </c>
      <c r="J53" s="2965">
        <v>12</v>
      </c>
      <c r="K53" s="2965">
        <v>511.18</v>
      </c>
      <c r="L53" s="2965">
        <v>24934.33</v>
      </c>
      <c r="M53" s="2965">
        <v>1274.5899999999999</v>
      </c>
      <c r="N53" s="2965">
        <v>2</v>
      </c>
      <c r="O53" s="2965">
        <v>83.97</v>
      </c>
      <c r="P53" s="2965">
        <v>24346.51</v>
      </c>
      <c r="Q53" s="2965">
        <v>204.44</v>
      </c>
      <c r="R53" s="2965"/>
      <c r="S53" s="2965"/>
      <c r="T53" s="2965"/>
      <c r="U53" s="2965"/>
      <c r="V53" s="2965">
        <v>14</v>
      </c>
      <c r="W53" s="2965">
        <v>595.15</v>
      </c>
      <c r="X53" s="2965">
        <v>24851.39</v>
      </c>
      <c r="Y53" s="2965">
        <v>1479.03</v>
      </c>
      <c r="Z53" s="2964" t="s">
        <v>3331</v>
      </c>
      <c r="AA53" s="2964" t="s">
        <v>3332</v>
      </c>
      <c r="AB53" s="2964" t="s">
        <v>3333</v>
      </c>
      <c r="AC53" s="2965">
        <v>12</v>
      </c>
      <c r="AD53" s="2965">
        <v>511.03</v>
      </c>
      <c r="AE53" s="2965">
        <v>24940.82</v>
      </c>
      <c r="AF53" s="2965">
        <v>1274.55</v>
      </c>
    </row>
    <row r="54" spans="1:32" ht="14.1" customHeight="1">
      <c r="A54" s="2964" t="s">
        <v>3225</v>
      </c>
      <c r="B54" s="2964" t="s">
        <v>3226</v>
      </c>
      <c r="C54" s="2964" t="s">
        <v>3325</v>
      </c>
      <c r="D54" s="2964" t="s">
        <v>3334</v>
      </c>
      <c r="E54" s="2964"/>
      <c r="F54" s="2964" t="s">
        <v>3239</v>
      </c>
      <c r="G54" s="2964" t="s">
        <v>3230</v>
      </c>
      <c r="H54" s="2964" t="s">
        <v>3231</v>
      </c>
      <c r="I54" s="2964"/>
      <c r="J54" s="2965"/>
      <c r="K54" s="2965"/>
      <c r="L54" s="2965"/>
      <c r="M54" s="2965"/>
      <c r="N54" s="2965"/>
      <c r="O54" s="2965"/>
      <c r="P54" s="2965"/>
      <c r="Q54" s="2965"/>
      <c r="R54" s="2965"/>
      <c r="S54" s="2965"/>
      <c r="T54" s="2965"/>
      <c r="U54" s="2965"/>
      <c r="V54" s="2965"/>
      <c r="W54" s="2965"/>
      <c r="X54" s="2965"/>
      <c r="Y54" s="2965"/>
      <c r="Z54" s="2964" t="s">
        <v>3237</v>
      </c>
      <c r="AA54" s="2964" t="s">
        <v>3237</v>
      </c>
      <c r="AB54" s="2964" t="s">
        <v>3237</v>
      </c>
      <c r="AC54" s="2965"/>
      <c r="AD54" s="2965"/>
      <c r="AE54" s="2965"/>
      <c r="AF54" s="2965"/>
    </row>
    <row r="55" spans="1:32" ht="14.1" customHeight="1">
      <c r="A55" s="2964" t="s">
        <v>3225</v>
      </c>
      <c r="B55" s="2964" t="s">
        <v>3226</v>
      </c>
      <c r="C55" s="2964" t="s">
        <v>3325</v>
      </c>
      <c r="D55" s="2964" t="s">
        <v>3335</v>
      </c>
      <c r="E55" s="2964"/>
      <c r="F55" s="2964" t="s">
        <v>3241</v>
      </c>
      <c r="G55" s="2964" t="s">
        <v>3230</v>
      </c>
      <c r="H55" s="2964" t="s">
        <v>3231</v>
      </c>
      <c r="I55" s="2964"/>
      <c r="J55" s="2965"/>
      <c r="K55" s="2965"/>
      <c r="L55" s="2965"/>
      <c r="M55" s="2965"/>
      <c r="N55" s="2965"/>
      <c r="O55" s="2965"/>
      <c r="P55" s="2965"/>
      <c r="Q55" s="2965"/>
      <c r="R55" s="2965"/>
      <c r="S55" s="2965"/>
      <c r="T55" s="2965"/>
      <c r="U55" s="2965"/>
      <c r="V55" s="2965"/>
      <c r="W55" s="2965"/>
      <c r="X55" s="2965"/>
      <c r="Y55" s="2965"/>
      <c r="Z55" s="2964" t="s">
        <v>3237</v>
      </c>
      <c r="AA55" s="2964" t="s">
        <v>3237</v>
      </c>
      <c r="AB55" s="2964" t="s">
        <v>3237</v>
      </c>
      <c r="AC55" s="2965"/>
      <c r="AD55" s="2965"/>
      <c r="AE55" s="2965"/>
      <c r="AF55" s="2965"/>
    </row>
    <row r="56" spans="1:32" ht="14.1" customHeight="1">
      <c r="A56" s="2964" t="s">
        <v>3225</v>
      </c>
      <c r="B56" s="2964" t="s">
        <v>3226</v>
      </c>
      <c r="C56" s="2964" t="s">
        <v>3325</v>
      </c>
      <c r="D56" s="2964" t="s">
        <v>3336</v>
      </c>
      <c r="E56" s="2964" t="s">
        <v>3336</v>
      </c>
      <c r="F56" s="2964" t="s">
        <v>3243</v>
      </c>
      <c r="G56" s="2964" t="s">
        <v>3244</v>
      </c>
      <c r="H56" s="2964" t="s">
        <v>3231</v>
      </c>
      <c r="I56" s="2964">
        <v>74.8</v>
      </c>
      <c r="J56" s="2965">
        <v>15</v>
      </c>
      <c r="K56" s="2965">
        <v>1127.45</v>
      </c>
      <c r="L56" s="2965">
        <v>15000</v>
      </c>
      <c r="M56" s="2965">
        <v>1691.18</v>
      </c>
      <c r="N56" s="2965">
        <v>2</v>
      </c>
      <c r="O56" s="2965">
        <v>144.11000000000001</v>
      </c>
      <c r="P56" s="2965">
        <v>15000</v>
      </c>
      <c r="Q56" s="2965">
        <v>216.17</v>
      </c>
      <c r="R56" s="2965"/>
      <c r="S56" s="2965"/>
      <c r="T56" s="2965"/>
      <c r="U56" s="2965"/>
      <c r="V56" s="2965">
        <v>17</v>
      </c>
      <c r="W56" s="2965">
        <v>1271.56</v>
      </c>
      <c r="X56" s="2965">
        <v>15000</v>
      </c>
      <c r="Y56" s="2965">
        <v>1907.34</v>
      </c>
      <c r="Z56" s="2964" t="s">
        <v>3337</v>
      </c>
      <c r="AA56" s="2964" t="s">
        <v>3338</v>
      </c>
      <c r="AB56" s="2964" t="s">
        <v>3338</v>
      </c>
      <c r="AC56" s="2965">
        <v>15</v>
      </c>
      <c r="AD56" s="2965">
        <v>1127.45</v>
      </c>
      <c r="AE56" s="2965">
        <v>15000</v>
      </c>
      <c r="AF56" s="2965">
        <v>1691.18</v>
      </c>
    </row>
    <row r="57" spans="1:32" ht="14.1" customHeight="1">
      <c r="A57" s="2964" t="s">
        <v>3225</v>
      </c>
      <c r="B57" s="2964" t="s">
        <v>3226</v>
      </c>
      <c r="C57" s="2964" t="s">
        <v>3325</v>
      </c>
      <c r="D57" s="2964" t="s">
        <v>3339</v>
      </c>
      <c r="E57" s="2964" t="s">
        <v>3339</v>
      </c>
      <c r="F57" s="2964" t="s">
        <v>3246</v>
      </c>
      <c r="G57" s="2964" t="s">
        <v>3246</v>
      </c>
      <c r="H57" s="2964" t="s">
        <v>3231</v>
      </c>
      <c r="I57" s="2964">
        <v>51.29</v>
      </c>
      <c r="J57" s="2965">
        <v>1</v>
      </c>
      <c r="K57" s="2965">
        <v>43.84</v>
      </c>
      <c r="L57" s="2965">
        <v>33302.92</v>
      </c>
      <c r="M57" s="2965">
        <v>146</v>
      </c>
      <c r="N57" s="2965">
        <v>6</v>
      </c>
      <c r="O57" s="2965">
        <v>315.2</v>
      </c>
      <c r="P57" s="2965">
        <v>30740.6</v>
      </c>
      <c r="Q57" s="2965">
        <v>968.94</v>
      </c>
      <c r="R57" s="2965"/>
      <c r="S57" s="2965"/>
      <c r="T57" s="2965"/>
      <c r="U57" s="2965"/>
      <c r="V57" s="2965">
        <v>7</v>
      </c>
      <c r="W57" s="2965">
        <v>359.04</v>
      </c>
      <c r="X57" s="2965">
        <v>31053.47</v>
      </c>
      <c r="Y57" s="2965">
        <v>1114.94</v>
      </c>
      <c r="Z57" s="2964" t="s">
        <v>3340</v>
      </c>
      <c r="AA57" s="2964" t="s">
        <v>3341</v>
      </c>
      <c r="AB57" s="2964" t="s">
        <v>3342</v>
      </c>
      <c r="AC57" s="2965">
        <v>1</v>
      </c>
      <c r="AD57" s="2965">
        <v>43.84</v>
      </c>
      <c r="AE57" s="2965">
        <v>33302.92</v>
      </c>
      <c r="AF57" s="2965">
        <v>146</v>
      </c>
    </row>
    <row r="58" spans="1:32" ht="14.1" customHeight="1">
      <c r="A58" s="2964" t="s">
        <v>3225</v>
      </c>
      <c r="B58" s="2964" t="s">
        <v>3226</v>
      </c>
      <c r="C58" s="2964" t="s">
        <v>3325</v>
      </c>
      <c r="D58" s="2964" t="s">
        <v>3343</v>
      </c>
      <c r="E58" s="2964" t="s">
        <v>3343</v>
      </c>
      <c r="F58" s="2964" t="s">
        <v>3248</v>
      </c>
      <c r="G58" s="2964" t="s">
        <v>1377</v>
      </c>
      <c r="H58" s="2964" t="s">
        <v>3231</v>
      </c>
      <c r="I58" s="2964">
        <v>41.9</v>
      </c>
      <c r="J58" s="2965">
        <v>29</v>
      </c>
      <c r="K58" s="2965">
        <v>1203.75</v>
      </c>
      <c r="L58" s="2965">
        <v>51634.11</v>
      </c>
      <c r="M58" s="2965">
        <v>6215.46</v>
      </c>
      <c r="N58" s="2965">
        <v>2</v>
      </c>
      <c r="O58" s="2965">
        <v>95.08</v>
      </c>
      <c r="P58" s="2965">
        <v>42309.42</v>
      </c>
      <c r="Q58" s="2965">
        <v>402.28</v>
      </c>
      <c r="R58" s="2965"/>
      <c r="S58" s="2965"/>
      <c r="T58" s="2965"/>
      <c r="U58" s="2965"/>
      <c r="V58" s="2965">
        <v>31</v>
      </c>
      <c r="W58" s="2965">
        <v>1298.83</v>
      </c>
      <c r="X58" s="2965">
        <v>50951.5</v>
      </c>
      <c r="Y58" s="2965">
        <v>6617.73</v>
      </c>
      <c r="Z58" s="2964" t="s">
        <v>3344</v>
      </c>
      <c r="AA58" s="2964" t="s">
        <v>3345</v>
      </c>
      <c r="AB58" s="2964" t="s">
        <v>3346</v>
      </c>
      <c r="AC58" s="2965">
        <v>29</v>
      </c>
      <c r="AD58" s="2965">
        <v>1203.75</v>
      </c>
      <c r="AE58" s="2965">
        <v>51634.11</v>
      </c>
      <c r="AF58" s="2965">
        <v>6215.46</v>
      </c>
    </row>
    <row r="59" spans="1:32" ht="14.1" customHeight="1">
      <c r="A59" s="2964" t="s">
        <v>3225</v>
      </c>
      <c r="B59" s="2964" t="s">
        <v>3226</v>
      </c>
      <c r="C59" s="2964" t="s">
        <v>3325</v>
      </c>
      <c r="D59" s="2964" t="s">
        <v>3347</v>
      </c>
      <c r="E59" s="2964" t="s">
        <v>3347</v>
      </c>
      <c r="F59" s="2964" t="s">
        <v>3229</v>
      </c>
      <c r="G59" s="2964" t="s">
        <v>3230</v>
      </c>
      <c r="H59" s="2964" t="s">
        <v>3231</v>
      </c>
      <c r="I59" s="2964">
        <v>36.32</v>
      </c>
      <c r="J59" s="2965">
        <v>375</v>
      </c>
      <c r="K59" s="2965">
        <v>13606.84</v>
      </c>
      <c r="L59" s="2965">
        <v>28024.27</v>
      </c>
      <c r="M59" s="2965">
        <v>38132.17</v>
      </c>
      <c r="N59" s="2965">
        <v>2</v>
      </c>
      <c r="O59" s="2965">
        <v>84.47</v>
      </c>
      <c r="P59" s="2965">
        <v>24791.07</v>
      </c>
      <c r="Q59" s="2965">
        <v>209.41</v>
      </c>
      <c r="R59" s="2965"/>
      <c r="S59" s="2965"/>
      <c r="T59" s="2965"/>
      <c r="U59" s="2965"/>
      <c r="V59" s="2965">
        <v>377</v>
      </c>
      <c r="W59" s="2965">
        <v>13691.31</v>
      </c>
      <c r="X59" s="2965">
        <v>28004.32</v>
      </c>
      <c r="Y59" s="2965">
        <v>38341.589999999997</v>
      </c>
      <c r="Z59" s="2964" t="s">
        <v>3348</v>
      </c>
      <c r="AA59" s="2964" t="s">
        <v>3233</v>
      </c>
      <c r="AB59" s="2964" t="s">
        <v>3274</v>
      </c>
      <c r="AC59" s="2965">
        <v>373</v>
      </c>
      <c r="AD59" s="2965">
        <v>13489.62</v>
      </c>
      <c r="AE59" s="2965">
        <v>28034.61</v>
      </c>
      <c r="AF59" s="2965">
        <v>37817.620000000003</v>
      </c>
    </row>
    <row r="60" spans="1:32" ht="14.1" customHeight="1">
      <c r="A60" s="2964" t="s">
        <v>3225</v>
      </c>
      <c r="B60" s="2964" t="s">
        <v>3226</v>
      </c>
      <c r="C60" s="2964" t="s">
        <v>3325</v>
      </c>
      <c r="D60" s="2964" t="s">
        <v>3349</v>
      </c>
      <c r="E60" s="2964" t="s">
        <v>3349</v>
      </c>
      <c r="F60" s="2964" t="s">
        <v>3236</v>
      </c>
      <c r="G60" s="2964" t="s">
        <v>3230</v>
      </c>
      <c r="H60" s="2964" t="s">
        <v>3231</v>
      </c>
      <c r="I60" s="2964">
        <v>48.24</v>
      </c>
      <c r="J60" s="2965">
        <v>14</v>
      </c>
      <c r="K60" s="2965">
        <v>675.4</v>
      </c>
      <c r="L60" s="2965">
        <v>27698.99</v>
      </c>
      <c r="M60" s="2965">
        <v>1870.79</v>
      </c>
      <c r="N60" s="2965"/>
      <c r="O60" s="2965"/>
      <c r="P60" s="2965"/>
      <c r="Q60" s="2965"/>
      <c r="R60" s="2965"/>
      <c r="S60" s="2965"/>
      <c r="T60" s="2965"/>
      <c r="U60" s="2965"/>
      <c r="V60" s="2965">
        <v>14</v>
      </c>
      <c r="W60" s="2965">
        <v>675.4</v>
      </c>
      <c r="X60" s="2965">
        <v>27698.99</v>
      </c>
      <c r="Y60" s="2965">
        <v>1870.79</v>
      </c>
      <c r="Z60" s="2964" t="s">
        <v>3237</v>
      </c>
      <c r="AA60" s="2964" t="s">
        <v>3237</v>
      </c>
      <c r="AB60" s="2964" t="s">
        <v>3237</v>
      </c>
      <c r="AC60" s="2965">
        <v>14</v>
      </c>
      <c r="AD60" s="2965">
        <v>675.4</v>
      </c>
      <c r="AE60" s="2965">
        <v>27698.99</v>
      </c>
      <c r="AF60" s="2965">
        <v>1870.79</v>
      </c>
    </row>
    <row r="61" spans="1:32" ht="14.1" customHeight="1">
      <c r="A61" s="2964" t="s">
        <v>3225</v>
      </c>
      <c r="B61" s="2964" t="s">
        <v>3226</v>
      </c>
      <c r="C61" s="2964" t="s">
        <v>3325</v>
      </c>
      <c r="D61" s="2964" t="s">
        <v>3350</v>
      </c>
      <c r="E61" s="2964"/>
      <c r="F61" s="2964" t="s">
        <v>3239</v>
      </c>
      <c r="G61" s="2964" t="s">
        <v>3230</v>
      </c>
      <c r="H61" s="2964" t="s">
        <v>3231</v>
      </c>
      <c r="I61" s="2964"/>
      <c r="J61" s="2965"/>
      <c r="K61" s="2965"/>
      <c r="L61" s="2965"/>
      <c r="M61" s="2965"/>
      <c r="N61" s="2965"/>
      <c r="O61" s="2965"/>
      <c r="P61" s="2965"/>
      <c r="Q61" s="2965"/>
      <c r="R61" s="2965"/>
      <c r="S61" s="2965"/>
      <c r="T61" s="2965"/>
      <c r="U61" s="2965"/>
      <c r="V61" s="2965"/>
      <c r="W61" s="2965"/>
      <c r="X61" s="2965"/>
      <c r="Y61" s="2965"/>
      <c r="Z61" s="2964" t="s">
        <v>3237</v>
      </c>
      <c r="AA61" s="2964" t="s">
        <v>3237</v>
      </c>
      <c r="AB61" s="2964" t="s">
        <v>3237</v>
      </c>
      <c r="AC61" s="2965"/>
      <c r="AD61" s="2965"/>
      <c r="AE61" s="2965"/>
      <c r="AF61" s="2965"/>
    </row>
    <row r="62" spans="1:32" ht="14.1" customHeight="1">
      <c r="A62" s="2964" t="s">
        <v>3225</v>
      </c>
      <c r="B62" s="2964" t="s">
        <v>3226</v>
      </c>
      <c r="C62" s="2964" t="s">
        <v>3325</v>
      </c>
      <c r="D62" s="2964" t="s">
        <v>3351</v>
      </c>
      <c r="E62" s="2964"/>
      <c r="F62" s="2964" t="s">
        <v>3241</v>
      </c>
      <c r="G62" s="2964" t="s">
        <v>3230</v>
      </c>
      <c r="H62" s="2964" t="s">
        <v>3231</v>
      </c>
      <c r="I62" s="2964"/>
      <c r="J62" s="2965"/>
      <c r="K62" s="2965"/>
      <c r="L62" s="2965"/>
      <c r="M62" s="2965"/>
      <c r="N62" s="2965"/>
      <c r="O62" s="2965"/>
      <c r="P62" s="2965"/>
      <c r="Q62" s="2965"/>
      <c r="R62" s="2965"/>
      <c r="S62" s="2965"/>
      <c r="T62" s="2965"/>
      <c r="U62" s="2965"/>
      <c r="V62" s="2965"/>
      <c r="W62" s="2965"/>
      <c r="X62" s="2965"/>
      <c r="Y62" s="2965"/>
      <c r="Z62" s="2964" t="s">
        <v>3237</v>
      </c>
      <c r="AA62" s="2964" t="s">
        <v>3237</v>
      </c>
      <c r="AB62" s="2964" t="s">
        <v>3237</v>
      </c>
      <c r="AC62" s="2965"/>
      <c r="AD62" s="2965"/>
      <c r="AE62" s="2965"/>
      <c r="AF62" s="2965"/>
    </row>
    <row r="63" spans="1:32" ht="14.1" customHeight="1">
      <c r="A63" s="2964" t="s">
        <v>3225</v>
      </c>
      <c r="B63" s="2964" t="s">
        <v>3226</v>
      </c>
      <c r="C63" s="2964" t="s">
        <v>3325</v>
      </c>
      <c r="D63" s="2964" t="s">
        <v>3352</v>
      </c>
      <c r="E63" s="2964" t="s">
        <v>3352</v>
      </c>
      <c r="F63" s="2964" t="s">
        <v>3243</v>
      </c>
      <c r="G63" s="2964" t="s">
        <v>3244</v>
      </c>
      <c r="H63" s="2964" t="s">
        <v>3231</v>
      </c>
      <c r="I63" s="2964">
        <v>57.97</v>
      </c>
      <c r="J63" s="2965">
        <v>15</v>
      </c>
      <c r="K63" s="2965">
        <v>869.54</v>
      </c>
      <c r="L63" s="2965">
        <v>15000</v>
      </c>
      <c r="M63" s="2965">
        <v>1304.31</v>
      </c>
      <c r="N63" s="2965"/>
      <c r="O63" s="2965"/>
      <c r="P63" s="2965"/>
      <c r="Q63" s="2965"/>
      <c r="R63" s="2965"/>
      <c r="S63" s="2965"/>
      <c r="T63" s="2965"/>
      <c r="U63" s="2965"/>
      <c r="V63" s="2965">
        <v>15</v>
      </c>
      <c r="W63" s="2965">
        <v>869.54</v>
      </c>
      <c r="X63" s="2965">
        <v>15000</v>
      </c>
      <c r="Y63" s="2965">
        <v>1304.31</v>
      </c>
      <c r="Z63" s="2964" t="s">
        <v>3237</v>
      </c>
      <c r="AA63" s="2964" t="s">
        <v>3237</v>
      </c>
      <c r="AB63" s="2964" t="s">
        <v>3237</v>
      </c>
      <c r="AC63" s="2965">
        <v>15</v>
      </c>
      <c r="AD63" s="2965">
        <v>869.54</v>
      </c>
      <c r="AE63" s="2965">
        <v>15000</v>
      </c>
      <c r="AF63" s="2965">
        <v>1304.31</v>
      </c>
    </row>
    <row r="64" spans="1:32" ht="14.1" customHeight="1">
      <c r="A64" s="2964" t="s">
        <v>3225</v>
      </c>
      <c r="B64" s="2964" t="s">
        <v>3226</v>
      </c>
      <c r="C64" s="2964" t="s">
        <v>3325</v>
      </c>
      <c r="D64" s="2964" t="s">
        <v>3353</v>
      </c>
      <c r="E64" s="2964"/>
      <c r="F64" s="2964" t="s">
        <v>3246</v>
      </c>
      <c r="G64" s="2964" t="s">
        <v>3246</v>
      </c>
      <c r="H64" s="2964" t="s">
        <v>3231</v>
      </c>
      <c r="I64" s="2964"/>
      <c r="J64" s="2965"/>
      <c r="K64" s="2965"/>
      <c r="L64" s="2965"/>
      <c r="M64" s="2965"/>
      <c r="N64" s="2965"/>
      <c r="O64" s="2965"/>
      <c r="P64" s="2965"/>
      <c r="Q64" s="2965"/>
      <c r="R64" s="2965"/>
      <c r="S64" s="2965"/>
      <c r="T64" s="2965"/>
      <c r="U64" s="2965"/>
      <c r="V64" s="2965"/>
      <c r="W64" s="2965"/>
      <c r="X64" s="2965"/>
      <c r="Y64" s="2965"/>
      <c r="Z64" s="2964" t="s">
        <v>3237</v>
      </c>
      <c r="AA64" s="2964" t="s">
        <v>3237</v>
      </c>
      <c r="AB64" s="2964" t="s">
        <v>3237</v>
      </c>
      <c r="AC64" s="2965"/>
      <c r="AD64" s="2965"/>
      <c r="AE64" s="2965"/>
      <c r="AF64" s="2965"/>
    </row>
    <row r="65" spans="1:32" ht="14.1" customHeight="1">
      <c r="A65" s="2964" t="s">
        <v>3225</v>
      </c>
      <c r="B65" s="2964" t="s">
        <v>3226</v>
      </c>
      <c r="C65" s="2964" t="s">
        <v>3325</v>
      </c>
      <c r="D65" s="2964" t="s">
        <v>3354</v>
      </c>
      <c r="E65" s="2964"/>
      <c r="F65" s="2964" t="s">
        <v>3248</v>
      </c>
      <c r="G65" s="2964" t="s">
        <v>1377</v>
      </c>
      <c r="H65" s="2964" t="s">
        <v>3231</v>
      </c>
      <c r="I65" s="2964"/>
      <c r="J65" s="2965"/>
      <c r="K65" s="2965"/>
      <c r="L65" s="2965"/>
      <c r="M65" s="2965"/>
      <c r="N65" s="2965"/>
      <c r="O65" s="2965"/>
      <c r="P65" s="2965"/>
      <c r="Q65" s="2965"/>
      <c r="R65" s="2965"/>
      <c r="S65" s="2965"/>
      <c r="T65" s="2965"/>
      <c r="U65" s="2965"/>
      <c r="V65" s="2965"/>
      <c r="W65" s="2965"/>
      <c r="X65" s="2965"/>
      <c r="Y65" s="2965"/>
      <c r="Z65" s="2964" t="s">
        <v>3237</v>
      </c>
      <c r="AA65" s="2964" t="s">
        <v>3237</v>
      </c>
      <c r="AB65" s="2964" t="s">
        <v>3237</v>
      </c>
      <c r="AC65" s="2965"/>
      <c r="AD65" s="2965"/>
      <c r="AE65" s="2965"/>
      <c r="AF65" s="2965"/>
    </row>
    <row r="66" spans="1:32" ht="14.1" customHeight="1">
      <c r="A66" s="2964" t="s">
        <v>3225</v>
      </c>
      <c r="B66" s="2964" t="s">
        <v>3226</v>
      </c>
      <c r="C66" s="2964" t="s">
        <v>3325</v>
      </c>
      <c r="D66" s="2964" t="s">
        <v>3355</v>
      </c>
      <c r="E66" s="2964" t="s">
        <v>3355</v>
      </c>
      <c r="F66" s="2964" t="s">
        <v>3229</v>
      </c>
      <c r="G66" s="2964" t="s">
        <v>3230</v>
      </c>
      <c r="H66" s="2964" t="s">
        <v>3231</v>
      </c>
      <c r="I66" s="2964">
        <v>36.81</v>
      </c>
      <c r="J66" s="2965">
        <v>273</v>
      </c>
      <c r="K66" s="2965">
        <v>10050.1</v>
      </c>
      <c r="L66" s="2965">
        <v>28370.22</v>
      </c>
      <c r="M66" s="2965">
        <v>28512.36</v>
      </c>
      <c r="N66" s="2965"/>
      <c r="O66" s="2965"/>
      <c r="P66" s="2965"/>
      <c r="Q66" s="2965"/>
      <c r="R66" s="2965"/>
      <c r="S66" s="2965"/>
      <c r="T66" s="2965"/>
      <c r="U66" s="2965"/>
      <c r="V66" s="2965">
        <v>273</v>
      </c>
      <c r="W66" s="2965">
        <v>10050.1</v>
      </c>
      <c r="X66" s="2965">
        <v>28370.22</v>
      </c>
      <c r="Y66" s="2965">
        <v>28512.36</v>
      </c>
      <c r="Z66" s="2964" t="s">
        <v>3237</v>
      </c>
      <c r="AA66" s="2964" t="s">
        <v>3237</v>
      </c>
      <c r="AB66" s="2964" t="s">
        <v>3237</v>
      </c>
      <c r="AC66" s="2965">
        <v>271</v>
      </c>
      <c r="AD66" s="2965">
        <v>9997.84</v>
      </c>
      <c r="AE66" s="2965">
        <v>28385.41</v>
      </c>
      <c r="AF66" s="2965">
        <v>28379.279999999999</v>
      </c>
    </row>
    <row r="67" spans="1:32" ht="14.1" customHeight="1">
      <c r="A67" s="2964" t="s">
        <v>3225</v>
      </c>
      <c r="B67" s="2964" t="s">
        <v>3226</v>
      </c>
      <c r="C67" s="2964" t="s">
        <v>3325</v>
      </c>
      <c r="D67" s="2964" t="s">
        <v>3356</v>
      </c>
      <c r="E67" s="2964" t="s">
        <v>3356</v>
      </c>
      <c r="F67" s="2964" t="s">
        <v>3236</v>
      </c>
      <c r="G67" s="2964" t="s">
        <v>3230</v>
      </c>
      <c r="H67" s="2964" t="s">
        <v>3231</v>
      </c>
      <c r="I67" s="2964">
        <v>47.96</v>
      </c>
      <c r="J67" s="2965">
        <v>9</v>
      </c>
      <c r="K67" s="2965">
        <v>431.32</v>
      </c>
      <c r="L67" s="2965">
        <v>30869.85</v>
      </c>
      <c r="M67" s="2965">
        <v>1331.48</v>
      </c>
      <c r="N67" s="2965">
        <v>1</v>
      </c>
      <c r="O67" s="2965">
        <v>48.28</v>
      </c>
      <c r="P67" s="2965">
        <v>37922.639999999999</v>
      </c>
      <c r="Q67" s="2965">
        <v>183.09</v>
      </c>
      <c r="R67" s="2965"/>
      <c r="S67" s="2965"/>
      <c r="T67" s="2965"/>
      <c r="U67" s="2965"/>
      <c r="V67" s="2965">
        <v>10</v>
      </c>
      <c r="W67" s="2965">
        <v>479.6</v>
      </c>
      <c r="X67" s="2965">
        <v>31579.84</v>
      </c>
      <c r="Y67" s="2965">
        <v>1514.57</v>
      </c>
      <c r="Z67" s="2964" t="s">
        <v>3357</v>
      </c>
      <c r="AA67" s="2964" t="s">
        <v>3358</v>
      </c>
      <c r="AB67" s="2964" t="s">
        <v>3359</v>
      </c>
      <c r="AC67" s="2965">
        <v>9</v>
      </c>
      <c r="AD67" s="2965">
        <v>431.32</v>
      </c>
      <c r="AE67" s="2965">
        <v>30869.85</v>
      </c>
      <c r="AF67" s="2965">
        <v>1331.48</v>
      </c>
    </row>
    <row r="68" spans="1:32" ht="14.1" customHeight="1">
      <c r="A68" s="2964" t="s">
        <v>3225</v>
      </c>
      <c r="B68" s="2964" t="s">
        <v>3226</v>
      </c>
      <c r="C68" s="2964" t="s">
        <v>3325</v>
      </c>
      <c r="D68" s="2964" t="s">
        <v>3360</v>
      </c>
      <c r="E68" s="2964"/>
      <c r="F68" s="2964" t="s">
        <v>3239</v>
      </c>
      <c r="G68" s="2964" t="s">
        <v>3230</v>
      </c>
      <c r="H68" s="2964" t="s">
        <v>3231</v>
      </c>
      <c r="I68" s="2964"/>
      <c r="J68" s="2965"/>
      <c r="K68" s="2965"/>
      <c r="L68" s="2965"/>
      <c r="M68" s="2965"/>
      <c r="N68" s="2965"/>
      <c r="O68" s="2965"/>
      <c r="P68" s="2965"/>
      <c r="Q68" s="2965"/>
      <c r="R68" s="2965"/>
      <c r="S68" s="2965"/>
      <c r="T68" s="2965"/>
      <c r="U68" s="2965"/>
      <c r="V68" s="2965"/>
      <c r="W68" s="2965"/>
      <c r="X68" s="2965"/>
      <c r="Y68" s="2965"/>
      <c r="Z68" s="2964" t="s">
        <v>3237</v>
      </c>
      <c r="AA68" s="2964" t="s">
        <v>3237</v>
      </c>
      <c r="AB68" s="2964" t="s">
        <v>3237</v>
      </c>
      <c r="AC68" s="2965"/>
      <c r="AD68" s="2965"/>
      <c r="AE68" s="2965"/>
      <c r="AF68" s="2965"/>
    </row>
    <row r="69" spans="1:32" ht="14.1" customHeight="1">
      <c r="A69" s="2964" t="s">
        <v>3225</v>
      </c>
      <c r="B69" s="2964" t="s">
        <v>3226</v>
      </c>
      <c r="C69" s="2964" t="s">
        <v>3325</v>
      </c>
      <c r="D69" s="2964" t="s">
        <v>3361</v>
      </c>
      <c r="E69" s="2964" t="s">
        <v>3361</v>
      </c>
      <c r="F69" s="2964" t="s">
        <v>3241</v>
      </c>
      <c r="G69" s="2964" t="s">
        <v>3230</v>
      </c>
      <c r="H69" s="2964" t="s">
        <v>3231</v>
      </c>
      <c r="I69" s="2964">
        <v>42.25</v>
      </c>
      <c r="J69" s="2965">
        <v>3</v>
      </c>
      <c r="K69" s="2965">
        <v>126.74</v>
      </c>
      <c r="L69" s="2965">
        <v>35475.74</v>
      </c>
      <c r="M69" s="2965">
        <v>449.62</v>
      </c>
      <c r="N69" s="2965"/>
      <c r="O69" s="2965"/>
      <c r="P69" s="2965"/>
      <c r="Q69" s="2965"/>
      <c r="R69" s="2965"/>
      <c r="S69" s="2965"/>
      <c r="T69" s="2965"/>
      <c r="U69" s="2965"/>
      <c r="V69" s="2965">
        <v>3</v>
      </c>
      <c r="W69" s="2965">
        <v>126.74</v>
      </c>
      <c r="X69" s="2965">
        <v>35475.74</v>
      </c>
      <c r="Y69" s="2965">
        <v>449.62</v>
      </c>
      <c r="Z69" s="2964" t="s">
        <v>3237</v>
      </c>
      <c r="AA69" s="2964" t="s">
        <v>3237</v>
      </c>
      <c r="AB69" s="2964" t="s">
        <v>3237</v>
      </c>
      <c r="AC69" s="2965">
        <v>3</v>
      </c>
      <c r="AD69" s="2965">
        <v>126.74</v>
      </c>
      <c r="AE69" s="2965">
        <v>35475.74</v>
      </c>
      <c r="AF69" s="2965">
        <v>449.62</v>
      </c>
    </row>
    <row r="70" spans="1:32" ht="14.1" customHeight="1">
      <c r="A70" s="2964" t="s">
        <v>3225</v>
      </c>
      <c r="B70" s="2964" t="s">
        <v>3226</v>
      </c>
      <c r="C70" s="2964" t="s">
        <v>3325</v>
      </c>
      <c r="D70" s="2964" t="s">
        <v>3362</v>
      </c>
      <c r="E70" s="2964" t="s">
        <v>3362</v>
      </c>
      <c r="F70" s="2964" t="s">
        <v>3243</v>
      </c>
      <c r="G70" s="2964" t="s">
        <v>3244</v>
      </c>
      <c r="H70" s="2964" t="s">
        <v>3231</v>
      </c>
      <c r="I70" s="2964">
        <v>53.12</v>
      </c>
      <c r="J70" s="2965">
        <v>11</v>
      </c>
      <c r="K70" s="2965">
        <v>607.91999999999996</v>
      </c>
      <c r="L70" s="2965">
        <v>15000</v>
      </c>
      <c r="M70" s="2965">
        <v>911.88</v>
      </c>
      <c r="N70" s="2965">
        <v>1</v>
      </c>
      <c r="O70" s="2965">
        <v>29.55</v>
      </c>
      <c r="P70" s="2965">
        <v>15000</v>
      </c>
      <c r="Q70" s="2965">
        <v>44.33</v>
      </c>
      <c r="R70" s="2965"/>
      <c r="S70" s="2965"/>
      <c r="T70" s="2965"/>
      <c r="U70" s="2965"/>
      <c r="V70" s="2965">
        <v>12</v>
      </c>
      <c r="W70" s="2965">
        <v>637.47</v>
      </c>
      <c r="X70" s="2965">
        <v>15000</v>
      </c>
      <c r="Y70" s="2965">
        <v>956.21</v>
      </c>
      <c r="Z70" s="2964" t="s">
        <v>3318</v>
      </c>
      <c r="AA70" s="2964" t="s">
        <v>3363</v>
      </c>
      <c r="AB70" s="2964" t="s">
        <v>3363</v>
      </c>
      <c r="AC70" s="2965">
        <v>11</v>
      </c>
      <c r="AD70" s="2965">
        <v>607.91999999999996</v>
      </c>
      <c r="AE70" s="2965">
        <v>15000</v>
      </c>
      <c r="AF70" s="2965">
        <v>911.88</v>
      </c>
    </row>
    <row r="71" spans="1:32" ht="14.1" customHeight="1">
      <c r="A71" s="2964" t="s">
        <v>3225</v>
      </c>
      <c r="B71" s="2964" t="s">
        <v>3226</v>
      </c>
      <c r="C71" s="2964" t="s">
        <v>3325</v>
      </c>
      <c r="D71" s="2964" t="s">
        <v>3364</v>
      </c>
      <c r="E71" s="2964"/>
      <c r="F71" s="2964" t="s">
        <v>3246</v>
      </c>
      <c r="G71" s="2964" t="s">
        <v>3246</v>
      </c>
      <c r="H71" s="2964" t="s">
        <v>3231</v>
      </c>
      <c r="I71" s="2964"/>
      <c r="J71" s="2965"/>
      <c r="K71" s="2965"/>
      <c r="L71" s="2965"/>
      <c r="M71" s="2965"/>
      <c r="N71" s="2965"/>
      <c r="O71" s="2965"/>
      <c r="P71" s="2965"/>
      <c r="Q71" s="2965"/>
      <c r="R71" s="2965"/>
      <c r="S71" s="2965"/>
      <c r="T71" s="2965"/>
      <c r="U71" s="2965"/>
      <c r="V71" s="2965"/>
      <c r="W71" s="2965"/>
      <c r="X71" s="2965"/>
      <c r="Y71" s="2965"/>
      <c r="Z71" s="2964" t="s">
        <v>3237</v>
      </c>
      <c r="AA71" s="2964" t="s">
        <v>3237</v>
      </c>
      <c r="AB71" s="2964" t="s">
        <v>3237</v>
      </c>
      <c r="AC71" s="2965"/>
      <c r="AD71" s="2965"/>
      <c r="AE71" s="2965"/>
      <c r="AF71" s="2965"/>
    </row>
    <row r="72" spans="1:32" ht="14.1" customHeight="1">
      <c r="A72" s="2964" t="s">
        <v>3225</v>
      </c>
      <c r="B72" s="2964" t="s">
        <v>3226</v>
      </c>
      <c r="C72" s="2964" t="s">
        <v>3325</v>
      </c>
      <c r="D72" s="2964" t="s">
        <v>3365</v>
      </c>
      <c r="E72" s="2964"/>
      <c r="F72" s="2964" t="s">
        <v>3248</v>
      </c>
      <c r="G72" s="2964" t="s">
        <v>1377</v>
      </c>
      <c r="H72" s="2964" t="s">
        <v>3231</v>
      </c>
      <c r="I72" s="2964"/>
      <c r="J72" s="2965"/>
      <c r="K72" s="2965"/>
      <c r="L72" s="2965"/>
      <c r="M72" s="2965"/>
      <c r="N72" s="2965"/>
      <c r="O72" s="2965"/>
      <c r="P72" s="2965"/>
      <c r="Q72" s="2965"/>
      <c r="R72" s="2965"/>
      <c r="S72" s="2965"/>
      <c r="T72" s="2965"/>
      <c r="U72" s="2965"/>
      <c r="V72" s="2965"/>
      <c r="W72" s="2965"/>
      <c r="X72" s="2965"/>
      <c r="Y72" s="2965"/>
      <c r="Z72" s="2964" t="s">
        <v>3237</v>
      </c>
      <c r="AA72" s="2964" t="s">
        <v>3237</v>
      </c>
      <c r="AB72" s="2964" t="s">
        <v>3237</v>
      </c>
      <c r="AC72" s="2965"/>
      <c r="AD72" s="2965"/>
      <c r="AE72" s="2965"/>
      <c r="AF72" s="2965"/>
    </row>
    <row r="73" spans="1:32" ht="14.1" customHeight="1">
      <c r="A73" s="2964" t="s">
        <v>3225</v>
      </c>
      <c r="B73" s="2964" t="s">
        <v>3226</v>
      </c>
      <c r="C73" s="2964" t="s">
        <v>3325</v>
      </c>
      <c r="D73" s="2964" t="s">
        <v>3366</v>
      </c>
      <c r="E73" s="2964" t="s">
        <v>3366</v>
      </c>
      <c r="F73" s="2964" t="s">
        <v>3229</v>
      </c>
      <c r="G73" s="2964" t="s">
        <v>3230</v>
      </c>
      <c r="H73" s="2964" t="s">
        <v>3231</v>
      </c>
      <c r="I73" s="2964">
        <v>39.56</v>
      </c>
      <c r="J73" s="2965">
        <v>74</v>
      </c>
      <c r="K73" s="2965">
        <v>2939.09</v>
      </c>
      <c r="L73" s="2965">
        <v>28810.93</v>
      </c>
      <c r="M73" s="2965">
        <v>8467.7900000000009</v>
      </c>
      <c r="N73" s="2965">
        <v>1</v>
      </c>
      <c r="O73" s="2965">
        <v>28.11</v>
      </c>
      <c r="P73" s="2965">
        <v>23220.03</v>
      </c>
      <c r="Q73" s="2965">
        <v>65.27</v>
      </c>
      <c r="R73" s="2965"/>
      <c r="S73" s="2965"/>
      <c r="T73" s="2965"/>
      <c r="U73" s="2965"/>
      <c r="V73" s="2965">
        <v>75</v>
      </c>
      <c r="W73" s="2965">
        <v>2967.2</v>
      </c>
      <c r="X73" s="2965">
        <v>28757.96</v>
      </c>
      <c r="Y73" s="2965">
        <v>8533.06</v>
      </c>
      <c r="Z73" s="2964" t="s">
        <v>3367</v>
      </c>
      <c r="AA73" s="2964" t="s">
        <v>3368</v>
      </c>
      <c r="AB73" s="2964" t="s">
        <v>3369</v>
      </c>
      <c r="AC73" s="2965">
        <v>74</v>
      </c>
      <c r="AD73" s="2965">
        <v>2939.09</v>
      </c>
      <c r="AE73" s="2965">
        <v>28810.93</v>
      </c>
      <c r="AF73" s="2965">
        <v>8467.7900000000009</v>
      </c>
    </row>
    <row r="74" spans="1:32" ht="14.1" customHeight="1">
      <c r="A74" s="2964" t="s">
        <v>3225</v>
      </c>
      <c r="B74" s="2964" t="s">
        <v>3226</v>
      </c>
      <c r="C74" s="2964" t="s">
        <v>3325</v>
      </c>
      <c r="D74" s="2964" t="s">
        <v>3370</v>
      </c>
      <c r="E74" s="2964" t="s">
        <v>3370</v>
      </c>
      <c r="F74" s="2964" t="s">
        <v>3236</v>
      </c>
      <c r="G74" s="2964" t="s">
        <v>3230</v>
      </c>
      <c r="H74" s="2964" t="s">
        <v>3231</v>
      </c>
      <c r="I74" s="2964">
        <v>47.7</v>
      </c>
      <c r="J74" s="2965">
        <v>5</v>
      </c>
      <c r="K74" s="2965">
        <v>238.51</v>
      </c>
      <c r="L74" s="2965">
        <v>30153.94</v>
      </c>
      <c r="M74" s="2965">
        <v>719.2</v>
      </c>
      <c r="N74" s="2965"/>
      <c r="O74" s="2965"/>
      <c r="P74" s="2965"/>
      <c r="Q74" s="2965"/>
      <c r="R74" s="2965"/>
      <c r="S74" s="2965"/>
      <c r="T74" s="2965"/>
      <c r="U74" s="2965"/>
      <c r="V74" s="2965">
        <v>5</v>
      </c>
      <c r="W74" s="2965">
        <v>238.51</v>
      </c>
      <c r="X74" s="2965">
        <v>30153.94</v>
      </c>
      <c r="Y74" s="2965">
        <v>719.2</v>
      </c>
      <c r="Z74" s="2964" t="s">
        <v>3237</v>
      </c>
      <c r="AA74" s="2964" t="s">
        <v>3237</v>
      </c>
      <c r="AB74" s="2964" t="s">
        <v>3237</v>
      </c>
      <c r="AC74" s="2965">
        <v>5</v>
      </c>
      <c r="AD74" s="2965">
        <v>238.51</v>
      </c>
      <c r="AE74" s="2965">
        <v>30153.94</v>
      </c>
      <c r="AF74" s="2965">
        <v>719.2</v>
      </c>
    </row>
    <row r="75" spans="1:32" ht="14.1" customHeight="1">
      <c r="A75" s="2964" t="s">
        <v>3225</v>
      </c>
      <c r="B75" s="2964" t="s">
        <v>3226</v>
      </c>
      <c r="C75" s="2964" t="s">
        <v>3325</v>
      </c>
      <c r="D75" s="2964" t="s">
        <v>3371</v>
      </c>
      <c r="E75" s="2964"/>
      <c r="F75" s="2964" t="s">
        <v>3239</v>
      </c>
      <c r="G75" s="2964" t="s">
        <v>3230</v>
      </c>
      <c r="H75" s="2964" t="s">
        <v>3231</v>
      </c>
      <c r="I75" s="2964"/>
      <c r="J75" s="2965"/>
      <c r="K75" s="2965"/>
      <c r="L75" s="2965"/>
      <c r="M75" s="2965"/>
      <c r="N75" s="2965"/>
      <c r="O75" s="2965"/>
      <c r="P75" s="2965"/>
      <c r="Q75" s="2965"/>
      <c r="R75" s="2965"/>
      <c r="S75" s="2965"/>
      <c r="T75" s="2965"/>
      <c r="U75" s="2965"/>
      <c r="V75" s="2965"/>
      <c r="W75" s="2965"/>
      <c r="X75" s="2965"/>
      <c r="Y75" s="2965"/>
      <c r="Z75" s="2964" t="s">
        <v>3237</v>
      </c>
      <c r="AA75" s="2964" t="s">
        <v>3237</v>
      </c>
      <c r="AB75" s="2964" t="s">
        <v>3237</v>
      </c>
      <c r="AC75" s="2965"/>
      <c r="AD75" s="2965"/>
      <c r="AE75" s="2965"/>
      <c r="AF75" s="2965"/>
    </row>
    <row r="76" spans="1:32" ht="14.1" customHeight="1">
      <c r="A76" s="2964" t="s">
        <v>3225</v>
      </c>
      <c r="B76" s="2964" t="s">
        <v>3226</v>
      </c>
      <c r="C76" s="2964" t="s">
        <v>3325</v>
      </c>
      <c r="D76" s="2964" t="s">
        <v>3372</v>
      </c>
      <c r="E76" s="2964" t="s">
        <v>3372</v>
      </c>
      <c r="F76" s="2964" t="s">
        <v>3241</v>
      </c>
      <c r="G76" s="2964" t="s">
        <v>3230</v>
      </c>
      <c r="H76" s="2964" t="s">
        <v>3231</v>
      </c>
      <c r="I76" s="2964">
        <v>39.99</v>
      </c>
      <c r="J76" s="2965">
        <v>8</v>
      </c>
      <c r="K76" s="2965">
        <v>319.91000000000003</v>
      </c>
      <c r="L76" s="2965">
        <v>28158.639999999999</v>
      </c>
      <c r="M76" s="2965">
        <v>900.82</v>
      </c>
      <c r="N76" s="2965"/>
      <c r="O76" s="2965"/>
      <c r="P76" s="2965"/>
      <c r="Q76" s="2965"/>
      <c r="R76" s="2965"/>
      <c r="S76" s="2965"/>
      <c r="T76" s="2965"/>
      <c r="U76" s="2965"/>
      <c r="V76" s="2965">
        <v>8</v>
      </c>
      <c r="W76" s="2965">
        <v>319.91000000000003</v>
      </c>
      <c r="X76" s="2965">
        <v>28158.639999999999</v>
      </c>
      <c r="Y76" s="2965">
        <v>900.82</v>
      </c>
      <c r="Z76" s="2964" t="s">
        <v>3237</v>
      </c>
      <c r="AA76" s="2964" t="s">
        <v>3237</v>
      </c>
      <c r="AB76" s="2964" t="s">
        <v>3237</v>
      </c>
      <c r="AC76" s="2965">
        <v>8</v>
      </c>
      <c r="AD76" s="2965">
        <v>319.91000000000003</v>
      </c>
      <c r="AE76" s="2965">
        <v>28158.639999999999</v>
      </c>
      <c r="AF76" s="2965">
        <v>900.82</v>
      </c>
    </row>
    <row r="77" spans="1:32" ht="14.1" customHeight="1">
      <c r="A77" s="2964" t="s">
        <v>3225</v>
      </c>
      <c r="B77" s="2964" t="s">
        <v>3226</v>
      </c>
      <c r="C77" s="2964" t="s">
        <v>3325</v>
      </c>
      <c r="D77" s="2964" t="s">
        <v>3373</v>
      </c>
      <c r="E77" s="2964" t="s">
        <v>3373</v>
      </c>
      <c r="F77" s="2964" t="s">
        <v>3243</v>
      </c>
      <c r="G77" s="2964" t="s">
        <v>3244</v>
      </c>
      <c r="H77" s="2964" t="s">
        <v>3231</v>
      </c>
      <c r="I77" s="2964">
        <v>64.599999999999994</v>
      </c>
      <c r="J77" s="2965">
        <v>6</v>
      </c>
      <c r="K77" s="2965">
        <v>387.62</v>
      </c>
      <c r="L77" s="2965">
        <v>15000</v>
      </c>
      <c r="M77" s="2965">
        <v>581.42999999999995</v>
      </c>
      <c r="N77" s="2965"/>
      <c r="O77" s="2965"/>
      <c r="P77" s="2965"/>
      <c r="Q77" s="2965"/>
      <c r="R77" s="2965"/>
      <c r="S77" s="2965"/>
      <c r="T77" s="2965"/>
      <c r="U77" s="2965"/>
      <c r="V77" s="2965">
        <v>6</v>
      </c>
      <c r="W77" s="2965">
        <v>387.62</v>
      </c>
      <c r="X77" s="2965">
        <v>15000</v>
      </c>
      <c r="Y77" s="2965">
        <v>581.42999999999995</v>
      </c>
      <c r="Z77" s="2964" t="s">
        <v>3237</v>
      </c>
      <c r="AA77" s="2964" t="s">
        <v>3237</v>
      </c>
      <c r="AB77" s="2964" t="s">
        <v>3237</v>
      </c>
      <c r="AC77" s="2965">
        <v>6</v>
      </c>
      <c r="AD77" s="2965">
        <v>387.62</v>
      </c>
      <c r="AE77" s="2965">
        <v>15000</v>
      </c>
      <c r="AF77" s="2965">
        <v>581.42999999999995</v>
      </c>
    </row>
    <row r="78" spans="1:32" ht="14.1" customHeight="1">
      <c r="A78" s="2964" t="s">
        <v>3225</v>
      </c>
      <c r="B78" s="2964" t="s">
        <v>3226</v>
      </c>
      <c r="C78" s="2964" t="s">
        <v>3325</v>
      </c>
      <c r="D78" s="2964" t="s">
        <v>3374</v>
      </c>
      <c r="E78" s="2964"/>
      <c r="F78" s="2964" t="s">
        <v>3246</v>
      </c>
      <c r="G78" s="2964" t="s">
        <v>3246</v>
      </c>
      <c r="H78" s="2964" t="s">
        <v>3231</v>
      </c>
      <c r="I78" s="2964"/>
      <c r="J78" s="2965"/>
      <c r="K78" s="2965"/>
      <c r="L78" s="2965"/>
      <c r="M78" s="2965"/>
      <c r="N78" s="2965"/>
      <c r="O78" s="2965"/>
      <c r="P78" s="2965"/>
      <c r="Q78" s="2965"/>
      <c r="R78" s="2965"/>
      <c r="S78" s="2965"/>
      <c r="T78" s="2965"/>
      <c r="U78" s="2965"/>
      <c r="V78" s="2965"/>
      <c r="W78" s="2965"/>
      <c r="X78" s="2965"/>
      <c r="Y78" s="2965"/>
      <c r="Z78" s="2964" t="s">
        <v>3237</v>
      </c>
      <c r="AA78" s="2964" t="s">
        <v>3237</v>
      </c>
      <c r="AB78" s="2964" t="s">
        <v>3237</v>
      </c>
      <c r="AC78" s="2965"/>
      <c r="AD78" s="2965"/>
      <c r="AE78" s="2965"/>
      <c r="AF78" s="2965"/>
    </row>
    <row r="79" spans="1:32" ht="14.1" customHeight="1">
      <c r="A79" s="2964" t="s">
        <v>3225</v>
      </c>
      <c r="B79" s="2964" t="s">
        <v>3226</v>
      </c>
      <c r="C79" s="2964" t="s">
        <v>3325</v>
      </c>
      <c r="D79" s="2964" t="s">
        <v>3375</v>
      </c>
      <c r="E79" s="2964"/>
      <c r="F79" s="2964" t="s">
        <v>3248</v>
      </c>
      <c r="G79" s="2964" t="s">
        <v>1377</v>
      </c>
      <c r="H79" s="2964" t="s">
        <v>3231</v>
      </c>
      <c r="I79" s="2964"/>
      <c r="J79" s="2965"/>
      <c r="K79" s="2965"/>
      <c r="L79" s="2965"/>
      <c r="M79" s="2965"/>
      <c r="N79" s="2965"/>
      <c r="O79" s="2965"/>
      <c r="P79" s="2965"/>
      <c r="Q79" s="2965"/>
      <c r="R79" s="2965"/>
      <c r="S79" s="2965"/>
      <c r="T79" s="2965"/>
      <c r="U79" s="2965"/>
      <c r="V79" s="2965"/>
      <c r="W79" s="2965"/>
      <c r="X79" s="2965"/>
      <c r="Y79" s="2965"/>
      <c r="Z79" s="2964" t="s">
        <v>3237</v>
      </c>
      <c r="AA79" s="2964" t="s">
        <v>3237</v>
      </c>
      <c r="AB79" s="2964" t="s">
        <v>3237</v>
      </c>
      <c r="AC79" s="2965"/>
      <c r="AD79" s="2965"/>
      <c r="AE79" s="2965"/>
      <c r="AF79" s="2965"/>
    </row>
    <row r="80" spans="1:32" ht="14.1" customHeight="1">
      <c r="A80" s="2964" t="s">
        <v>3225</v>
      </c>
      <c r="B80" s="2964" t="s">
        <v>3226</v>
      </c>
      <c r="C80" s="2964" t="s">
        <v>3325</v>
      </c>
      <c r="D80" s="2964" t="s">
        <v>3376</v>
      </c>
      <c r="E80" s="2964" t="s">
        <v>3376</v>
      </c>
      <c r="F80" s="2964" t="s">
        <v>3229</v>
      </c>
      <c r="G80" s="2964" t="s">
        <v>3230</v>
      </c>
      <c r="H80" s="2964" t="s">
        <v>3231</v>
      </c>
      <c r="I80" s="2964">
        <v>39.99</v>
      </c>
      <c r="J80" s="2965">
        <v>157</v>
      </c>
      <c r="K80" s="2965">
        <v>6280.7</v>
      </c>
      <c r="L80" s="2965">
        <v>30494.76</v>
      </c>
      <c r="M80" s="2965">
        <v>19152.849999999999</v>
      </c>
      <c r="N80" s="2965">
        <v>4</v>
      </c>
      <c r="O80" s="2965">
        <v>158.38999999999999</v>
      </c>
      <c r="P80" s="2965">
        <v>25296.22</v>
      </c>
      <c r="Q80" s="2965">
        <v>400.67</v>
      </c>
      <c r="R80" s="2965"/>
      <c r="S80" s="2965"/>
      <c r="T80" s="2965"/>
      <c r="U80" s="2965"/>
      <c r="V80" s="2965">
        <v>161</v>
      </c>
      <c r="W80" s="2965">
        <v>6439.09</v>
      </c>
      <c r="X80" s="2965">
        <v>30366.89</v>
      </c>
      <c r="Y80" s="2965">
        <v>19553.509999999998</v>
      </c>
      <c r="Z80" s="2964" t="s">
        <v>3377</v>
      </c>
      <c r="AA80" s="2964" t="s">
        <v>3378</v>
      </c>
      <c r="AB80" s="2964" t="s">
        <v>3379</v>
      </c>
      <c r="AC80" s="2965">
        <v>156</v>
      </c>
      <c r="AD80" s="2965">
        <v>6241.11</v>
      </c>
      <c r="AE80" s="2965">
        <v>30511.55</v>
      </c>
      <c r="AF80" s="2965">
        <v>19042.59</v>
      </c>
    </row>
    <row r="81" spans="1:32" ht="14.1" customHeight="1">
      <c r="A81" s="2964" t="s">
        <v>3225</v>
      </c>
      <c r="B81" s="2964" t="s">
        <v>3226</v>
      </c>
      <c r="C81" s="2964" t="s">
        <v>3325</v>
      </c>
      <c r="D81" s="2964" t="s">
        <v>3380</v>
      </c>
      <c r="E81" s="2964"/>
      <c r="F81" s="2964" t="s">
        <v>3236</v>
      </c>
      <c r="G81" s="2964" t="s">
        <v>3230</v>
      </c>
      <c r="H81" s="2964" t="s">
        <v>3231</v>
      </c>
      <c r="I81" s="2964"/>
      <c r="J81" s="2965"/>
      <c r="K81" s="2965"/>
      <c r="L81" s="2965"/>
      <c r="M81" s="2965"/>
      <c r="N81" s="2965"/>
      <c r="O81" s="2965"/>
      <c r="P81" s="2965"/>
      <c r="Q81" s="2965"/>
      <c r="R81" s="2965"/>
      <c r="S81" s="2965"/>
      <c r="T81" s="2965"/>
      <c r="U81" s="2965"/>
      <c r="V81" s="2965"/>
      <c r="W81" s="2965"/>
      <c r="X81" s="2965"/>
      <c r="Y81" s="2965"/>
      <c r="Z81" s="2964" t="s">
        <v>3237</v>
      </c>
      <c r="AA81" s="2964" t="s">
        <v>3237</v>
      </c>
      <c r="AB81" s="2964" t="s">
        <v>3237</v>
      </c>
      <c r="AC81" s="2965"/>
      <c r="AD81" s="2965"/>
      <c r="AE81" s="2965"/>
      <c r="AF81" s="2965"/>
    </row>
    <row r="82" spans="1:32" ht="14.1" customHeight="1">
      <c r="A82" s="2964" t="s">
        <v>3225</v>
      </c>
      <c r="B82" s="2964" t="s">
        <v>3226</v>
      </c>
      <c r="C82" s="2964" t="s">
        <v>3325</v>
      </c>
      <c r="D82" s="2964" t="s">
        <v>3381</v>
      </c>
      <c r="E82" s="2964"/>
      <c r="F82" s="2964" t="s">
        <v>3239</v>
      </c>
      <c r="G82" s="2964" t="s">
        <v>3230</v>
      </c>
      <c r="H82" s="2964" t="s">
        <v>3231</v>
      </c>
      <c r="I82" s="2964"/>
      <c r="J82" s="2965"/>
      <c r="K82" s="2965"/>
      <c r="L82" s="2965"/>
      <c r="M82" s="2965"/>
      <c r="N82" s="2965"/>
      <c r="O82" s="2965"/>
      <c r="P82" s="2965"/>
      <c r="Q82" s="2965"/>
      <c r="R82" s="2965"/>
      <c r="S82" s="2965"/>
      <c r="T82" s="2965"/>
      <c r="U82" s="2965"/>
      <c r="V82" s="2965"/>
      <c r="W82" s="2965"/>
      <c r="X82" s="2965"/>
      <c r="Y82" s="2965"/>
      <c r="Z82" s="2964" t="s">
        <v>3237</v>
      </c>
      <c r="AA82" s="2964" t="s">
        <v>3237</v>
      </c>
      <c r="AB82" s="2964" t="s">
        <v>3237</v>
      </c>
      <c r="AC82" s="2965"/>
      <c r="AD82" s="2965"/>
      <c r="AE82" s="2965"/>
      <c r="AF82" s="2965"/>
    </row>
    <row r="83" spans="1:32" ht="14.1" customHeight="1">
      <c r="A83" s="2964" t="s">
        <v>3225</v>
      </c>
      <c r="B83" s="2964" t="s">
        <v>3226</v>
      </c>
      <c r="C83" s="2964" t="s">
        <v>3325</v>
      </c>
      <c r="D83" s="2964" t="s">
        <v>3382</v>
      </c>
      <c r="E83" s="2964" t="s">
        <v>3382</v>
      </c>
      <c r="F83" s="2964" t="s">
        <v>3241</v>
      </c>
      <c r="G83" s="2964" t="s">
        <v>3230</v>
      </c>
      <c r="H83" s="2964" t="s">
        <v>3231</v>
      </c>
      <c r="I83" s="2964">
        <v>31.24</v>
      </c>
      <c r="J83" s="2965">
        <v>9</v>
      </c>
      <c r="K83" s="2965">
        <v>281.2</v>
      </c>
      <c r="L83" s="2965">
        <v>29791.11</v>
      </c>
      <c r="M83" s="2965">
        <v>837.73</v>
      </c>
      <c r="N83" s="2965"/>
      <c r="O83" s="2965"/>
      <c r="P83" s="2965"/>
      <c r="Q83" s="2965"/>
      <c r="R83" s="2965"/>
      <c r="S83" s="2965"/>
      <c r="T83" s="2965"/>
      <c r="U83" s="2965"/>
      <c r="V83" s="2965">
        <v>9</v>
      </c>
      <c r="W83" s="2965">
        <v>281.2</v>
      </c>
      <c r="X83" s="2965">
        <v>29791.11</v>
      </c>
      <c r="Y83" s="2965">
        <v>837.73</v>
      </c>
      <c r="Z83" s="2964" t="s">
        <v>3237</v>
      </c>
      <c r="AA83" s="2964" t="s">
        <v>3237</v>
      </c>
      <c r="AB83" s="2964" t="s">
        <v>3237</v>
      </c>
      <c r="AC83" s="2965">
        <v>9</v>
      </c>
      <c r="AD83" s="2965">
        <v>281.2</v>
      </c>
      <c r="AE83" s="2965">
        <v>29791.11</v>
      </c>
      <c r="AF83" s="2965">
        <v>837.73</v>
      </c>
    </row>
    <row r="84" spans="1:32" ht="14.1" customHeight="1">
      <c r="A84" s="2964" t="s">
        <v>3225</v>
      </c>
      <c r="B84" s="2964" t="s">
        <v>3226</v>
      </c>
      <c r="C84" s="2964" t="s">
        <v>3325</v>
      </c>
      <c r="D84" s="2964" t="s">
        <v>3383</v>
      </c>
      <c r="E84" s="2964"/>
      <c r="F84" s="2964" t="s">
        <v>3243</v>
      </c>
      <c r="G84" s="2964" t="s">
        <v>3244</v>
      </c>
      <c r="H84" s="2964" t="s">
        <v>3231</v>
      </c>
      <c r="I84" s="2964"/>
      <c r="J84" s="2965"/>
      <c r="K84" s="2965"/>
      <c r="L84" s="2965"/>
      <c r="M84" s="2965"/>
      <c r="N84" s="2965"/>
      <c r="O84" s="2965"/>
      <c r="P84" s="2965"/>
      <c r="Q84" s="2965"/>
      <c r="R84" s="2965"/>
      <c r="S84" s="2965"/>
      <c r="T84" s="2965"/>
      <c r="U84" s="2965"/>
      <c r="V84" s="2965"/>
      <c r="W84" s="2965"/>
      <c r="X84" s="2965"/>
      <c r="Y84" s="2965"/>
      <c r="Z84" s="2964" t="s">
        <v>3237</v>
      </c>
      <c r="AA84" s="2964" t="s">
        <v>3237</v>
      </c>
      <c r="AB84" s="2964" t="s">
        <v>3237</v>
      </c>
      <c r="AC84" s="2965"/>
      <c r="AD84" s="2965"/>
      <c r="AE84" s="2965"/>
      <c r="AF84" s="2965"/>
    </row>
    <row r="85" spans="1:32" ht="14.1" customHeight="1">
      <c r="A85" s="2964" t="s">
        <v>3225</v>
      </c>
      <c r="B85" s="2964" t="s">
        <v>3226</v>
      </c>
      <c r="C85" s="2964" t="s">
        <v>3325</v>
      </c>
      <c r="D85" s="2964" t="s">
        <v>3384</v>
      </c>
      <c r="E85" s="2964"/>
      <c r="F85" s="2964" t="s">
        <v>3246</v>
      </c>
      <c r="G85" s="2964" t="s">
        <v>3246</v>
      </c>
      <c r="H85" s="2964" t="s">
        <v>3231</v>
      </c>
      <c r="I85" s="2964"/>
      <c r="J85" s="2965"/>
      <c r="K85" s="2965"/>
      <c r="L85" s="2965"/>
      <c r="M85" s="2965"/>
      <c r="N85" s="2965"/>
      <c r="O85" s="2965"/>
      <c r="P85" s="2965"/>
      <c r="Q85" s="2965"/>
      <c r="R85" s="2965"/>
      <c r="S85" s="2965"/>
      <c r="T85" s="2965"/>
      <c r="U85" s="2965"/>
      <c r="V85" s="2965"/>
      <c r="W85" s="2965"/>
      <c r="X85" s="2965"/>
      <c r="Y85" s="2965"/>
      <c r="Z85" s="2964" t="s">
        <v>3237</v>
      </c>
      <c r="AA85" s="2964" t="s">
        <v>3237</v>
      </c>
      <c r="AB85" s="2964" t="s">
        <v>3237</v>
      </c>
      <c r="AC85" s="2965"/>
      <c r="AD85" s="2965"/>
      <c r="AE85" s="2965"/>
      <c r="AF85" s="2965"/>
    </row>
    <row r="86" spans="1:32" ht="14.1" customHeight="1">
      <c r="A86" s="2964" t="s">
        <v>3225</v>
      </c>
      <c r="B86" s="2964" t="s">
        <v>3226</v>
      </c>
      <c r="C86" s="2964" t="s">
        <v>3325</v>
      </c>
      <c r="D86" s="2964" t="s">
        <v>3385</v>
      </c>
      <c r="E86" s="2964"/>
      <c r="F86" s="2964" t="s">
        <v>3248</v>
      </c>
      <c r="G86" s="2964" t="s">
        <v>1377</v>
      </c>
      <c r="H86" s="2964" t="s">
        <v>3231</v>
      </c>
      <c r="I86" s="2964"/>
      <c r="J86" s="2965"/>
      <c r="K86" s="2965"/>
      <c r="L86" s="2965"/>
      <c r="M86" s="2965"/>
      <c r="N86" s="2965"/>
      <c r="O86" s="2965"/>
      <c r="P86" s="2965"/>
      <c r="Q86" s="2965"/>
      <c r="R86" s="2965"/>
      <c r="S86" s="2965"/>
      <c r="T86" s="2965"/>
      <c r="U86" s="2965"/>
      <c r="V86" s="2965"/>
      <c r="W86" s="2965"/>
      <c r="X86" s="2965"/>
      <c r="Y86" s="2965"/>
      <c r="Z86" s="2964" t="s">
        <v>3237</v>
      </c>
      <c r="AA86" s="2964" t="s">
        <v>3237</v>
      </c>
      <c r="AB86" s="2964" t="s">
        <v>3237</v>
      </c>
      <c r="AC86" s="2965"/>
      <c r="AD86" s="2965"/>
      <c r="AE86" s="2965"/>
      <c r="AF86" s="2965"/>
    </row>
    <row r="87" spans="1:32" ht="14.1" customHeight="1">
      <c r="A87" s="2964" t="s">
        <v>3225</v>
      </c>
      <c r="B87" s="2964" t="s">
        <v>3226</v>
      </c>
      <c r="C87" s="2964" t="s">
        <v>3325</v>
      </c>
      <c r="D87" s="2964" t="s">
        <v>48</v>
      </c>
      <c r="E87" s="2964"/>
      <c r="F87" s="2964" t="s">
        <v>3386</v>
      </c>
      <c r="G87" s="2964" t="s">
        <v>3246</v>
      </c>
      <c r="H87" s="2964" t="s">
        <v>3231</v>
      </c>
      <c r="I87" s="2964"/>
      <c r="J87" s="2965"/>
      <c r="K87" s="2965"/>
      <c r="L87" s="2965"/>
      <c r="M87" s="2965"/>
      <c r="N87" s="2965"/>
      <c r="O87" s="2965"/>
      <c r="P87" s="2965"/>
      <c r="Q87" s="2965"/>
      <c r="R87" s="2965"/>
      <c r="S87" s="2965"/>
      <c r="T87" s="2965"/>
      <c r="U87" s="2965"/>
      <c r="V87" s="2965"/>
      <c r="W87" s="2965"/>
      <c r="X87" s="2965"/>
      <c r="Y87" s="2965"/>
      <c r="Z87" s="2964" t="s">
        <v>3237</v>
      </c>
      <c r="AA87" s="2964" t="s">
        <v>3237</v>
      </c>
      <c r="AB87" s="2964" t="s">
        <v>3237</v>
      </c>
      <c r="AC87" s="2965"/>
      <c r="AD87" s="2965"/>
      <c r="AE87" s="2965"/>
      <c r="AF87" s="2965"/>
    </row>
    <row r="88" spans="1:32" s="2991" customFormat="1" ht="14.1" customHeight="1">
      <c r="A88" s="2989" t="s">
        <v>3225</v>
      </c>
      <c r="B88" s="2989" t="s">
        <v>3226</v>
      </c>
      <c r="C88" s="2989" t="s">
        <v>3325</v>
      </c>
      <c r="D88" s="2989" t="s">
        <v>3387</v>
      </c>
      <c r="E88" s="2989" t="s">
        <v>3387</v>
      </c>
      <c r="F88" s="2989" t="s">
        <v>3388</v>
      </c>
      <c r="G88" s="2989" t="s">
        <v>3244</v>
      </c>
      <c r="H88" s="2989" t="s">
        <v>3231</v>
      </c>
      <c r="I88" s="2989">
        <v>26.68</v>
      </c>
      <c r="J88" s="2990">
        <v>303</v>
      </c>
      <c r="K88" s="2990">
        <v>8085.86</v>
      </c>
      <c r="L88" s="2990">
        <v>115115.51</v>
      </c>
      <c r="M88" s="2990">
        <v>3488</v>
      </c>
      <c r="N88" s="2990">
        <v>1</v>
      </c>
      <c r="O88" s="2990">
        <v>24.56</v>
      </c>
      <c r="P88" s="2990">
        <v>100000</v>
      </c>
      <c r="Q88" s="2990">
        <v>10</v>
      </c>
      <c r="R88" s="2990"/>
      <c r="S88" s="2990"/>
      <c r="T88" s="2990"/>
      <c r="U88" s="2990"/>
      <c r="V88" s="2990">
        <v>304</v>
      </c>
      <c r="W88" s="2990">
        <v>8110.42</v>
      </c>
      <c r="X88" s="2990">
        <v>115065.79</v>
      </c>
      <c r="Y88" s="2990">
        <v>3498</v>
      </c>
      <c r="Z88" s="2989" t="s">
        <v>3283</v>
      </c>
      <c r="AA88" s="2989" t="s">
        <v>3389</v>
      </c>
      <c r="AB88" s="2989" t="s">
        <v>3390</v>
      </c>
      <c r="AC88" s="2990">
        <v>303</v>
      </c>
      <c r="AD88" s="2990">
        <v>8085.86</v>
      </c>
      <c r="AE88" s="2990">
        <v>115115.51</v>
      </c>
      <c r="AF88" s="2990">
        <v>3488</v>
      </c>
    </row>
    <row r="89" spans="1:32" ht="14.1" customHeight="1">
      <c r="A89" s="2966" t="s">
        <v>3225</v>
      </c>
      <c r="B89" s="2966" t="s">
        <v>3226</v>
      </c>
      <c r="C89" s="2966" t="s">
        <v>3391</v>
      </c>
      <c r="D89" s="2966" t="s">
        <v>3282</v>
      </c>
      <c r="E89" s="2966" t="s">
        <v>3282</v>
      </c>
      <c r="F89" s="2966" t="s">
        <v>3282</v>
      </c>
      <c r="G89" s="2966" t="s">
        <v>3282</v>
      </c>
      <c r="H89" s="2966"/>
      <c r="I89" s="2966">
        <v>36.54</v>
      </c>
      <c r="J89" s="2967">
        <v>1515</v>
      </c>
      <c r="K89" s="2967">
        <v>55140.43</v>
      </c>
      <c r="L89" s="2967">
        <v>24811.59</v>
      </c>
      <c r="M89" s="2967">
        <v>136812.17000000001</v>
      </c>
      <c r="N89" s="2967">
        <v>23</v>
      </c>
      <c r="O89" s="2967">
        <v>1050.46</v>
      </c>
      <c r="P89" s="2967">
        <v>26646.92</v>
      </c>
      <c r="Q89" s="2967">
        <v>2799.15</v>
      </c>
      <c r="R89" s="2967"/>
      <c r="S89" s="2967"/>
      <c r="T89" s="2967"/>
      <c r="U89" s="2967"/>
      <c r="V89" s="2967">
        <v>1538</v>
      </c>
      <c r="W89" s="2967">
        <v>56190.89</v>
      </c>
      <c r="X89" s="2967">
        <v>24845.9</v>
      </c>
      <c r="Y89" s="2967">
        <v>139611.32</v>
      </c>
      <c r="Z89" s="2966" t="s">
        <v>3392</v>
      </c>
      <c r="AA89" s="2966" t="s">
        <v>3393</v>
      </c>
      <c r="AB89" s="2966" t="s">
        <v>3394</v>
      </c>
      <c r="AC89" s="2967">
        <v>1509</v>
      </c>
      <c r="AD89" s="2967">
        <v>54872.98</v>
      </c>
      <c r="AE89" s="2967">
        <v>24803.81</v>
      </c>
      <c r="AF89" s="2967">
        <v>136105.88</v>
      </c>
    </row>
    <row r="90" spans="1:32" ht="14.1" customHeight="1">
      <c r="A90" s="2964" t="s">
        <v>3225</v>
      </c>
      <c r="B90" s="2964" t="s">
        <v>3226</v>
      </c>
      <c r="C90" s="2964" t="s">
        <v>3395</v>
      </c>
      <c r="D90" s="2964" t="s">
        <v>3396</v>
      </c>
      <c r="E90" s="2964" t="s">
        <v>3396</v>
      </c>
      <c r="F90" s="2964" t="s">
        <v>3229</v>
      </c>
      <c r="G90" s="2964" t="s">
        <v>3230</v>
      </c>
      <c r="H90" s="2964" t="s">
        <v>3231</v>
      </c>
      <c r="I90" s="2964">
        <v>40.130000000000003</v>
      </c>
      <c r="J90" s="2965"/>
      <c r="K90" s="2965"/>
      <c r="L90" s="2965"/>
      <c r="M90" s="2965"/>
      <c r="N90" s="2965">
        <v>397</v>
      </c>
      <c r="O90" s="2965">
        <v>15930.72</v>
      </c>
      <c r="P90" s="2965">
        <v>33000</v>
      </c>
      <c r="Q90" s="2965">
        <v>52571.38</v>
      </c>
      <c r="R90" s="2965"/>
      <c r="S90" s="2965"/>
      <c r="T90" s="2965"/>
      <c r="U90" s="2965"/>
      <c r="V90" s="2965">
        <v>397</v>
      </c>
      <c r="W90" s="2965">
        <v>15930.72</v>
      </c>
      <c r="X90" s="2965">
        <v>33000</v>
      </c>
      <c r="Y90" s="2965">
        <v>52571.38</v>
      </c>
      <c r="Z90" s="2964" t="s">
        <v>3397</v>
      </c>
      <c r="AA90" s="2964" t="s">
        <v>3397</v>
      </c>
      <c r="AB90" s="2964" t="s">
        <v>3397</v>
      </c>
      <c r="AC90" s="2965"/>
      <c r="AD90" s="2965"/>
      <c r="AE90" s="2965"/>
      <c r="AF90" s="2965"/>
    </row>
    <row r="91" spans="1:32" ht="14.1" customHeight="1">
      <c r="A91" s="2964" t="s">
        <v>3225</v>
      </c>
      <c r="B91" s="2964" t="s">
        <v>3226</v>
      </c>
      <c r="C91" s="2964" t="s">
        <v>3395</v>
      </c>
      <c r="D91" s="2964" t="s">
        <v>3398</v>
      </c>
      <c r="E91" s="2964"/>
      <c r="F91" s="2964" t="s">
        <v>3236</v>
      </c>
      <c r="G91" s="2964" t="s">
        <v>3230</v>
      </c>
      <c r="H91" s="2964" t="s">
        <v>3231</v>
      </c>
      <c r="I91" s="2964"/>
      <c r="J91" s="2965"/>
      <c r="K91" s="2965"/>
      <c r="L91" s="2965"/>
      <c r="M91" s="2965"/>
      <c r="N91" s="2965"/>
      <c r="O91" s="2965"/>
      <c r="P91" s="2965"/>
      <c r="Q91" s="2965"/>
      <c r="R91" s="2965"/>
      <c r="S91" s="2965"/>
      <c r="T91" s="2965"/>
      <c r="U91" s="2965"/>
      <c r="V91" s="2965"/>
      <c r="W91" s="2965"/>
      <c r="X91" s="2965"/>
      <c r="Y91" s="2965"/>
      <c r="Z91" s="2964" t="s">
        <v>3237</v>
      </c>
      <c r="AA91" s="2964" t="s">
        <v>3237</v>
      </c>
      <c r="AB91" s="2964" t="s">
        <v>3237</v>
      </c>
      <c r="AC91" s="2965"/>
      <c r="AD91" s="2965"/>
      <c r="AE91" s="2965"/>
      <c r="AF91" s="2965"/>
    </row>
    <row r="92" spans="1:32" ht="14.1" customHeight="1">
      <c r="A92" s="2964" t="s">
        <v>3225</v>
      </c>
      <c r="B92" s="2964" t="s">
        <v>3226</v>
      </c>
      <c r="C92" s="2964" t="s">
        <v>3395</v>
      </c>
      <c r="D92" s="2964" t="s">
        <v>3399</v>
      </c>
      <c r="E92" s="2964" t="s">
        <v>3399</v>
      </c>
      <c r="F92" s="2964" t="s">
        <v>3239</v>
      </c>
      <c r="G92" s="2964" t="s">
        <v>3230</v>
      </c>
      <c r="H92" s="2964" t="s">
        <v>3231</v>
      </c>
      <c r="I92" s="2964">
        <v>33.53</v>
      </c>
      <c r="J92" s="2965"/>
      <c r="K92" s="2965"/>
      <c r="L92" s="2965"/>
      <c r="M92" s="2965"/>
      <c r="N92" s="2965">
        <v>42</v>
      </c>
      <c r="O92" s="2965">
        <v>1408.1</v>
      </c>
      <c r="P92" s="2965">
        <v>29000</v>
      </c>
      <c r="Q92" s="2965">
        <v>4083.49</v>
      </c>
      <c r="R92" s="2965"/>
      <c r="S92" s="2965"/>
      <c r="T92" s="2965"/>
      <c r="U92" s="2965"/>
      <c r="V92" s="2965">
        <v>42</v>
      </c>
      <c r="W92" s="2965">
        <v>1408.1</v>
      </c>
      <c r="X92" s="2965">
        <v>29000</v>
      </c>
      <c r="Y92" s="2965">
        <v>4083.49</v>
      </c>
      <c r="Z92" s="2964" t="s">
        <v>3397</v>
      </c>
      <c r="AA92" s="2964" t="s">
        <v>3397</v>
      </c>
      <c r="AB92" s="2964" t="s">
        <v>3397</v>
      </c>
      <c r="AC92" s="2965"/>
      <c r="AD92" s="2965"/>
      <c r="AE92" s="2965"/>
      <c r="AF92" s="2965"/>
    </row>
    <row r="93" spans="1:32" ht="14.1" customHeight="1">
      <c r="A93" s="2964" t="s">
        <v>3225</v>
      </c>
      <c r="B93" s="2964" t="s">
        <v>3226</v>
      </c>
      <c r="C93" s="2964" t="s">
        <v>3395</v>
      </c>
      <c r="D93" s="2964" t="s">
        <v>3400</v>
      </c>
      <c r="E93" s="2964" t="s">
        <v>3400</v>
      </c>
      <c r="F93" s="2964" t="s">
        <v>3241</v>
      </c>
      <c r="G93" s="2964" t="s">
        <v>3230</v>
      </c>
      <c r="H93" s="2964" t="s">
        <v>3231</v>
      </c>
      <c r="I93" s="2964">
        <v>66.86</v>
      </c>
      <c r="J93" s="2965"/>
      <c r="K93" s="2965"/>
      <c r="L93" s="2965"/>
      <c r="M93" s="2965"/>
      <c r="N93" s="2965">
        <v>16</v>
      </c>
      <c r="O93" s="2965">
        <v>1069.72</v>
      </c>
      <c r="P93" s="2965">
        <v>30000</v>
      </c>
      <c r="Q93" s="2965">
        <v>3209.16</v>
      </c>
      <c r="R93" s="2965"/>
      <c r="S93" s="2965"/>
      <c r="T93" s="2965"/>
      <c r="U93" s="2965"/>
      <c r="V93" s="2965">
        <v>16</v>
      </c>
      <c r="W93" s="2965">
        <v>1069.72</v>
      </c>
      <c r="X93" s="2965">
        <v>30000</v>
      </c>
      <c r="Y93" s="2965">
        <v>3209.16</v>
      </c>
      <c r="Z93" s="2964" t="s">
        <v>3397</v>
      </c>
      <c r="AA93" s="2964" t="s">
        <v>3397</v>
      </c>
      <c r="AB93" s="2964" t="s">
        <v>3397</v>
      </c>
      <c r="AC93" s="2965"/>
      <c r="AD93" s="2965"/>
      <c r="AE93" s="2965"/>
      <c r="AF93" s="2965"/>
    </row>
    <row r="94" spans="1:32" ht="14.1" customHeight="1">
      <c r="A94" s="2964" t="s">
        <v>3225</v>
      </c>
      <c r="B94" s="2964" t="s">
        <v>3226</v>
      </c>
      <c r="C94" s="2964" t="s">
        <v>3395</v>
      </c>
      <c r="D94" s="2964" t="s">
        <v>3401</v>
      </c>
      <c r="E94" s="2964" t="s">
        <v>3401</v>
      </c>
      <c r="F94" s="2964" t="s">
        <v>3243</v>
      </c>
      <c r="G94" s="2964" t="s">
        <v>3244</v>
      </c>
      <c r="H94" s="2964" t="s">
        <v>3231</v>
      </c>
      <c r="I94" s="2964">
        <v>66.83</v>
      </c>
      <c r="J94" s="2965"/>
      <c r="K94" s="2965"/>
      <c r="L94" s="2965"/>
      <c r="M94" s="2965"/>
      <c r="N94" s="2965">
        <v>15</v>
      </c>
      <c r="O94" s="2965">
        <v>1002.4</v>
      </c>
      <c r="P94" s="2965">
        <v>15000</v>
      </c>
      <c r="Q94" s="2965">
        <v>1503.6</v>
      </c>
      <c r="R94" s="2965"/>
      <c r="S94" s="2965"/>
      <c r="T94" s="2965"/>
      <c r="U94" s="2965"/>
      <c r="V94" s="2965">
        <v>15</v>
      </c>
      <c r="W94" s="2965">
        <v>1002.4</v>
      </c>
      <c r="X94" s="2965">
        <v>15000</v>
      </c>
      <c r="Y94" s="2965">
        <v>1503.6</v>
      </c>
      <c r="Z94" s="2964" t="s">
        <v>3397</v>
      </c>
      <c r="AA94" s="2964" t="s">
        <v>3397</v>
      </c>
      <c r="AB94" s="2964" t="s">
        <v>3397</v>
      </c>
      <c r="AC94" s="2965"/>
      <c r="AD94" s="2965"/>
      <c r="AE94" s="2965"/>
      <c r="AF94" s="2965"/>
    </row>
    <row r="95" spans="1:32" ht="14.1" customHeight="1">
      <c r="A95" s="2964" t="s">
        <v>3225</v>
      </c>
      <c r="B95" s="2964" t="s">
        <v>3226</v>
      </c>
      <c r="C95" s="2964" t="s">
        <v>3395</v>
      </c>
      <c r="D95" s="2964" t="s">
        <v>3402</v>
      </c>
      <c r="E95" s="2964"/>
      <c r="F95" s="2964" t="s">
        <v>3246</v>
      </c>
      <c r="G95" s="2964" t="s">
        <v>3246</v>
      </c>
      <c r="H95" s="2964" t="s">
        <v>3231</v>
      </c>
      <c r="I95" s="2964"/>
      <c r="J95" s="2965"/>
      <c r="K95" s="2965"/>
      <c r="L95" s="2965"/>
      <c r="M95" s="2965"/>
      <c r="N95" s="2965"/>
      <c r="O95" s="2965"/>
      <c r="P95" s="2965"/>
      <c r="Q95" s="2965"/>
      <c r="R95" s="2965"/>
      <c r="S95" s="2965"/>
      <c r="T95" s="2965"/>
      <c r="U95" s="2965"/>
      <c r="V95" s="2965"/>
      <c r="W95" s="2965"/>
      <c r="X95" s="2965"/>
      <c r="Y95" s="2965"/>
      <c r="Z95" s="2964" t="s">
        <v>3237</v>
      </c>
      <c r="AA95" s="2964" t="s">
        <v>3237</v>
      </c>
      <c r="AB95" s="2964" t="s">
        <v>3237</v>
      </c>
      <c r="AC95" s="2965"/>
      <c r="AD95" s="2965"/>
      <c r="AE95" s="2965"/>
      <c r="AF95" s="2965"/>
    </row>
    <row r="96" spans="1:32" ht="14.1" customHeight="1">
      <c r="A96" s="2964" t="s">
        <v>3225</v>
      </c>
      <c r="B96" s="2964" t="s">
        <v>3226</v>
      </c>
      <c r="C96" s="2964" t="s">
        <v>3395</v>
      </c>
      <c r="D96" s="2964" t="s">
        <v>3403</v>
      </c>
      <c r="E96" s="2964" t="s">
        <v>3403</v>
      </c>
      <c r="F96" s="2964" t="s">
        <v>3248</v>
      </c>
      <c r="G96" s="2964" t="s">
        <v>1377</v>
      </c>
      <c r="H96" s="2964" t="s">
        <v>3231</v>
      </c>
      <c r="I96" s="2964">
        <v>71.319999999999993</v>
      </c>
      <c r="J96" s="2965"/>
      <c r="K96" s="2965"/>
      <c r="L96" s="2965"/>
      <c r="M96" s="2965"/>
      <c r="N96" s="2965">
        <v>36</v>
      </c>
      <c r="O96" s="2965">
        <v>2567.64</v>
      </c>
      <c r="P96" s="2965">
        <v>40000</v>
      </c>
      <c r="Q96" s="2965">
        <v>10270.56</v>
      </c>
      <c r="R96" s="2965"/>
      <c r="S96" s="2965"/>
      <c r="T96" s="2965"/>
      <c r="U96" s="2965"/>
      <c r="V96" s="2965">
        <v>36</v>
      </c>
      <c r="W96" s="2965">
        <v>2567.64</v>
      </c>
      <c r="X96" s="2965">
        <v>40000</v>
      </c>
      <c r="Y96" s="2965">
        <v>10270.56</v>
      </c>
      <c r="Z96" s="2964" t="s">
        <v>3397</v>
      </c>
      <c r="AA96" s="2964" t="s">
        <v>3397</v>
      </c>
      <c r="AB96" s="2964" t="s">
        <v>3397</v>
      </c>
      <c r="AC96" s="2965"/>
      <c r="AD96" s="2965"/>
      <c r="AE96" s="2965"/>
      <c r="AF96" s="2965"/>
    </row>
    <row r="97" spans="1:32" ht="14.1" customHeight="1">
      <c r="A97" s="2964" t="s">
        <v>3225</v>
      </c>
      <c r="B97" s="2964" t="s">
        <v>3226</v>
      </c>
      <c r="C97" s="2964" t="s">
        <v>3395</v>
      </c>
      <c r="D97" s="2964" t="s">
        <v>3404</v>
      </c>
      <c r="E97" s="2964" t="s">
        <v>3404</v>
      </c>
      <c r="F97" s="2964" t="s">
        <v>3229</v>
      </c>
      <c r="G97" s="2964" t="s">
        <v>3230</v>
      </c>
      <c r="H97" s="2964" t="s">
        <v>3231</v>
      </c>
      <c r="I97" s="2964">
        <v>40.96</v>
      </c>
      <c r="J97" s="2965"/>
      <c r="K97" s="2965"/>
      <c r="L97" s="2965"/>
      <c r="M97" s="2965"/>
      <c r="N97" s="2965">
        <v>240</v>
      </c>
      <c r="O97" s="2965">
        <v>9831</v>
      </c>
      <c r="P97" s="2965">
        <v>33000</v>
      </c>
      <c r="Q97" s="2965">
        <v>32442.3</v>
      </c>
      <c r="R97" s="2965"/>
      <c r="S97" s="2965"/>
      <c r="T97" s="2965"/>
      <c r="U97" s="2965"/>
      <c r="V97" s="2965">
        <v>240</v>
      </c>
      <c r="W97" s="2965">
        <v>9831</v>
      </c>
      <c r="X97" s="2965">
        <v>33000</v>
      </c>
      <c r="Y97" s="2965">
        <v>32442.3</v>
      </c>
      <c r="Z97" s="2964" t="s">
        <v>3397</v>
      </c>
      <c r="AA97" s="2964" t="s">
        <v>3397</v>
      </c>
      <c r="AB97" s="2964" t="s">
        <v>3397</v>
      </c>
      <c r="AC97" s="2965"/>
      <c r="AD97" s="2965"/>
      <c r="AE97" s="2965"/>
      <c r="AF97" s="2965"/>
    </row>
    <row r="98" spans="1:32" ht="14.1" customHeight="1">
      <c r="A98" s="2964" t="s">
        <v>3225</v>
      </c>
      <c r="B98" s="2964" t="s">
        <v>3226</v>
      </c>
      <c r="C98" s="2964" t="s">
        <v>3395</v>
      </c>
      <c r="D98" s="2964" t="s">
        <v>3405</v>
      </c>
      <c r="E98" s="2964"/>
      <c r="F98" s="2964" t="s">
        <v>3236</v>
      </c>
      <c r="G98" s="2964" t="s">
        <v>3230</v>
      </c>
      <c r="H98" s="2964" t="s">
        <v>3231</v>
      </c>
      <c r="I98" s="2964"/>
      <c r="J98" s="2965"/>
      <c r="K98" s="2965"/>
      <c r="L98" s="2965"/>
      <c r="M98" s="2965"/>
      <c r="N98" s="2965"/>
      <c r="O98" s="2965"/>
      <c r="P98" s="2965"/>
      <c r="Q98" s="2965"/>
      <c r="R98" s="2965"/>
      <c r="S98" s="2965"/>
      <c r="T98" s="2965"/>
      <c r="U98" s="2965"/>
      <c r="V98" s="2965"/>
      <c r="W98" s="2965"/>
      <c r="X98" s="2965"/>
      <c r="Y98" s="2965"/>
      <c r="Z98" s="2964" t="s">
        <v>3237</v>
      </c>
      <c r="AA98" s="2964" t="s">
        <v>3237</v>
      </c>
      <c r="AB98" s="2964" t="s">
        <v>3237</v>
      </c>
      <c r="AC98" s="2965"/>
      <c r="AD98" s="2965"/>
      <c r="AE98" s="2965"/>
      <c r="AF98" s="2965"/>
    </row>
    <row r="99" spans="1:32" ht="14.1" customHeight="1">
      <c r="A99" s="2964" t="s">
        <v>3225</v>
      </c>
      <c r="B99" s="2964" t="s">
        <v>3226</v>
      </c>
      <c r="C99" s="2964" t="s">
        <v>3395</v>
      </c>
      <c r="D99" s="2964" t="s">
        <v>3406</v>
      </c>
      <c r="E99" s="2964"/>
      <c r="F99" s="2964" t="s">
        <v>3239</v>
      </c>
      <c r="G99" s="2964" t="s">
        <v>3230</v>
      </c>
      <c r="H99" s="2964" t="s">
        <v>3231</v>
      </c>
      <c r="I99" s="2964"/>
      <c r="J99" s="2965"/>
      <c r="K99" s="2965"/>
      <c r="L99" s="2965"/>
      <c r="M99" s="2965"/>
      <c r="N99" s="2965"/>
      <c r="O99" s="2965"/>
      <c r="P99" s="2965"/>
      <c r="Q99" s="2965"/>
      <c r="R99" s="2965"/>
      <c r="S99" s="2965"/>
      <c r="T99" s="2965"/>
      <c r="U99" s="2965"/>
      <c r="V99" s="2965"/>
      <c r="W99" s="2965"/>
      <c r="X99" s="2965"/>
      <c r="Y99" s="2965"/>
      <c r="Z99" s="2964" t="s">
        <v>3237</v>
      </c>
      <c r="AA99" s="2964" t="s">
        <v>3237</v>
      </c>
      <c r="AB99" s="2964" t="s">
        <v>3237</v>
      </c>
      <c r="AC99" s="2965"/>
      <c r="AD99" s="2965"/>
      <c r="AE99" s="2965"/>
      <c r="AF99" s="2965"/>
    </row>
    <row r="100" spans="1:32" ht="14.1" customHeight="1">
      <c r="A100" s="2964" t="s">
        <v>3225</v>
      </c>
      <c r="B100" s="2964" t="s">
        <v>3226</v>
      </c>
      <c r="C100" s="2964" t="s">
        <v>3395</v>
      </c>
      <c r="D100" s="2964" t="s">
        <v>3407</v>
      </c>
      <c r="E100" s="2964" t="s">
        <v>3407</v>
      </c>
      <c r="F100" s="2964" t="s">
        <v>3241</v>
      </c>
      <c r="G100" s="2964" t="s">
        <v>3230</v>
      </c>
      <c r="H100" s="2964" t="s">
        <v>3231</v>
      </c>
      <c r="I100" s="2964">
        <v>47.23</v>
      </c>
      <c r="J100" s="2965"/>
      <c r="K100" s="2965"/>
      <c r="L100" s="2965"/>
      <c r="M100" s="2965"/>
      <c r="N100" s="2965">
        <v>19</v>
      </c>
      <c r="O100" s="2965">
        <v>897.4</v>
      </c>
      <c r="P100" s="2965">
        <v>30000</v>
      </c>
      <c r="Q100" s="2965">
        <v>2692.2</v>
      </c>
      <c r="R100" s="2965"/>
      <c r="S100" s="2965"/>
      <c r="T100" s="2965"/>
      <c r="U100" s="2965"/>
      <c r="V100" s="2965">
        <v>19</v>
      </c>
      <c r="W100" s="2965">
        <v>897.4</v>
      </c>
      <c r="X100" s="2965">
        <v>30000</v>
      </c>
      <c r="Y100" s="2965">
        <v>2692.2</v>
      </c>
      <c r="Z100" s="2964" t="s">
        <v>3397</v>
      </c>
      <c r="AA100" s="2964" t="s">
        <v>3397</v>
      </c>
      <c r="AB100" s="2964" t="s">
        <v>3397</v>
      </c>
      <c r="AC100" s="2965"/>
      <c r="AD100" s="2965"/>
      <c r="AE100" s="2965"/>
      <c r="AF100" s="2965"/>
    </row>
    <row r="101" spans="1:32" ht="14.1" customHeight="1">
      <c r="A101" s="2964" t="s">
        <v>3225</v>
      </c>
      <c r="B101" s="2964" t="s">
        <v>3226</v>
      </c>
      <c r="C101" s="2964" t="s">
        <v>3395</v>
      </c>
      <c r="D101" s="2964" t="s">
        <v>3408</v>
      </c>
      <c r="E101" s="2964" t="s">
        <v>3408</v>
      </c>
      <c r="F101" s="2964" t="s">
        <v>3243</v>
      </c>
      <c r="G101" s="2964" t="s">
        <v>3244</v>
      </c>
      <c r="H101" s="2964" t="s">
        <v>3231</v>
      </c>
      <c r="I101" s="2964">
        <v>47.86</v>
      </c>
      <c r="J101" s="2965"/>
      <c r="K101" s="2965"/>
      <c r="L101" s="2965"/>
      <c r="M101" s="2965"/>
      <c r="N101" s="2965">
        <v>33</v>
      </c>
      <c r="O101" s="2965">
        <v>1579.3</v>
      </c>
      <c r="P101" s="2965">
        <v>15000</v>
      </c>
      <c r="Q101" s="2965">
        <v>2368.9499999999998</v>
      </c>
      <c r="R101" s="2965"/>
      <c r="S101" s="2965"/>
      <c r="T101" s="2965"/>
      <c r="U101" s="2965"/>
      <c r="V101" s="2965">
        <v>33</v>
      </c>
      <c r="W101" s="2965">
        <v>1579.3</v>
      </c>
      <c r="X101" s="2965">
        <v>15000</v>
      </c>
      <c r="Y101" s="2965">
        <v>2368.9499999999998</v>
      </c>
      <c r="Z101" s="2964" t="s">
        <v>3397</v>
      </c>
      <c r="AA101" s="2964" t="s">
        <v>3397</v>
      </c>
      <c r="AB101" s="2964" t="s">
        <v>3397</v>
      </c>
      <c r="AC101" s="2965"/>
      <c r="AD101" s="2965"/>
      <c r="AE101" s="2965"/>
      <c r="AF101" s="2965"/>
    </row>
    <row r="102" spans="1:32" ht="14.1" customHeight="1">
      <c r="A102" s="2964" t="s">
        <v>3225</v>
      </c>
      <c r="B102" s="2964" t="s">
        <v>3226</v>
      </c>
      <c r="C102" s="2964" t="s">
        <v>3395</v>
      </c>
      <c r="D102" s="2964" t="s">
        <v>3409</v>
      </c>
      <c r="E102" s="2964"/>
      <c r="F102" s="2964" t="s">
        <v>3246</v>
      </c>
      <c r="G102" s="2964" t="s">
        <v>3246</v>
      </c>
      <c r="H102" s="2964" t="s">
        <v>3231</v>
      </c>
      <c r="I102" s="2964"/>
      <c r="J102" s="2965"/>
      <c r="K102" s="2965"/>
      <c r="L102" s="2965"/>
      <c r="M102" s="2965"/>
      <c r="N102" s="2965"/>
      <c r="O102" s="2965"/>
      <c r="P102" s="2965"/>
      <c r="Q102" s="2965"/>
      <c r="R102" s="2965"/>
      <c r="S102" s="2965"/>
      <c r="T102" s="2965"/>
      <c r="U102" s="2965"/>
      <c r="V102" s="2965"/>
      <c r="W102" s="2965"/>
      <c r="X102" s="2965"/>
      <c r="Y102" s="2965"/>
      <c r="Z102" s="2964" t="s">
        <v>3237</v>
      </c>
      <c r="AA102" s="2964" t="s">
        <v>3237</v>
      </c>
      <c r="AB102" s="2964" t="s">
        <v>3237</v>
      </c>
      <c r="AC102" s="2965"/>
      <c r="AD102" s="2965"/>
      <c r="AE102" s="2965"/>
      <c r="AF102" s="2965"/>
    </row>
    <row r="103" spans="1:32" ht="14.1" customHeight="1">
      <c r="A103" s="2964" t="s">
        <v>3225</v>
      </c>
      <c r="B103" s="2964" t="s">
        <v>3226</v>
      </c>
      <c r="C103" s="2964" t="s">
        <v>3395</v>
      </c>
      <c r="D103" s="2964" t="s">
        <v>3410</v>
      </c>
      <c r="E103" s="2964" t="s">
        <v>3410</v>
      </c>
      <c r="F103" s="2964" t="s">
        <v>3248</v>
      </c>
      <c r="G103" s="2964" t="s">
        <v>1377</v>
      </c>
      <c r="H103" s="2964" t="s">
        <v>3231</v>
      </c>
      <c r="I103" s="2964">
        <v>44.59</v>
      </c>
      <c r="J103" s="2965"/>
      <c r="K103" s="2965"/>
      <c r="L103" s="2965"/>
      <c r="M103" s="2965"/>
      <c r="N103" s="2965">
        <v>14</v>
      </c>
      <c r="O103" s="2965">
        <v>624.24</v>
      </c>
      <c r="P103" s="2965">
        <v>40000</v>
      </c>
      <c r="Q103" s="2965">
        <v>2496.96</v>
      </c>
      <c r="R103" s="2965"/>
      <c r="S103" s="2965"/>
      <c r="T103" s="2965"/>
      <c r="U103" s="2965"/>
      <c r="V103" s="2965">
        <v>14</v>
      </c>
      <c r="W103" s="2965">
        <v>624.24</v>
      </c>
      <c r="X103" s="2965">
        <v>40000</v>
      </c>
      <c r="Y103" s="2965">
        <v>2496.96</v>
      </c>
      <c r="Z103" s="2964" t="s">
        <v>3397</v>
      </c>
      <c r="AA103" s="2964" t="s">
        <v>3397</v>
      </c>
      <c r="AB103" s="2964" t="s">
        <v>3397</v>
      </c>
      <c r="AC103" s="2965"/>
      <c r="AD103" s="2965"/>
      <c r="AE103" s="2965"/>
      <c r="AF103" s="2965"/>
    </row>
    <row r="104" spans="1:32" ht="14.1" customHeight="1">
      <c r="A104" s="2964" t="s">
        <v>3225</v>
      </c>
      <c r="B104" s="2964" t="s">
        <v>3226</v>
      </c>
      <c r="C104" s="2964" t="s">
        <v>3395</v>
      </c>
      <c r="D104" s="2964" t="s">
        <v>3411</v>
      </c>
      <c r="E104" s="2964" t="s">
        <v>3411</v>
      </c>
      <c r="F104" s="2964" t="s">
        <v>3229</v>
      </c>
      <c r="G104" s="2964" t="s">
        <v>3230</v>
      </c>
      <c r="H104" s="2964" t="s">
        <v>3231</v>
      </c>
      <c r="I104" s="2964">
        <v>41.95</v>
      </c>
      <c r="J104" s="2965"/>
      <c r="K104" s="2965"/>
      <c r="L104" s="2965"/>
      <c r="M104" s="2965"/>
      <c r="N104" s="2965">
        <v>264</v>
      </c>
      <c r="O104" s="2965">
        <v>11073.89</v>
      </c>
      <c r="P104" s="2965">
        <v>33000</v>
      </c>
      <c r="Q104" s="2965">
        <v>36543.839999999997</v>
      </c>
      <c r="R104" s="2965"/>
      <c r="S104" s="2965"/>
      <c r="T104" s="2965"/>
      <c r="U104" s="2965"/>
      <c r="V104" s="2965">
        <v>264</v>
      </c>
      <c r="W104" s="2965">
        <v>11073.89</v>
      </c>
      <c r="X104" s="2965">
        <v>33000</v>
      </c>
      <c r="Y104" s="2965">
        <v>36543.839999999997</v>
      </c>
      <c r="Z104" s="2964" t="s">
        <v>3397</v>
      </c>
      <c r="AA104" s="2964" t="s">
        <v>3397</v>
      </c>
      <c r="AB104" s="2964" t="s">
        <v>3397</v>
      </c>
      <c r="AC104" s="2965"/>
      <c r="AD104" s="2965"/>
      <c r="AE104" s="2965"/>
      <c r="AF104" s="2965"/>
    </row>
    <row r="105" spans="1:32" ht="14.1" customHeight="1">
      <c r="A105" s="2964" t="s">
        <v>3225</v>
      </c>
      <c r="B105" s="2964" t="s">
        <v>3226</v>
      </c>
      <c r="C105" s="2964" t="s">
        <v>3395</v>
      </c>
      <c r="D105" s="2964" t="s">
        <v>3412</v>
      </c>
      <c r="E105" s="2964"/>
      <c r="F105" s="2964" t="s">
        <v>3236</v>
      </c>
      <c r="G105" s="2964" t="s">
        <v>3230</v>
      </c>
      <c r="H105" s="2964" t="s">
        <v>3231</v>
      </c>
      <c r="I105" s="2964"/>
      <c r="J105" s="2965"/>
      <c r="K105" s="2965"/>
      <c r="L105" s="2965"/>
      <c r="M105" s="2965"/>
      <c r="N105" s="2965"/>
      <c r="O105" s="2965"/>
      <c r="P105" s="2965"/>
      <c r="Q105" s="2965"/>
      <c r="R105" s="2965"/>
      <c r="S105" s="2965"/>
      <c r="T105" s="2965"/>
      <c r="U105" s="2965"/>
      <c r="V105" s="2965"/>
      <c r="W105" s="2965"/>
      <c r="X105" s="2965"/>
      <c r="Y105" s="2965"/>
      <c r="Z105" s="2964" t="s">
        <v>3237</v>
      </c>
      <c r="AA105" s="2964" t="s">
        <v>3237</v>
      </c>
      <c r="AB105" s="2964" t="s">
        <v>3237</v>
      </c>
      <c r="AC105" s="2965"/>
      <c r="AD105" s="2965"/>
      <c r="AE105" s="2965"/>
      <c r="AF105" s="2965"/>
    </row>
    <row r="106" spans="1:32" ht="14.1" customHeight="1">
      <c r="A106" s="2964" t="s">
        <v>3225</v>
      </c>
      <c r="B106" s="2964" t="s">
        <v>3226</v>
      </c>
      <c r="C106" s="2964" t="s">
        <v>3395</v>
      </c>
      <c r="D106" s="2964" t="s">
        <v>3413</v>
      </c>
      <c r="E106" s="2964" t="s">
        <v>3413</v>
      </c>
      <c r="F106" s="2964" t="s">
        <v>3239</v>
      </c>
      <c r="G106" s="2964" t="s">
        <v>3230</v>
      </c>
      <c r="H106" s="2964" t="s">
        <v>3231</v>
      </c>
      <c r="I106" s="2964">
        <v>29.39</v>
      </c>
      <c r="J106" s="2965"/>
      <c r="K106" s="2965"/>
      <c r="L106" s="2965"/>
      <c r="M106" s="2965"/>
      <c r="N106" s="2965">
        <v>10</v>
      </c>
      <c r="O106" s="2965">
        <v>293.89999999999998</v>
      </c>
      <c r="P106" s="2965">
        <v>29000</v>
      </c>
      <c r="Q106" s="2965">
        <v>852.31</v>
      </c>
      <c r="R106" s="2965"/>
      <c r="S106" s="2965"/>
      <c r="T106" s="2965"/>
      <c r="U106" s="2965"/>
      <c r="V106" s="2965">
        <v>10</v>
      </c>
      <c r="W106" s="2965">
        <v>293.89999999999998</v>
      </c>
      <c r="X106" s="2965">
        <v>29000</v>
      </c>
      <c r="Y106" s="2965">
        <v>852.31</v>
      </c>
      <c r="Z106" s="2964" t="s">
        <v>3397</v>
      </c>
      <c r="AA106" s="2964" t="s">
        <v>3397</v>
      </c>
      <c r="AB106" s="2964" t="s">
        <v>3397</v>
      </c>
      <c r="AC106" s="2965"/>
      <c r="AD106" s="2965"/>
      <c r="AE106" s="2965"/>
      <c r="AF106" s="2965"/>
    </row>
    <row r="107" spans="1:32" ht="14.1" customHeight="1">
      <c r="A107" s="2964" t="s">
        <v>3225</v>
      </c>
      <c r="B107" s="2964" t="s">
        <v>3226</v>
      </c>
      <c r="C107" s="2964" t="s">
        <v>3395</v>
      </c>
      <c r="D107" s="2964" t="s">
        <v>3414</v>
      </c>
      <c r="E107" s="2964" t="s">
        <v>3414</v>
      </c>
      <c r="F107" s="2964" t="s">
        <v>3241</v>
      </c>
      <c r="G107" s="2964" t="s">
        <v>3230</v>
      </c>
      <c r="H107" s="2964" t="s">
        <v>3231</v>
      </c>
      <c r="I107" s="2964">
        <v>46.91</v>
      </c>
      <c r="J107" s="2965"/>
      <c r="K107" s="2965"/>
      <c r="L107" s="2965"/>
      <c r="M107" s="2965"/>
      <c r="N107" s="2965">
        <v>19</v>
      </c>
      <c r="O107" s="2965">
        <v>891.29</v>
      </c>
      <c r="P107" s="2965">
        <v>30000</v>
      </c>
      <c r="Q107" s="2965">
        <v>2673.87</v>
      </c>
      <c r="R107" s="2965"/>
      <c r="S107" s="2965"/>
      <c r="T107" s="2965"/>
      <c r="U107" s="2965"/>
      <c r="V107" s="2965">
        <v>19</v>
      </c>
      <c r="W107" s="2965">
        <v>891.29</v>
      </c>
      <c r="X107" s="2965">
        <v>30000</v>
      </c>
      <c r="Y107" s="2965">
        <v>2673.87</v>
      </c>
      <c r="Z107" s="2964" t="s">
        <v>3397</v>
      </c>
      <c r="AA107" s="2964" t="s">
        <v>3397</v>
      </c>
      <c r="AB107" s="2964" t="s">
        <v>3397</v>
      </c>
      <c r="AC107" s="2965"/>
      <c r="AD107" s="2965"/>
      <c r="AE107" s="2965"/>
      <c r="AF107" s="2965"/>
    </row>
    <row r="108" spans="1:32" ht="14.1" customHeight="1">
      <c r="A108" s="2964" t="s">
        <v>3225</v>
      </c>
      <c r="B108" s="2964" t="s">
        <v>3226</v>
      </c>
      <c r="C108" s="2964" t="s">
        <v>3395</v>
      </c>
      <c r="D108" s="2964" t="s">
        <v>3415</v>
      </c>
      <c r="E108" s="2964"/>
      <c r="F108" s="2964" t="s">
        <v>3243</v>
      </c>
      <c r="G108" s="2964" t="s">
        <v>3244</v>
      </c>
      <c r="H108" s="2964" t="s">
        <v>3231</v>
      </c>
      <c r="I108" s="2964"/>
      <c r="J108" s="2965"/>
      <c r="K108" s="2965"/>
      <c r="L108" s="2965"/>
      <c r="M108" s="2965"/>
      <c r="N108" s="2965"/>
      <c r="O108" s="2965"/>
      <c r="P108" s="2965"/>
      <c r="Q108" s="2965"/>
      <c r="R108" s="2965"/>
      <c r="S108" s="2965"/>
      <c r="T108" s="2965"/>
      <c r="U108" s="2965"/>
      <c r="V108" s="2965"/>
      <c r="W108" s="2965"/>
      <c r="X108" s="2965"/>
      <c r="Y108" s="2965"/>
      <c r="Z108" s="2964" t="s">
        <v>3237</v>
      </c>
      <c r="AA108" s="2964" t="s">
        <v>3237</v>
      </c>
      <c r="AB108" s="2964" t="s">
        <v>3237</v>
      </c>
      <c r="AC108" s="2965"/>
      <c r="AD108" s="2965"/>
      <c r="AE108" s="2965"/>
      <c r="AF108" s="2965"/>
    </row>
    <row r="109" spans="1:32" ht="14.1" customHeight="1">
      <c r="A109" s="2964" t="s">
        <v>3225</v>
      </c>
      <c r="B109" s="2964" t="s">
        <v>3226</v>
      </c>
      <c r="C109" s="2964" t="s">
        <v>3395</v>
      </c>
      <c r="D109" s="2964" t="s">
        <v>3416</v>
      </c>
      <c r="E109" s="2964"/>
      <c r="F109" s="2964" t="s">
        <v>3246</v>
      </c>
      <c r="G109" s="2964" t="s">
        <v>3246</v>
      </c>
      <c r="H109" s="2964" t="s">
        <v>3231</v>
      </c>
      <c r="I109" s="2964"/>
      <c r="J109" s="2965"/>
      <c r="K109" s="2965"/>
      <c r="L109" s="2965"/>
      <c r="M109" s="2965"/>
      <c r="N109" s="2965"/>
      <c r="O109" s="2965"/>
      <c r="P109" s="2965"/>
      <c r="Q109" s="2965"/>
      <c r="R109" s="2965"/>
      <c r="S109" s="2965"/>
      <c r="T109" s="2965"/>
      <c r="U109" s="2965"/>
      <c r="V109" s="2965"/>
      <c r="W109" s="2965"/>
      <c r="X109" s="2965"/>
      <c r="Y109" s="2965"/>
      <c r="Z109" s="2964" t="s">
        <v>3237</v>
      </c>
      <c r="AA109" s="2964" t="s">
        <v>3237</v>
      </c>
      <c r="AB109" s="2964" t="s">
        <v>3237</v>
      </c>
      <c r="AC109" s="2965"/>
      <c r="AD109" s="2965"/>
      <c r="AE109" s="2965"/>
      <c r="AF109" s="2965"/>
    </row>
    <row r="110" spans="1:32" ht="14.1" customHeight="1">
      <c r="A110" s="2964" t="s">
        <v>3225</v>
      </c>
      <c r="B110" s="2964" t="s">
        <v>3226</v>
      </c>
      <c r="C110" s="2964" t="s">
        <v>3395</v>
      </c>
      <c r="D110" s="2964" t="s">
        <v>3417</v>
      </c>
      <c r="E110" s="2964" t="s">
        <v>3417</v>
      </c>
      <c r="F110" s="2964" t="s">
        <v>3248</v>
      </c>
      <c r="G110" s="2964" t="s">
        <v>1377</v>
      </c>
      <c r="H110" s="2964" t="s">
        <v>3231</v>
      </c>
      <c r="I110" s="2964">
        <v>55.24</v>
      </c>
      <c r="J110" s="2965"/>
      <c r="K110" s="2965"/>
      <c r="L110" s="2965"/>
      <c r="M110" s="2965"/>
      <c r="N110" s="2965">
        <v>11</v>
      </c>
      <c r="O110" s="2965">
        <v>607.66999999999996</v>
      </c>
      <c r="P110" s="2965">
        <v>40000</v>
      </c>
      <c r="Q110" s="2965">
        <v>2430.6799999999998</v>
      </c>
      <c r="R110" s="2965"/>
      <c r="S110" s="2965"/>
      <c r="T110" s="2965"/>
      <c r="U110" s="2965"/>
      <c r="V110" s="2965">
        <v>11</v>
      </c>
      <c r="W110" s="2965">
        <v>607.66999999999996</v>
      </c>
      <c r="X110" s="2965">
        <v>40000</v>
      </c>
      <c r="Y110" s="2965">
        <v>2430.6799999999998</v>
      </c>
      <c r="Z110" s="2964" t="s">
        <v>3397</v>
      </c>
      <c r="AA110" s="2964" t="s">
        <v>3397</v>
      </c>
      <c r="AB110" s="2964" t="s">
        <v>3397</v>
      </c>
      <c r="AC110" s="2965"/>
      <c r="AD110" s="2965"/>
      <c r="AE110" s="2965"/>
      <c r="AF110" s="2965"/>
    </row>
    <row r="111" spans="1:32" ht="14.1" customHeight="1">
      <c r="A111" s="2964" t="s">
        <v>3225</v>
      </c>
      <c r="B111" s="2964" t="s">
        <v>3226</v>
      </c>
      <c r="C111" s="2964" t="s">
        <v>3395</v>
      </c>
      <c r="D111" s="2964" t="s">
        <v>3418</v>
      </c>
      <c r="E111" s="2964" t="s">
        <v>3418</v>
      </c>
      <c r="F111" s="2964" t="s">
        <v>3229</v>
      </c>
      <c r="G111" s="2964" t="s">
        <v>3230</v>
      </c>
      <c r="H111" s="2964" t="s">
        <v>3231</v>
      </c>
      <c r="I111" s="2964">
        <v>37.659999999999997</v>
      </c>
      <c r="J111" s="2965"/>
      <c r="K111" s="2965"/>
      <c r="L111" s="2965"/>
      <c r="M111" s="2965"/>
      <c r="N111" s="2965">
        <v>490</v>
      </c>
      <c r="O111" s="2965">
        <v>18451.78</v>
      </c>
      <c r="P111" s="2965">
        <v>33000</v>
      </c>
      <c r="Q111" s="2965">
        <v>60890.87</v>
      </c>
      <c r="R111" s="2965"/>
      <c r="S111" s="2965"/>
      <c r="T111" s="2965"/>
      <c r="U111" s="2965"/>
      <c r="V111" s="2965">
        <v>490</v>
      </c>
      <c r="W111" s="2965">
        <v>18451.78</v>
      </c>
      <c r="X111" s="2965">
        <v>33000</v>
      </c>
      <c r="Y111" s="2965">
        <v>60890.87</v>
      </c>
      <c r="Z111" s="2964" t="s">
        <v>3397</v>
      </c>
      <c r="AA111" s="2964" t="s">
        <v>3397</v>
      </c>
      <c r="AB111" s="2964" t="s">
        <v>3397</v>
      </c>
      <c r="AC111" s="2965"/>
      <c r="AD111" s="2965"/>
      <c r="AE111" s="2965"/>
      <c r="AF111" s="2965"/>
    </row>
    <row r="112" spans="1:32" ht="14.1" customHeight="1">
      <c r="A112" s="2964" t="s">
        <v>3225</v>
      </c>
      <c r="B112" s="2964" t="s">
        <v>3226</v>
      </c>
      <c r="C112" s="2964" t="s">
        <v>3395</v>
      </c>
      <c r="D112" s="2964" t="s">
        <v>3419</v>
      </c>
      <c r="E112" s="2964"/>
      <c r="F112" s="2964" t="s">
        <v>3236</v>
      </c>
      <c r="G112" s="2964" t="s">
        <v>3230</v>
      </c>
      <c r="H112" s="2964" t="s">
        <v>3231</v>
      </c>
      <c r="I112" s="2964"/>
      <c r="J112" s="2965"/>
      <c r="K112" s="2965"/>
      <c r="L112" s="2965"/>
      <c r="M112" s="2965"/>
      <c r="N112" s="2965"/>
      <c r="O112" s="2965"/>
      <c r="P112" s="2965"/>
      <c r="Q112" s="2965"/>
      <c r="R112" s="2965"/>
      <c r="S112" s="2965"/>
      <c r="T112" s="2965"/>
      <c r="U112" s="2965"/>
      <c r="V112" s="2965"/>
      <c r="W112" s="2965"/>
      <c r="X112" s="2965"/>
      <c r="Y112" s="2965"/>
      <c r="Z112" s="2964" t="s">
        <v>3237</v>
      </c>
      <c r="AA112" s="2964" t="s">
        <v>3237</v>
      </c>
      <c r="AB112" s="2964" t="s">
        <v>3237</v>
      </c>
      <c r="AC112" s="2965"/>
      <c r="AD112" s="2965"/>
      <c r="AE112" s="2965"/>
      <c r="AF112" s="2965"/>
    </row>
    <row r="113" spans="1:32" ht="14.1" customHeight="1">
      <c r="A113" s="2964" t="s">
        <v>3225</v>
      </c>
      <c r="B113" s="2964" t="s">
        <v>3226</v>
      </c>
      <c r="C113" s="2964" t="s">
        <v>3395</v>
      </c>
      <c r="D113" s="2964" t="s">
        <v>3420</v>
      </c>
      <c r="E113" s="2964" t="s">
        <v>3420</v>
      </c>
      <c r="F113" s="2964" t="s">
        <v>3239</v>
      </c>
      <c r="G113" s="2964" t="s">
        <v>3230</v>
      </c>
      <c r="H113" s="2964" t="s">
        <v>3231</v>
      </c>
      <c r="I113" s="2964">
        <v>42.2</v>
      </c>
      <c r="J113" s="2965"/>
      <c r="K113" s="2965"/>
      <c r="L113" s="2965"/>
      <c r="M113" s="2965"/>
      <c r="N113" s="2965">
        <v>71</v>
      </c>
      <c r="O113" s="2965">
        <v>2996.33</v>
      </c>
      <c r="P113" s="2965">
        <v>29000</v>
      </c>
      <c r="Q113" s="2965">
        <v>8689.36</v>
      </c>
      <c r="R113" s="2965"/>
      <c r="S113" s="2965"/>
      <c r="T113" s="2965"/>
      <c r="U113" s="2965"/>
      <c r="V113" s="2965">
        <v>71</v>
      </c>
      <c r="W113" s="2965">
        <v>2996.33</v>
      </c>
      <c r="X113" s="2965">
        <v>29000</v>
      </c>
      <c r="Y113" s="2965">
        <v>8689.36</v>
      </c>
      <c r="Z113" s="2964" t="s">
        <v>3397</v>
      </c>
      <c r="AA113" s="2964" t="s">
        <v>3397</v>
      </c>
      <c r="AB113" s="2964" t="s">
        <v>3397</v>
      </c>
      <c r="AC113" s="2965"/>
      <c r="AD113" s="2965"/>
      <c r="AE113" s="2965"/>
      <c r="AF113" s="2965"/>
    </row>
    <row r="114" spans="1:32" ht="14.1" customHeight="1">
      <c r="A114" s="2964" t="s">
        <v>3225</v>
      </c>
      <c r="B114" s="2964" t="s">
        <v>3226</v>
      </c>
      <c r="C114" s="2964" t="s">
        <v>3395</v>
      </c>
      <c r="D114" s="2964" t="s">
        <v>3421</v>
      </c>
      <c r="E114" s="2964" t="s">
        <v>3421</v>
      </c>
      <c r="F114" s="2964" t="s">
        <v>3241</v>
      </c>
      <c r="G114" s="2964" t="s">
        <v>3230</v>
      </c>
      <c r="H114" s="2964" t="s">
        <v>3231</v>
      </c>
      <c r="I114" s="2964">
        <v>58.08</v>
      </c>
      <c r="J114" s="2965"/>
      <c r="K114" s="2965"/>
      <c r="L114" s="2965"/>
      <c r="M114" s="2965"/>
      <c r="N114" s="2965">
        <v>40</v>
      </c>
      <c r="O114" s="2965">
        <v>2323.1</v>
      </c>
      <c r="P114" s="2965">
        <v>30000</v>
      </c>
      <c r="Q114" s="2965">
        <v>6969.3</v>
      </c>
      <c r="R114" s="2965"/>
      <c r="S114" s="2965"/>
      <c r="T114" s="2965"/>
      <c r="U114" s="2965"/>
      <c r="V114" s="2965">
        <v>40</v>
      </c>
      <c r="W114" s="2965">
        <v>2323.1</v>
      </c>
      <c r="X114" s="2965">
        <v>30000</v>
      </c>
      <c r="Y114" s="2965">
        <v>6969.3</v>
      </c>
      <c r="Z114" s="2964" t="s">
        <v>3397</v>
      </c>
      <c r="AA114" s="2964" t="s">
        <v>3397</v>
      </c>
      <c r="AB114" s="2964" t="s">
        <v>3397</v>
      </c>
      <c r="AC114" s="2965"/>
      <c r="AD114" s="2965"/>
      <c r="AE114" s="2965"/>
      <c r="AF114" s="2965"/>
    </row>
    <row r="115" spans="1:32" ht="14.1" customHeight="1">
      <c r="A115" s="2964" t="s">
        <v>3225</v>
      </c>
      <c r="B115" s="2964" t="s">
        <v>3226</v>
      </c>
      <c r="C115" s="2964" t="s">
        <v>3395</v>
      </c>
      <c r="D115" s="2964" t="s">
        <v>3422</v>
      </c>
      <c r="E115" s="2964" t="s">
        <v>3422</v>
      </c>
      <c r="F115" s="2964" t="s">
        <v>3243</v>
      </c>
      <c r="G115" s="2964" t="s">
        <v>3244</v>
      </c>
      <c r="H115" s="2964" t="s">
        <v>3231</v>
      </c>
      <c r="I115" s="2964">
        <v>49.56</v>
      </c>
      <c r="J115" s="2965"/>
      <c r="K115" s="2965"/>
      <c r="L115" s="2965"/>
      <c r="M115" s="2965"/>
      <c r="N115" s="2965">
        <v>42</v>
      </c>
      <c r="O115" s="2965">
        <v>2081.31</v>
      </c>
      <c r="P115" s="2965">
        <v>15000</v>
      </c>
      <c r="Q115" s="2965">
        <v>3121.97</v>
      </c>
      <c r="R115" s="2965"/>
      <c r="S115" s="2965"/>
      <c r="T115" s="2965"/>
      <c r="U115" s="2965"/>
      <c r="V115" s="2965">
        <v>42</v>
      </c>
      <c r="W115" s="2965">
        <v>2081.31</v>
      </c>
      <c r="X115" s="2965">
        <v>15000</v>
      </c>
      <c r="Y115" s="2965">
        <v>3121.97</v>
      </c>
      <c r="Z115" s="2964" t="s">
        <v>3397</v>
      </c>
      <c r="AA115" s="2964" t="s">
        <v>3397</v>
      </c>
      <c r="AB115" s="2964" t="s">
        <v>3397</v>
      </c>
      <c r="AC115" s="2965"/>
      <c r="AD115" s="2965"/>
      <c r="AE115" s="2965"/>
      <c r="AF115" s="2965"/>
    </row>
    <row r="116" spans="1:32" ht="14.1" customHeight="1">
      <c r="A116" s="2964" t="s">
        <v>3225</v>
      </c>
      <c r="B116" s="2964" t="s">
        <v>3226</v>
      </c>
      <c r="C116" s="2964" t="s">
        <v>3395</v>
      </c>
      <c r="D116" s="2964" t="s">
        <v>3423</v>
      </c>
      <c r="E116" s="2964"/>
      <c r="F116" s="2964" t="s">
        <v>3246</v>
      </c>
      <c r="G116" s="2964" t="s">
        <v>3246</v>
      </c>
      <c r="H116" s="2964" t="s">
        <v>3231</v>
      </c>
      <c r="I116" s="2964"/>
      <c r="J116" s="2965"/>
      <c r="K116" s="2965"/>
      <c r="L116" s="2965"/>
      <c r="M116" s="2965"/>
      <c r="N116" s="2965"/>
      <c r="O116" s="2965"/>
      <c r="P116" s="2965"/>
      <c r="Q116" s="2965"/>
      <c r="R116" s="2965"/>
      <c r="S116" s="2965"/>
      <c r="T116" s="2965"/>
      <c r="U116" s="2965"/>
      <c r="V116" s="2965"/>
      <c r="W116" s="2965"/>
      <c r="X116" s="2965"/>
      <c r="Y116" s="2965"/>
      <c r="Z116" s="2964" t="s">
        <v>3237</v>
      </c>
      <c r="AA116" s="2964" t="s">
        <v>3237</v>
      </c>
      <c r="AB116" s="2964" t="s">
        <v>3237</v>
      </c>
      <c r="AC116" s="2965"/>
      <c r="AD116" s="2965"/>
      <c r="AE116" s="2965"/>
      <c r="AF116" s="2965"/>
    </row>
    <row r="117" spans="1:32" ht="14.1" customHeight="1">
      <c r="A117" s="2964" t="s">
        <v>3225</v>
      </c>
      <c r="B117" s="2964" t="s">
        <v>3226</v>
      </c>
      <c r="C117" s="2964" t="s">
        <v>3395</v>
      </c>
      <c r="D117" s="2964" t="s">
        <v>3424</v>
      </c>
      <c r="E117" s="2964" t="s">
        <v>3424</v>
      </c>
      <c r="F117" s="2964" t="s">
        <v>3248</v>
      </c>
      <c r="G117" s="2964" t="s">
        <v>1377</v>
      </c>
      <c r="H117" s="2964" t="s">
        <v>3231</v>
      </c>
      <c r="I117" s="2964">
        <v>53.27</v>
      </c>
      <c r="J117" s="2965"/>
      <c r="K117" s="2965"/>
      <c r="L117" s="2965"/>
      <c r="M117" s="2965"/>
      <c r="N117" s="2965">
        <v>19</v>
      </c>
      <c r="O117" s="2965">
        <v>1012.18</v>
      </c>
      <c r="P117" s="2965">
        <v>40000</v>
      </c>
      <c r="Q117" s="2965">
        <v>4048.72</v>
      </c>
      <c r="R117" s="2965"/>
      <c r="S117" s="2965"/>
      <c r="T117" s="2965"/>
      <c r="U117" s="2965"/>
      <c r="V117" s="2965">
        <v>19</v>
      </c>
      <c r="W117" s="2965">
        <v>1012.18</v>
      </c>
      <c r="X117" s="2965">
        <v>40000</v>
      </c>
      <c r="Y117" s="2965">
        <v>4048.72</v>
      </c>
      <c r="Z117" s="2964" t="s">
        <v>3397</v>
      </c>
      <c r="AA117" s="2964" t="s">
        <v>3397</v>
      </c>
      <c r="AB117" s="2964" t="s">
        <v>3397</v>
      </c>
      <c r="AC117" s="2965"/>
      <c r="AD117" s="2965"/>
      <c r="AE117" s="2965"/>
      <c r="AF117" s="2965"/>
    </row>
    <row r="118" spans="1:32" ht="14.1" customHeight="1">
      <c r="A118" s="2964" t="s">
        <v>3225</v>
      </c>
      <c r="B118" s="2964" t="s">
        <v>3226</v>
      </c>
      <c r="C118" s="2964" t="s">
        <v>3395</v>
      </c>
      <c r="D118" s="2964" t="s">
        <v>48</v>
      </c>
      <c r="E118" s="2964"/>
      <c r="F118" s="2964" t="s">
        <v>3386</v>
      </c>
      <c r="G118" s="2964" t="s">
        <v>3246</v>
      </c>
      <c r="H118" s="2964" t="s">
        <v>3231</v>
      </c>
      <c r="I118" s="2964"/>
      <c r="J118" s="2965"/>
      <c r="K118" s="2965"/>
      <c r="L118" s="2965"/>
      <c r="M118" s="2965"/>
      <c r="N118" s="2965"/>
      <c r="O118" s="2965"/>
      <c r="P118" s="2965"/>
      <c r="Q118" s="2965"/>
      <c r="R118" s="2965"/>
      <c r="S118" s="2965"/>
      <c r="T118" s="2965"/>
      <c r="U118" s="2965"/>
      <c r="V118" s="2965"/>
      <c r="W118" s="2965"/>
      <c r="X118" s="2965"/>
      <c r="Y118" s="2965"/>
      <c r="Z118" s="2964" t="s">
        <v>3237</v>
      </c>
      <c r="AA118" s="2964" t="s">
        <v>3237</v>
      </c>
      <c r="AB118" s="2964" t="s">
        <v>3237</v>
      </c>
      <c r="AC118" s="2965"/>
      <c r="AD118" s="2965"/>
      <c r="AE118" s="2965"/>
      <c r="AF118" s="2965"/>
    </row>
    <row r="119" spans="1:32" ht="14.1" customHeight="1">
      <c r="A119" s="2964" t="s">
        <v>3225</v>
      </c>
      <c r="B119" s="2964" t="s">
        <v>3226</v>
      </c>
      <c r="C119" s="2964" t="s">
        <v>3395</v>
      </c>
      <c r="D119" s="2964" t="s">
        <v>3387</v>
      </c>
      <c r="E119" s="2964"/>
      <c r="F119" s="2964" t="s">
        <v>3388</v>
      </c>
      <c r="G119" s="2964" t="s">
        <v>3244</v>
      </c>
      <c r="H119" s="2964" t="s">
        <v>3231</v>
      </c>
      <c r="I119" s="2964">
        <v>0</v>
      </c>
      <c r="J119" s="2965"/>
      <c r="K119" s="2965"/>
      <c r="L119" s="2965"/>
      <c r="M119" s="2965"/>
      <c r="N119" s="2965">
        <v>326</v>
      </c>
      <c r="O119" s="2965"/>
      <c r="P119" s="2965">
        <v>100000</v>
      </c>
      <c r="Q119" s="2965">
        <v>3260</v>
      </c>
      <c r="R119" s="2965"/>
      <c r="S119" s="2965"/>
      <c r="T119" s="2965"/>
      <c r="U119" s="2965"/>
      <c r="V119" s="2965">
        <v>326</v>
      </c>
      <c r="W119" s="2965"/>
      <c r="X119" s="2965">
        <v>100000</v>
      </c>
      <c r="Y119" s="2965">
        <v>3260</v>
      </c>
      <c r="Z119" s="2964" t="s">
        <v>3237</v>
      </c>
      <c r="AA119" s="2964" t="s">
        <v>3237</v>
      </c>
      <c r="AB119" s="2964" t="s">
        <v>3237</v>
      </c>
      <c r="AC119" s="2965"/>
      <c r="AD119" s="2965"/>
      <c r="AE119" s="2965"/>
      <c r="AF119" s="2965"/>
    </row>
    <row r="120" spans="1:32" ht="14.1" customHeight="1">
      <c r="A120" s="2966" t="s">
        <v>3225</v>
      </c>
      <c r="B120" s="2966" t="s">
        <v>3226</v>
      </c>
      <c r="C120" s="2966" t="s">
        <v>3425</v>
      </c>
      <c r="D120" s="2966" t="s">
        <v>3282</v>
      </c>
      <c r="E120" s="2966" t="s">
        <v>3282</v>
      </c>
      <c r="F120" s="2966" t="s">
        <v>3282</v>
      </c>
      <c r="G120" s="2966" t="s">
        <v>3282</v>
      </c>
      <c r="H120" s="2966"/>
      <c r="I120" s="2966">
        <v>35.479999999999997</v>
      </c>
      <c r="J120" s="2967"/>
      <c r="K120" s="2967"/>
      <c r="L120" s="2967"/>
      <c r="M120" s="2967"/>
      <c r="N120" s="2967">
        <v>2104</v>
      </c>
      <c r="O120" s="2967">
        <v>74641.97</v>
      </c>
      <c r="P120" s="2967">
        <v>32303.48</v>
      </c>
      <c r="Q120" s="2967">
        <v>241119.51</v>
      </c>
      <c r="R120" s="2967"/>
      <c r="S120" s="2967"/>
      <c r="T120" s="2967"/>
      <c r="U120" s="2967"/>
      <c r="V120" s="2967">
        <v>2104</v>
      </c>
      <c r="W120" s="2967">
        <v>74641.97</v>
      </c>
      <c r="X120" s="2967">
        <v>32303.48</v>
      </c>
      <c r="Y120" s="2967">
        <v>241119.51</v>
      </c>
      <c r="Z120" s="2966" t="s">
        <v>3397</v>
      </c>
      <c r="AA120" s="2966" t="s">
        <v>3397</v>
      </c>
      <c r="AB120" s="2966" t="s">
        <v>3397</v>
      </c>
      <c r="AC120" s="2967"/>
      <c r="AD120" s="2967"/>
      <c r="AE120" s="2967"/>
      <c r="AF120" s="2967"/>
    </row>
    <row r="121" spans="1:32" ht="14.1" customHeight="1">
      <c r="A121" s="2964" t="s">
        <v>3225</v>
      </c>
      <c r="B121" s="2964" t="s">
        <v>3226</v>
      </c>
      <c r="C121" s="2964" t="s">
        <v>3426</v>
      </c>
      <c r="D121" s="2964" t="s">
        <v>3427</v>
      </c>
      <c r="E121" s="2964" t="s">
        <v>3427</v>
      </c>
      <c r="F121" s="2964" t="s">
        <v>3229</v>
      </c>
      <c r="G121" s="2964" t="s">
        <v>3230</v>
      </c>
      <c r="H121" s="2964" t="s">
        <v>3231</v>
      </c>
      <c r="I121" s="2964">
        <v>42.65</v>
      </c>
      <c r="J121" s="2965"/>
      <c r="K121" s="2965"/>
      <c r="L121" s="2965"/>
      <c r="M121" s="2965"/>
      <c r="N121" s="2965">
        <v>101</v>
      </c>
      <c r="O121" s="2965">
        <v>4307.96</v>
      </c>
      <c r="P121" s="2965">
        <v>32851.61</v>
      </c>
      <c r="Q121" s="2965">
        <v>14152.34</v>
      </c>
      <c r="R121" s="2965"/>
      <c r="S121" s="2965"/>
      <c r="T121" s="2965"/>
      <c r="U121" s="2965"/>
      <c r="V121" s="2965">
        <v>101</v>
      </c>
      <c r="W121" s="2965">
        <v>4307.96</v>
      </c>
      <c r="X121" s="2965">
        <v>32851.61</v>
      </c>
      <c r="Y121" s="2965">
        <v>14152.34</v>
      </c>
      <c r="Z121" s="2964" t="s">
        <v>3397</v>
      </c>
      <c r="AA121" s="2964" t="s">
        <v>3397</v>
      </c>
      <c r="AB121" s="2964" t="s">
        <v>3397</v>
      </c>
      <c r="AC121" s="2965"/>
      <c r="AD121" s="2965"/>
      <c r="AE121" s="2965"/>
      <c r="AF121" s="2965"/>
    </row>
    <row r="122" spans="1:32" ht="14.1" customHeight="1">
      <c r="A122" s="2964" t="s">
        <v>3225</v>
      </c>
      <c r="B122" s="2964" t="s">
        <v>3226</v>
      </c>
      <c r="C122" s="2964" t="s">
        <v>3426</v>
      </c>
      <c r="D122" s="2964" t="s">
        <v>3428</v>
      </c>
      <c r="E122" s="2964"/>
      <c r="F122" s="2964" t="s">
        <v>3236</v>
      </c>
      <c r="G122" s="2964" t="s">
        <v>3230</v>
      </c>
      <c r="H122" s="2964" t="s">
        <v>3231</v>
      </c>
      <c r="I122" s="2964"/>
      <c r="J122" s="2965"/>
      <c r="K122" s="2965"/>
      <c r="L122" s="2965"/>
      <c r="M122" s="2965"/>
      <c r="N122" s="2965"/>
      <c r="O122" s="2965"/>
      <c r="P122" s="2965"/>
      <c r="Q122" s="2965"/>
      <c r="R122" s="2965"/>
      <c r="S122" s="2965"/>
      <c r="T122" s="2965"/>
      <c r="U122" s="2965"/>
      <c r="V122" s="2965"/>
      <c r="W122" s="2965"/>
      <c r="X122" s="2965"/>
      <c r="Y122" s="2965"/>
      <c r="Z122" s="2964" t="s">
        <v>3237</v>
      </c>
      <c r="AA122" s="2964" t="s">
        <v>3237</v>
      </c>
      <c r="AB122" s="2964" t="s">
        <v>3237</v>
      </c>
      <c r="AC122" s="2965"/>
      <c r="AD122" s="2965"/>
      <c r="AE122" s="2965"/>
      <c r="AF122" s="2965"/>
    </row>
    <row r="123" spans="1:32" ht="14.1" customHeight="1">
      <c r="A123" s="2964" t="s">
        <v>3225</v>
      </c>
      <c r="B123" s="2964" t="s">
        <v>3226</v>
      </c>
      <c r="C123" s="2964" t="s">
        <v>3426</v>
      </c>
      <c r="D123" s="2964" t="s">
        <v>3429</v>
      </c>
      <c r="E123" s="2964" t="s">
        <v>3429</v>
      </c>
      <c r="F123" s="2964" t="s">
        <v>3239</v>
      </c>
      <c r="G123" s="2964" t="s">
        <v>3230</v>
      </c>
      <c r="H123" s="2964" t="s">
        <v>3231</v>
      </c>
      <c r="I123" s="2964">
        <v>47.22</v>
      </c>
      <c r="J123" s="2965"/>
      <c r="K123" s="2965"/>
      <c r="L123" s="2965"/>
      <c r="M123" s="2965"/>
      <c r="N123" s="2965">
        <v>17</v>
      </c>
      <c r="O123" s="2965">
        <v>802.75</v>
      </c>
      <c r="P123" s="2965">
        <v>31135.48</v>
      </c>
      <c r="Q123" s="2965">
        <v>2499.4</v>
      </c>
      <c r="R123" s="2965"/>
      <c r="S123" s="2965"/>
      <c r="T123" s="2965"/>
      <c r="U123" s="2965"/>
      <c r="V123" s="2965">
        <v>17</v>
      </c>
      <c r="W123" s="2965">
        <v>802.75</v>
      </c>
      <c r="X123" s="2965">
        <v>31135.48</v>
      </c>
      <c r="Y123" s="2965">
        <v>2499.4</v>
      </c>
      <c r="Z123" s="2964" t="s">
        <v>3397</v>
      </c>
      <c r="AA123" s="2964" t="s">
        <v>3397</v>
      </c>
      <c r="AB123" s="2964" t="s">
        <v>3397</v>
      </c>
      <c r="AC123" s="2965"/>
      <c r="AD123" s="2965"/>
      <c r="AE123" s="2965"/>
      <c r="AF123" s="2965"/>
    </row>
    <row r="124" spans="1:32" ht="14.1" customHeight="1">
      <c r="A124" s="2964" t="s">
        <v>3225</v>
      </c>
      <c r="B124" s="2964" t="s">
        <v>3226</v>
      </c>
      <c r="C124" s="2964" t="s">
        <v>3426</v>
      </c>
      <c r="D124" s="2964" t="s">
        <v>3430</v>
      </c>
      <c r="E124" s="2964"/>
      <c r="F124" s="2964" t="s">
        <v>3241</v>
      </c>
      <c r="G124" s="2964" t="s">
        <v>3230</v>
      </c>
      <c r="H124" s="2964" t="s">
        <v>3231</v>
      </c>
      <c r="I124" s="2964"/>
      <c r="J124" s="2965"/>
      <c r="K124" s="2965"/>
      <c r="L124" s="2965"/>
      <c r="M124" s="2965"/>
      <c r="N124" s="2965"/>
      <c r="O124" s="2965"/>
      <c r="P124" s="2965"/>
      <c r="Q124" s="2965"/>
      <c r="R124" s="2965"/>
      <c r="S124" s="2965"/>
      <c r="T124" s="2965"/>
      <c r="U124" s="2965"/>
      <c r="V124" s="2965"/>
      <c r="W124" s="2965"/>
      <c r="X124" s="2965"/>
      <c r="Y124" s="2965"/>
      <c r="Z124" s="2964" t="s">
        <v>3237</v>
      </c>
      <c r="AA124" s="2964" t="s">
        <v>3237</v>
      </c>
      <c r="AB124" s="2964" t="s">
        <v>3237</v>
      </c>
      <c r="AC124" s="2965"/>
      <c r="AD124" s="2965"/>
      <c r="AE124" s="2965"/>
      <c r="AF124" s="2965"/>
    </row>
    <row r="125" spans="1:32" ht="14.1" customHeight="1">
      <c r="A125" s="2964" t="s">
        <v>3225</v>
      </c>
      <c r="B125" s="2964" t="s">
        <v>3226</v>
      </c>
      <c r="C125" s="2964" t="s">
        <v>3426</v>
      </c>
      <c r="D125" s="2964" t="s">
        <v>3431</v>
      </c>
      <c r="E125" s="2964" t="s">
        <v>3431</v>
      </c>
      <c r="F125" s="2964" t="s">
        <v>3243</v>
      </c>
      <c r="G125" s="2964" t="s">
        <v>3244</v>
      </c>
      <c r="H125" s="2964" t="s">
        <v>3231</v>
      </c>
      <c r="I125" s="2964">
        <v>59.48</v>
      </c>
      <c r="J125" s="2965"/>
      <c r="K125" s="2965"/>
      <c r="L125" s="2965"/>
      <c r="M125" s="2965"/>
      <c r="N125" s="2965">
        <v>5</v>
      </c>
      <c r="O125" s="2965">
        <v>297.41000000000003</v>
      </c>
      <c r="P125" s="2965">
        <v>20000</v>
      </c>
      <c r="Q125" s="2965">
        <v>594.82000000000005</v>
      </c>
      <c r="R125" s="2965"/>
      <c r="S125" s="2965"/>
      <c r="T125" s="2965"/>
      <c r="U125" s="2965"/>
      <c r="V125" s="2965">
        <v>5</v>
      </c>
      <c r="W125" s="2965">
        <v>297.41000000000003</v>
      </c>
      <c r="X125" s="2965">
        <v>20000</v>
      </c>
      <c r="Y125" s="2965">
        <v>594.82000000000005</v>
      </c>
      <c r="Z125" s="2964" t="s">
        <v>3397</v>
      </c>
      <c r="AA125" s="2964" t="s">
        <v>3397</v>
      </c>
      <c r="AB125" s="2964" t="s">
        <v>3397</v>
      </c>
      <c r="AC125" s="2965"/>
      <c r="AD125" s="2965"/>
      <c r="AE125" s="2965"/>
      <c r="AF125" s="2965"/>
    </row>
    <row r="126" spans="1:32" ht="14.1" customHeight="1">
      <c r="A126" s="2964" t="s">
        <v>3225</v>
      </c>
      <c r="B126" s="2964" t="s">
        <v>3226</v>
      </c>
      <c r="C126" s="2964" t="s">
        <v>3426</v>
      </c>
      <c r="D126" s="2964" t="s">
        <v>3432</v>
      </c>
      <c r="E126" s="2964" t="s">
        <v>3432</v>
      </c>
      <c r="F126" s="2964" t="s">
        <v>3246</v>
      </c>
      <c r="G126" s="2964" t="s">
        <v>3246</v>
      </c>
      <c r="H126" s="2964" t="s">
        <v>3231</v>
      </c>
      <c r="I126" s="2964">
        <v>65.22</v>
      </c>
      <c r="J126" s="2965"/>
      <c r="K126" s="2965"/>
      <c r="L126" s="2965"/>
      <c r="M126" s="2965"/>
      <c r="N126" s="2965">
        <v>8</v>
      </c>
      <c r="O126" s="2965">
        <v>521.76</v>
      </c>
      <c r="P126" s="2965">
        <v>38591.25</v>
      </c>
      <c r="Q126" s="2965">
        <v>2013.54</v>
      </c>
      <c r="R126" s="2965"/>
      <c r="S126" s="2965"/>
      <c r="T126" s="2965"/>
      <c r="U126" s="2965"/>
      <c r="V126" s="2965">
        <v>8</v>
      </c>
      <c r="W126" s="2965">
        <v>521.76</v>
      </c>
      <c r="X126" s="2965">
        <v>38591.25</v>
      </c>
      <c r="Y126" s="2965">
        <v>2013.54</v>
      </c>
      <c r="Z126" s="2964" t="s">
        <v>3397</v>
      </c>
      <c r="AA126" s="2964" t="s">
        <v>3397</v>
      </c>
      <c r="AB126" s="2964" t="s">
        <v>3397</v>
      </c>
      <c r="AC126" s="2965"/>
      <c r="AD126" s="2965"/>
      <c r="AE126" s="2965"/>
      <c r="AF126" s="2965"/>
    </row>
    <row r="127" spans="1:32" ht="14.1" customHeight="1">
      <c r="A127" s="2964" t="s">
        <v>3225</v>
      </c>
      <c r="B127" s="2964" t="s">
        <v>3226</v>
      </c>
      <c r="C127" s="2964" t="s">
        <v>3426</v>
      </c>
      <c r="D127" s="2964" t="s">
        <v>3433</v>
      </c>
      <c r="E127" s="2964" t="s">
        <v>3433</v>
      </c>
      <c r="F127" s="2964" t="s">
        <v>3248</v>
      </c>
      <c r="G127" s="2964" t="s">
        <v>1377</v>
      </c>
      <c r="H127" s="2964" t="s">
        <v>3231</v>
      </c>
      <c r="I127" s="2964">
        <v>63.67</v>
      </c>
      <c r="J127" s="2965"/>
      <c r="K127" s="2965"/>
      <c r="L127" s="2965"/>
      <c r="M127" s="2965"/>
      <c r="N127" s="2965">
        <v>34</v>
      </c>
      <c r="O127" s="2965">
        <v>2164.85</v>
      </c>
      <c r="P127" s="2965">
        <v>47441.65</v>
      </c>
      <c r="Q127" s="2965">
        <v>10270.41</v>
      </c>
      <c r="R127" s="2965"/>
      <c r="S127" s="2965"/>
      <c r="T127" s="2965"/>
      <c r="U127" s="2965"/>
      <c r="V127" s="2965">
        <v>34</v>
      </c>
      <c r="W127" s="2965">
        <v>2164.85</v>
      </c>
      <c r="X127" s="2965">
        <v>47441.65</v>
      </c>
      <c r="Y127" s="2965">
        <v>10270.41</v>
      </c>
      <c r="Z127" s="2964" t="s">
        <v>3397</v>
      </c>
      <c r="AA127" s="2964" t="s">
        <v>3397</v>
      </c>
      <c r="AB127" s="2964" t="s">
        <v>3397</v>
      </c>
      <c r="AC127" s="2965"/>
      <c r="AD127" s="2965"/>
      <c r="AE127" s="2965"/>
      <c r="AF127" s="2965"/>
    </row>
    <row r="128" spans="1:32" ht="14.1" customHeight="1">
      <c r="A128" s="2964" t="s">
        <v>3225</v>
      </c>
      <c r="B128" s="2964" t="s">
        <v>3226</v>
      </c>
      <c r="C128" s="2964" t="s">
        <v>3426</v>
      </c>
      <c r="D128" s="2964" t="s">
        <v>3434</v>
      </c>
      <c r="E128" s="2964" t="s">
        <v>3434</v>
      </c>
      <c r="F128" s="2964" t="s">
        <v>3229</v>
      </c>
      <c r="G128" s="2964" t="s">
        <v>3230</v>
      </c>
      <c r="H128" s="2964" t="s">
        <v>3231</v>
      </c>
      <c r="I128" s="2964">
        <v>39.700000000000003</v>
      </c>
      <c r="J128" s="2965">
        <v>14</v>
      </c>
      <c r="K128" s="2965">
        <v>452.48</v>
      </c>
      <c r="L128" s="2965">
        <v>36017.230000000003</v>
      </c>
      <c r="M128" s="2965">
        <v>1629.71</v>
      </c>
      <c r="N128" s="2965">
        <v>402</v>
      </c>
      <c r="O128" s="2965">
        <v>16064.74</v>
      </c>
      <c r="P128" s="2965">
        <v>32894.32</v>
      </c>
      <c r="Q128" s="2965">
        <v>52843.87</v>
      </c>
      <c r="R128" s="2965"/>
      <c r="S128" s="2965"/>
      <c r="T128" s="2965"/>
      <c r="U128" s="2965"/>
      <c r="V128" s="2965">
        <v>416</v>
      </c>
      <c r="W128" s="2965">
        <v>16517.22</v>
      </c>
      <c r="X128" s="2965">
        <v>32979.870000000003</v>
      </c>
      <c r="Y128" s="2965">
        <v>54473.58</v>
      </c>
      <c r="Z128" s="2964" t="s">
        <v>3435</v>
      </c>
      <c r="AA128" s="2964" t="s">
        <v>3436</v>
      </c>
      <c r="AB128" s="2964" t="s">
        <v>3437</v>
      </c>
      <c r="AC128" s="2965">
        <v>16</v>
      </c>
      <c r="AD128" s="2965">
        <v>506.08</v>
      </c>
      <c r="AE128" s="2965">
        <v>35868.26</v>
      </c>
      <c r="AF128" s="2965">
        <v>1815.22</v>
      </c>
    </row>
    <row r="129" spans="1:32" ht="14.1" customHeight="1">
      <c r="A129" s="2964" t="s">
        <v>3225</v>
      </c>
      <c r="B129" s="2964" t="s">
        <v>3226</v>
      </c>
      <c r="C129" s="2964" t="s">
        <v>3426</v>
      </c>
      <c r="D129" s="2964" t="s">
        <v>3438</v>
      </c>
      <c r="E129" s="2964"/>
      <c r="F129" s="2964" t="s">
        <v>3236</v>
      </c>
      <c r="G129" s="2964" t="s">
        <v>3230</v>
      </c>
      <c r="H129" s="2964" t="s">
        <v>3231</v>
      </c>
      <c r="I129" s="2964"/>
      <c r="J129" s="2965"/>
      <c r="K129" s="2965"/>
      <c r="L129" s="2965"/>
      <c r="M129" s="2965"/>
      <c r="N129" s="2965"/>
      <c r="O129" s="2965"/>
      <c r="P129" s="2965"/>
      <c r="Q129" s="2965"/>
      <c r="R129" s="2965"/>
      <c r="S129" s="2965"/>
      <c r="T129" s="2965"/>
      <c r="U129" s="2965"/>
      <c r="V129" s="2965"/>
      <c r="W129" s="2965"/>
      <c r="X129" s="2965"/>
      <c r="Y129" s="2965"/>
      <c r="Z129" s="2964" t="s">
        <v>3237</v>
      </c>
      <c r="AA129" s="2964" t="s">
        <v>3237</v>
      </c>
      <c r="AB129" s="2964" t="s">
        <v>3237</v>
      </c>
      <c r="AC129" s="2965"/>
      <c r="AD129" s="2965"/>
      <c r="AE129" s="2965"/>
      <c r="AF129" s="2965"/>
    </row>
    <row r="130" spans="1:32" ht="14.1" customHeight="1">
      <c r="A130" s="2964" t="s">
        <v>3225</v>
      </c>
      <c r="B130" s="2964" t="s">
        <v>3226</v>
      </c>
      <c r="C130" s="2964" t="s">
        <v>3426</v>
      </c>
      <c r="D130" s="2964" t="s">
        <v>3439</v>
      </c>
      <c r="E130" s="2964" t="s">
        <v>3439</v>
      </c>
      <c r="F130" s="2964" t="s">
        <v>3239</v>
      </c>
      <c r="G130" s="2964" t="s">
        <v>3230</v>
      </c>
      <c r="H130" s="2964" t="s">
        <v>3231</v>
      </c>
      <c r="I130" s="2964">
        <v>32.450000000000003</v>
      </c>
      <c r="J130" s="2965">
        <v>6</v>
      </c>
      <c r="K130" s="2965">
        <v>159.18</v>
      </c>
      <c r="L130" s="2965">
        <v>31040.34</v>
      </c>
      <c r="M130" s="2965">
        <v>494.1</v>
      </c>
      <c r="N130" s="2965">
        <v>59</v>
      </c>
      <c r="O130" s="2965">
        <v>1949.89</v>
      </c>
      <c r="P130" s="2965">
        <v>29854.45</v>
      </c>
      <c r="Q130" s="2965">
        <v>5821.29</v>
      </c>
      <c r="R130" s="2965"/>
      <c r="S130" s="2965"/>
      <c r="T130" s="2965"/>
      <c r="U130" s="2965"/>
      <c r="V130" s="2965">
        <v>65</v>
      </c>
      <c r="W130" s="2965">
        <v>2109.0700000000002</v>
      </c>
      <c r="X130" s="2965">
        <v>29943.95</v>
      </c>
      <c r="Y130" s="2965">
        <v>6315.39</v>
      </c>
      <c r="Z130" s="2964" t="s">
        <v>3440</v>
      </c>
      <c r="AA130" s="2964" t="s">
        <v>3441</v>
      </c>
      <c r="AB130" s="2964" t="s">
        <v>3442</v>
      </c>
      <c r="AC130" s="2965">
        <v>7</v>
      </c>
      <c r="AD130" s="2965">
        <v>191.57</v>
      </c>
      <c r="AE130" s="2965">
        <v>31041.78</v>
      </c>
      <c r="AF130" s="2965">
        <v>594.66999999999996</v>
      </c>
    </row>
    <row r="131" spans="1:32" ht="14.1" customHeight="1">
      <c r="A131" s="2964" t="s">
        <v>3225</v>
      </c>
      <c r="B131" s="2964" t="s">
        <v>3226</v>
      </c>
      <c r="C131" s="2964" t="s">
        <v>3426</v>
      </c>
      <c r="D131" s="2964" t="s">
        <v>3443</v>
      </c>
      <c r="E131" s="2964"/>
      <c r="F131" s="2964" t="s">
        <v>3241</v>
      </c>
      <c r="G131" s="2964" t="s">
        <v>3230</v>
      </c>
      <c r="H131" s="2964" t="s">
        <v>3231</v>
      </c>
      <c r="I131" s="2964"/>
      <c r="J131" s="2965"/>
      <c r="K131" s="2965"/>
      <c r="L131" s="2965"/>
      <c r="M131" s="2965"/>
      <c r="N131" s="2965"/>
      <c r="O131" s="2965"/>
      <c r="P131" s="2965"/>
      <c r="Q131" s="2965"/>
      <c r="R131" s="2965"/>
      <c r="S131" s="2965"/>
      <c r="T131" s="2965"/>
      <c r="U131" s="2965"/>
      <c r="V131" s="2965"/>
      <c r="W131" s="2965"/>
      <c r="X131" s="2965"/>
      <c r="Y131" s="2965"/>
      <c r="Z131" s="2964" t="s">
        <v>3237</v>
      </c>
      <c r="AA131" s="2964" t="s">
        <v>3237</v>
      </c>
      <c r="AB131" s="2964" t="s">
        <v>3237</v>
      </c>
      <c r="AC131" s="2965"/>
      <c r="AD131" s="2965"/>
      <c r="AE131" s="2965"/>
      <c r="AF131" s="2965"/>
    </row>
    <row r="132" spans="1:32" ht="14.1" customHeight="1">
      <c r="A132" s="2964" t="s">
        <v>3225</v>
      </c>
      <c r="B132" s="2964" t="s">
        <v>3226</v>
      </c>
      <c r="C132" s="2964" t="s">
        <v>3426</v>
      </c>
      <c r="D132" s="2964" t="s">
        <v>3444</v>
      </c>
      <c r="E132" s="2964" t="s">
        <v>3444</v>
      </c>
      <c r="F132" s="2964" t="s">
        <v>3243</v>
      </c>
      <c r="G132" s="2964" t="s">
        <v>3244</v>
      </c>
      <c r="H132" s="2964" t="s">
        <v>3231</v>
      </c>
      <c r="I132" s="2964">
        <v>58.91</v>
      </c>
      <c r="J132" s="2965"/>
      <c r="K132" s="2965"/>
      <c r="L132" s="2965"/>
      <c r="M132" s="2965"/>
      <c r="N132" s="2965">
        <v>17</v>
      </c>
      <c r="O132" s="2965">
        <v>1001.39</v>
      </c>
      <c r="P132" s="2965">
        <v>30000</v>
      </c>
      <c r="Q132" s="2965">
        <v>3004.17</v>
      </c>
      <c r="R132" s="2965"/>
      <c r="S132" s="2965"/>
      <c r="T132" s="2965"/>
      <c r="U132" s="2965"/>
      <c r="V132" s="2965">
        <v>17</v>
      </c>
      <c r="W132" s="2965">
        <v>1001.39</v>
      </c>
      <c r="X132" s="2965">
        <v>30000</v>
      </c>
      <c r="Y132" s="2965">
        <v>3004.17</v>
      </c>
      <c r="Z132" s="2964" t="s">
        <v>3397</v>
      </c>
      <c r="AA132" s="2964" t="s">
        <v>3397</v>
      </c>
      <c r="AB132" s="2964" t="s">
        <v>3397</v>
      </c>
      <c r="AC132" s="2965"/>
      <c r="AD132" s="2965"/>
      <c r="AE132" s="2965"/>
      <c r="AF132" s="2965"/>
    </row>
    <row r="133" spans="1:32" ht="14.1" customHeight="1">
      <c r="A133" s="2964" t="s">
        <v>3225</v>
      </c>
      <c r="B133" s="2964" t="s">
        <v>3226</v>
      </c>
      <c r="C133" s="2964" t="s">
        <v>3426</v>
      </c>
      <c r="D133" s="2964" t="s">
        <v>3445</v>
      </c>
      <c r="E133" s="2964"/>
      <c r="F133" s="2964" t="s">
        <v>3246</v>
      </c>
      <c r="G133" s="2964" t="s">
        <v>3246</v>
      </c>
      <c r="H133" s="2964" t="s">
        <v>3231</v>
      </c>
      <c r="I133" s="2964"/>
      <c r="J133" s="2965"/>
      <c r="K133" s="2965"/>
      <c r="L133" s="2965"/>
      <c r="M133" s="2965"/>
      <c r="N133" s="2965"/>
      <c r="O133" s="2965"/>
      <c r="P133" s="2965"/>
      <c r="Q133" s="2965"/>
      <c r="R133" s="2965"/>
      <c r="S133" s="2965"/>
      <c r="T133" s="2965"/>
      <c r="U133" s="2965"/>
      <c r="V133" s="2965"/>
      <c r="W133" s="2965"/>
      <c r="X133" s="2965"/>
      <c r="Y133" s="2965"/>
      <c r="Z133" s="2964" t="s">
        <v>3237</v>
      </c>
      <c r="AA133" s="2964" t="s">
        <v>3237</v>
      </c>
      <c r="AB133" s="2964" t="s">
        <v>3237</v>
      </c>
      <c r="AC133" s="2965"/>
      <c r="AD133" s="2965"/>
      <c r="AE133" s="2965"/>
      <c r="AF133" s="2965"/>
    </row>
    <row r="134" spans="1:32" ht="14.1" customHeight="1">
      <c r="A134" s="2964" t="s">
        <v>3225</v>
      </c>
      <c r="B134" s="2964" t="s">
        <v>3226</v>
      </c>
      <c r="C134" s="2964" t="s">
        <v>3426</v>
      </c>
      <c r="D134" s="2964" t="s">
        <v>3446</v>
      </c>
      <c r="E134" s="2964" t="s">
        <v>3446</v>
      </c>
      <c r="F134" s="2964" t="s">
        <v>3248</v>
      </c>
      <c r="G134" s="2964" t="s">
        <v>1377</v>
      </c>
      <c r="H134" s="2964" t="s">
        <v>3231</v>
      </c>
      <c r="I134" s="2964">
        <v>79.150000000000006</v>
      </c>
      <c r="J134" s="2965">
        <v>32</v>
      </c>
      <c r="K134" s="2965">
        <v>2530.85</v>
      </c>
      <c r="L134" s="2965">
        <v>43021.07</v>
      </c>
      <c r="M134" s="2965">
        <v>10887.99</v>
      </c>
      <c r="N134" s="2965">
        <v>10</v>
      </c>
      <c r="O134" s="2965">
        <v>793.48</v>
      </c>
      <c r="P134" s="2965">
        <v>48215.68</v>
      </c>
      <c r="Q134" s="2965">
        <v>3825.82</v>
      </c>
      <c r="R134" s="2965"/>
      <c r="S134" s="2965"/>
      <c r="T134" s="2965"/>
      <c r="U134" s="2965"/>
      <c r="V134" s="2965">
        <v>42</v>
      </c>
      <c r="W134" s="2965">
        <v>3324.33</v>
      </c>
      <c r="X134" s="2965">
        <v>44260.97</v>
      </c>
      <c r="Y134" s="2965">
        <v>14713.81</v>
      </c>
      <c r="Z134" s="2964" t="s">
        <v>3447</v>
      </c>
      <c r="AA134" s="2964" t="s">
        <v>3448</v>
      </c>
      <c r="AB134" s="2964" t="s">
        <v>3449</v>
      </c>
      <c r="AC134" s="2965">
        <v>33</v>
      </c>
      <c r="AD134" s="2965">
        <v>2612.96</v>
      </c>
      <c r="AE134" s="2965">
        <v>42777.279999999999</v>
      </c>
      <c r="AF134" s="2965">
        <v>11177.53</v>
      </c>
    </row>
    <row r="135" spans="1:32" ht="14.1" customHeight="1">
      <c r="A135" s="2966" t="s">
        <v>3225</v>
      </c>
      <c r="B135" s="2966" t="s">
        <v>3226</v>
      </c>
      <c r="C135" s="2966" t="s">
        <v>3450</v>
      </c>
      <c r="D135" s="2966" t="s">
        <v>3282</v>
      </c>
      <c r="E135" s="2966" t="s">
        <v>3282</v>
      </c>
      <c r="F135" s="2966" t="s">
        <v>3282</v>
      </c>
      <c r="G135" s="2966" t="s">
        <v>3282</v>
      </c>
      <c r="H135" s="2966"/>
      <c r="I135" s="2966">
        <v>44.04</v>
      </c>
      <c r="J135" s="2967">
        <v>52</v>
      </c>
      <c r="K135" s="2967">
        <v>3142.51</v>
      </c>
      <c r="L135" s="2967">
        <v>41405.74</v>
      </c>
      <c r="M135" s="2967">
        <v>13011.8</v>
      </c>
      <c r="N135" s="2967">
        <v>653</v>
      </c>
      <c r="O135" s="2967">
        <v>27904.23</v>
      </c>
      <c r="P135" s="2967">
        <v>34054.21</v>
      </c>
      <c r="Q135" s="2967">
        <v>95025.65</v>
      </c>
      <c r="R135" s="2967"/>
      <c r="S135" s="2967"/>
      <c r="T135" s="2967"/>
      <c r="U135" s="2967"/>
      <c r="V135" s="2967">
        <v>705</v>
      </c>
      <c r="W135" s="2967">
        <v>31046.74</v>
      </c>
      <c r="X135" s="2967">
        <v>34798.32</v>
      </c>
      <c r="Y135" s="2967">
        <v>108037.45</v>
      </c>
      <c r="Z135" s="2966" t="s">
        <v>3451</v>
      </c>
      <c r="AA135" s="2966" t="s">
        <v>3452</v>
      </c>
      <c r="AB135" s="2966" t="s">
        <v>3453</v>
      </c>
      <c r="AC135" s="2967">
        <v>56</v>
      </c>
      <c r="AD135" s="2967">
        <v>3310.61</v>
      </c>
      <c r="AE135" s="2967">
        <v>41042.04</v>
      </c>
      <c r="AF135" s="2967">
        <v>13587.42</v>
      </c>
    </row>
    <row r="136" spans="1:32" ht="14.1" customHeight="1">
      <c r="A136" s="2966" t="s">
        <v>3225</v>
      </c>
      <c r="B136" s="2966" t="s">
        <v>3454</v>
      </c>
      <c r="C136" s="2966"/>
      <c r="D136" s="2966"/>
      <c r="E136" s="2966"/>
      <c r="F136" s="2966"/>
      <c r="G136" s="2966"/>
      <c r="H136" s="2966"/>
      <c r="I136" s="2966">
        <v>38.46</v>
      </c>
      <c r="J136" s="2967">
        <v>3194</v>
      </c>
      <c r="K136" s="2967">
        <v>125561.31</v>
      </c>
      <c r="L136" s="2967">
        <v>28400.7</v>
      </c>
      <c r="M136" s="2967">
        <v>356602.92</v>
      </c>
      <c r="N136" s="2967">
        <v>2806</v>
      </c>
      <c r="O136" s="2967">
        <v>105217.54</v>
      </c>
      <c r="P136" s="2967">
        <v>32661.66</v>
      </c>
      <c r="Q136" s="2967">
        <v>343657.99</v>
      </c>
      <c r="R136" s="2967"/>
      <c r="S136" s="2967"/>
      <c r="T136" s="2967"/>
      <c r="U136" s="2967"/>
      <c r="V136" s="2967">
        <v>6000</v>
      </c>
      <c r="W136" s="2967">
        <v>230778.85</v>
      </c>
      <c r="X136" s="2967">
        <v>30343.37</v>
      </c>
      <c r="Y136" s="2967">
        <v>700260.91</v>
      </c>
      <c r="Z136" s="2966" t="s">
        <v>3455</v>
      </c>
      <c r="AA136" s="2966" t="s">
        <v>3456</v>
      </c>
      <c r="AB136" s="2966" t="s">
        <v>3457</v>
      </c>
      <c r="AC136" s="2967">
        <v>3183</v>
      </c>
      <c r="AD136" s="2967">
        <v>125129.44</v>
      </c>
      <c r="AE136" s="2967">
        <v>28417.52</v>
      </c>
      <c r="AF136" s="2967">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U13" sqref="U13:U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5"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1876</v>
      </c>
      <c r="AZ2" s="1263"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总面积!B17</f>
        <v>38798.11</v>
      </c>
      <c r="B3" s="14">
        <f>IF(C3="否",G5-AT5,G5)</f>
        <v>103416.51999999999</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5"/>
      <c r="C5" s="1795"/>
      <c r="D5" s="1798"/>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1889</v>
      </c>
      <c r="AV7" s="23" t="s">
        <v>1890</v>
      </c>
      <c r="AW7" s="2158" t="s">
        <v>1891</v>
      </c>
      <c r="AX7" s="23" t="s">
        <v>1884</v>
      </c>
      <c r="AY7" s="179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0"/>
      <c r="K8" s="1810"/>
      <c r="L8" s="1810"/>
      <c r="M8" s="1810"/>
      <c r="N8" s="1810"/>
      <c r="O8" s="1810"/>
      <c r="P8" s="1810"/>
      <c r="Q8" s="1810"/>
      <c r="R8" s="1810"/>
      <c r="S8" s="1810"/>
      <c r="T8" s="1810"/>
      <c r="U8" s="1810"/>
      <c r="V8" s="2178"/>
      <c r="W8" s="1810"/>
      <c r="X8" s="1810"/>
      <c r="Y8" s="1810"/>
      <c r="Z8" s="1810"/>
      <c r="AA8" s="2178"/>
      <c r="AB8" s="2179"/>
      <c r="AC8" s="974" t="s">
        <v>1895</v>
      </c>
      <c r="AD8" s="2180"/>
      <c r="AE8" s="2172"/>
      <c r="AF8" s="1810"/>
      <c r="AG8" s="1810"/>
      <c r="AH8" s="1810"/>
      <c r="AI8" s="1810"/>
      <c r="AJ8" s="1810"/>
      <c r="AK8" s="1810"/>
      <c r="AL8" s="1810"/>
      <c r="AM8" s="1810"/>
      <c r="AN8" s="1810"/>
      <c r="AO8" s="1810"/>
      <c r="AP8" s="1810"/>
      <c r="AQ8" s="1810"/>
      <c r="AR8" s="1810"/>
      <c r="AS8" s="1810"/>
      <c r="AT8" s="1285" t="s">
        <v>1896</v>
      </c>
      <c r="AU8" s="2174" t="s">
        <v>1897</v>
      </c>
      <c r="AV8" s="1285"/>
      <c r="AW8" s="2157"/>
      <c r="AX8" s="1285"/>
      <c r="AY8" s="2158"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85"/>
      <c r="H9" s="2182" t="s">
        <v>1900</v>
      </c>
      <c r="I9" s="2183" t="s">
        <v>3203</v>
      </c>
      <c r="J9" s="974"/>
      <c r="K9" s="2969" t="s">
        <v>3463</v>
      </c>
      <c r="L9" s="974"/>
      <c r="M9" s="2969" t="s">
        <v>3463</v>
      </c>
      <c r="N9" s="974"/>
      <c r="O9" s="2969" t="s">
        <v>3463</v>
      </c>
      <c r="P9" s="974"/>
      <c r="Q9" s="2969" t="s">
        <v>3463</v>
      </c>
      <c r="R9" s="974"/>
      <c r="S9" s="2969" t="s">
        <v>3470</v>
      </c>
      <c r="T9" s="974"/>
      <c r="U9" s="2969" t="s">
        <v>3470</v>
      </c>
      <c r="V9" s="974"/>
      <c r="W9" s="2969" t="s">
        <v>3470</v>
      </c>
      <c r="X9" s="2184"/>
      <c r="Y9" s="2183"/>
      <c r="Z9" s="974"/>
      <c r="AA9" s="2183"/>
      <c r="AB9" s="974"/>
      <c r="AC9" s="2175"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5"/>
      <c r="AT9" s="2174"/>
      <c r="AU9" s="2174" t="s">
        <v>1903</v>
      </c>
      <c r="AV9" s="1285"/>
      <c r="AW9" s="2157"/>
      <c r="AX9" s="1285"/>
      <c r="AY9" s="28"/>
      <c r="AZ9" s="28" t="s">
        <v>1893</v>
      </c>
      <c r="BA9" s="2186" t="s">
        <v>1904</v>
      </c>
      <c r="BB9" s="2187"/>
      <c r="BC9" s="1331"/>
      <c r="BD9" s="1331"/>
      <c r="BE9" s="1331"/>
      <c r="BF9" s="1331"/>
      <c r="BG9" s="1331"/>
      <c r="BH9" s="1331"/>
      <c r="BI9" s="1331"/>
      <c r="BJ9" s="1331"/>
      <c r="BK9" s="2188"/>
      <c r="BL9" s="15" t="s">
        <v>1905</v>
      </c>
      <c r="BM9" s="1810"/>
      <c r="BN9" s="2177"/>
      <c r="BO9" s="1810"/>
      <c r="BP9" s="1810"/>
      <c r="BQ9" s="1810"/>
      <c r="BR9" s="1810"/>
      <c r="BS9" s="1810"/>
      <c r="BT9" s="26"/>
    </row>
    <row r="10" spans="1:72" s="2181" customFormat="1" ht="12.75">
      <c r="A10" s="2174"/>
      <c r="B10" s="2174"/>
      <c r="C10" s="2174"/>
      <c r="D10" s="2174"/>
      <c r="E10" s="2174"/>
      <c r="F10" s="2174"/>
      <c r="G10" s="1285"/>
      <c r="H10" s="28"/>
      <c r="I10" s="2183" t="s">
        <v>27</v>
      </c>
      <c r="J10" s="974"/>
      <c r="K10" s="2970" t="s">
        <v>3464</v>
      </c>
      <c r="L10" s="974"/>
      <c r="M10" s="2970" t="s">
        <v>3466</v>
      </c>
      <c r="N10" s="974"/>
      <c r="O10" s="2970" t="s">
        <v>3466</v>
      </c>
      <c r="P10" s="974"/>
      <c r="Q10" s="2970" t="s">
        <v>3466</v>
      </c>
      <c r="R10" s="974"/>
      <c r="S10" s="2970" t="s">
        <v>3466</v>
      </c>
      <c r="T10" s="974"/>
      <c r="U10" s="2189" t="s">
        <v>3471</v>
      </c>
      <c r="V10" s="974"/>
      <c r="W10" s="2970" t="s">
        <v>3492</v>
      </c>
      <c r="X10" s="974"/>
      <c r="Y10" s="2189"/>
      <c r="Z10" s="974"/>
      <c r="AA10" s="2189"/>
      <c r="AB10" s="974"/>
      <c r="AC10" s="1285"/>
      <c r="AD10" s="15" t="s">
        <v>1906</v>
      </c>
      <c r="AE10" s="2190"/>
      <c r="AF10" s="15" t="s">
        <v>1906</v>
      </c>
      <c r="AG10" s="2190"/>
      <c r="AH10" s="15" t="s">
        <v>1907</v>
      </c>
      <c r="AI10" s="2190"/>
      <c r="AJ10" s="15" t="s">
        <v>1907</v>
      </c>
      <c r="AK10" s="2190"/>
      <c r="AL10" s="15" t="s">
        <v>1908</v>
      </c>
      <c r="AM10" s="1291"/>
      <c r="AN10" s="15" t="s">
        <v>1908</v>
      </c>
      <c r="AO10" s="1291"/>
      <c r="AP10" s="15" t="s">
        <v>1909</v>
      </c>
      <c r="AQ10" s="1291"/>
      <c r="AR10" s="15" t="s">
        <v>1909</v>
      </c>
      <c r="AS10" s="1291"/>
      <c r="AT10" s="2174"/>
      <c r="AU10" s="2174"/>
      <c r="AV10" s="1285"/>
      <c r="AW10" s="2157"/>
      <c r="AX10" s="1285"/>
      <c r="AY10" s="28"/>
      <c r="AZ10" s="28"/>
      <c r="BA10" s="2191" t="s">
        <v>1900</v>
      </c>
      <c r="BB10" s="2192"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85"/>
      <c r="H11" s="2191"/>
      <c r="I11" s="2194" t="s">
        <v>3462</v>
      </c>
      <c r="J11" s="2195"/>
      <c r="K11" s="2194" t="s">
        <v>3465</v>
      </c>
      <c r="L11" s="2195"/>
      <c r="M11" s="2194" t="s">
        <v>3467</v>
      </c>
      <c r="N11" s="2195"/>
      <c r="O11" s="2194" t="s">
        <v>3468</v>
      </c>
      <c r="P11" s="2195"/>
      <c r="Q11" s="2194" t="s">
        <v>3473</v>
      </c>
      <c r="R11" s="2195"/>
      <c r="S11" s="2194" t="s">
        <v>3469</v>
      </c>
      <c r="T11" s="2195"/>
      <c r="U11" s="2194"/>
      <c r="V11" s="2195"/>
      <c r="W11" s="2194" t="s">
        <v>3472</v>
      </c>
      <c r="X11" s="2195"/>
      <c r="Y11" s="2194"/>
      <c r="Z11" s="2195"/>
      <c r="AA11" s="2194"/>
      <c r="AB11" s="2195"/>
      <c r="AC11" s="1285"/>
      <c r="AD11" s="2196" t="s">
        <v>1910</v>
      </c>
      <c r="AE11" s="1811"/>
      <c r="AF11" s="2196" t="s">
        <v>1910</v>
      </c>
      <c r="AG11" s="1811"/>
      <c r="AH11" s="2196" t="s">
        <v>1911</v>
      </c>
      <c r="AI11" s="2197"/>
      <c r="AJ11" s="2196" t="s">
        <v>1911</v>
      </c>
      <c r="AK11" s="1811"/>
      <c r="AL11" s="1809"/>
      <c r="AM11" s="1811"/>
      <c r="AN11" s="1809"/>
      <c r="AO11" s="1811"/>
      <c r="AP11" s="1809"/>
      <c r="AQ11" s="1811"/>
      <c r="AR11" s="1809"/>
      <c r="AS11" s="1811"/>
      <c r="AT11" s="2157"/>
      <c r="AU11" s="2174"/>
      <c r="AV11" s="1285"/>
      <c r="AW11" s="2157"/>
      <c r="AX11" s="1285"/>
      <c r="AY11" s="28"/>
      <c r="AZ11" s="28"/>
      <c r="BA11" s="28"/>
      <c r="BB11" s="2179" t="str">
        <f>I10</f>
        <v>办公</v>
      </c>
      <c r="BC11" s="2179" t="str">
        <f>K10</f>
        <v>办公</v>
      </c>
      <c r="BD11" s="2179" t="str">
        <f>M10</f>
        <v>商业</v>
      </c>
      <c r="BE11" s="2179" t="str">
        <f>O10</f>
        <v>商业</v>
      </c>
      <c r="BF11" s="2179" t="str">
        <f>Q10</f>
        <v>商业</v>
      </c>
      <c r="BG11" s="2179" t="str">
        <f>S10</f>
        <v>商业</v>
      </c>
      <c r="BH11" s="2179" t="str">
        <f>U10</f>
        <v>仓储</v>
      </c>
      <c r="BI11" s="2179" t="str">
        <f>W10</f>
        <v>车库—办公</v>
      </c>
      <c r="BJ11" s="2179">
        <f>Y10</f>
        <v>0</v>
      </c>
      <c r="BK11" s="2179">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1"/>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办公LOFT（精装）</v>
      </c>
      <c r="BC12" s="2204" t="str">
        <f>K11</f>
        <v>办公LOFT（毛坯）</v>
      </c>
      <c r="BD12" s="2204" t="str">
        <f>M11</f>
        <v>商业LOFT（精装）</v>
      </c>
      <c r="BE12" s="2179" t="str">
        <f>O11</f>
        <v>商业LOFT（毛坯）</v>
      </c>
      <c r="BF12" s="2179" t="str">
        <f>Q11</f>
        <v>底商（毛坯）</v>
      </c>
      <c r="BG12" s="2179" t="str">
        <f>S11</f>
        <v>底商</v>
      </c>
      <c r="BH12" s="2179">
        <f>U11</f>
        <v>0</v>
      </c>
      <c r="BI12" s="2179" t="str">
        <f>W11</f>
        <v>车库</v>
      </c>
      <c r="BJ12" s="2179">
        <f>Y11</f>
        <v>0</v>
      </c>
      <c r="BK12" s="2179">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c r="A13" s="1265"/>
      <c r="B13" s="1265"/>
      <c r="C13" s="2962" t="s">
        <v>3195</v>
      </c>
      <c r="D13" s="2973" t="s">
        <v>3477</v>
      </c>
      <c r="E13" s="16">
        <f>IF($C$3="是",ROUND($A$3*G13/$B$3,2),ROUND($A$3*(G13-AT13)/$B$3,2))</f>
        <v>3036.85</v>
      </c>
      <c r="F13" s="32"/>
      <c r="G13" s="33">
        <f>H13+AC13+AT13</f>
        <v>8094.73</v>
      </c>
      <c r="H13" s="20">
        <f>SUMIF(I$12:AB$12,"总值",I13:AB13)</f>
        <v>8094.73</v>
      </c>
      <c r="I13" s="2205">
        <f>销控表!O121</f>
        <v>4307.96</v>
      </c>
      <c r="J13" s="2205"/>
      <c r="K13" s="2205"/>
      <c r="L13" s="2205"/>
      <c r="M13" s="2205">
        <f>销控表!O123</f>
        <v>802.75</v>
      </c>
      <c r="N13" s="2205"/>
      <c r="O13" s="2205"/>
      <c r="P13" s="2205"/>
      <c r="Q13" s="2205">
        <f>销控表!O127</f>
        <v>2164.85</v>
      </c>
      <c r="R13" s="2205"/>
      <c r="S13" s="2205">
        <f>销控表!O126</f>
        <v>521.76</v>
      </c>
      <c r="T13" s="2205"/>
      <c r="U13" s="2205">
        <f>销控表!O125</f>
        <v>297.41000000000003</v>
      </c>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v>
      </c>
      <c r="AY13" s="1798">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c r="A14" s="1265"/>
      <c r="B14" s="1265"/>
      <c r="C14" s="2962" t="s">
        <v>3196</v>
      </c>
      <c r="D14" s="2973" t="s">
        <v>3477</v>
      </c>
      <c r="E14" s="16">
        <f>IF($C$3="是",ROUND($A$3*G14/$B$3,2),ROUND($A$3*(G14-AT14)/$B$3,2))</f>
        <v>7431.8</v>
      </c>
      <c r="F14" s="32"/>
      <c r="G14" s="33">
        <f>H14+AC14+AT14</f>
        <v>19809.5</v>
      </c>
      <c r="H14" s="20">
        <f>SUMIF(I$12:AB$12,"总值",I14:AB14)</f>
        <v>19809.5</v>
      </c>
      <c r="I14" s="2205">
        <f>销控表!O128</f>
        <v>16064.74</v>
      </c>
      <c r="J14" s="2205"/>
      <c r="K14" s="2205"/>
      <c r="L14" s="2205"/>
      <c r="M14" s="2205">
        <f>销控表!O130</f>
        <v>1949.89</v>
      </c>
      <c r="N14" s="2205"/>
      <c r="O14" s="2205"/>
      <c r="P14" s="2205"/>
      <c r="Q14" s="2205">
        <f>销控表!O134</f>
        <v>793.48</v>
      </c>
      <c r="R14" s="2205"/>
      <c r="S14" s="2205"/>
      <c r="T14" s="2205"/>
      <c r="U14" s="2205">
        <f>销控表!O132</f>
        <v>1001.39</v>
      </c>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12#</v>
      </c>
      <c r="AY14" s="1798">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c r="A15" s="1265"/>
      <c r="B15" s="1265"/>
      <c r="C15" s="2962" t="s">
        <v>3197</v>
      </c>
      <c r="D15" s="2973" t="s">
        <v>3477</v>
      </c>
      <c r="E15" s="16">
        <f>IF($C$3="是",ROUND($A$3*G15/$B$3,2),ROUND($A$3*(G15-AT15)/$B$3,2))</f>
        <v>414.72</v>
      </c>
      <c r="F15" s="32"/>
      <c r="G15" s="33">
        <f>H15+AC15+AT15</f>
        <v>1105.44</v>
      </c>
      <c r="H15" s="20">
        <f>SUMIF(I$12:AB$12,"总值",I15:AB15)</f>
        <v>1105.44</v>
      </c>
      <c r="I15" s="2205">
        <f>销控表!O39</f>
        <v>157.38999999999999</v>
      </c>
      <c r="J15" s="2205"/>
      <c r="K15" s="2205"/>
      <c r="L15" s="2205"/>
      <c r="M15" s="2205">
        <f>销控表!O41</f>
        <v>110.05</v>
      </c>
      <c r="N15" s="2205"/>
      <c r="O15" s="2205">
        <f>销控表!O42</f>
        <v>88.91</v>
      </c>
      <c r="P15" s="2205"/>
      <c r="Q15" s="2205">
        <f>销控表!O44</f>
        <v>345.84</v>
      </c>
      <c r="R15" s="2205"/>
      <c r="S15" s="2205"/>
      <c r="T15" s="2205"/>
      <c r="U15" s="2205">
        <f>销控表!O43</f>
        <v>403.25</v>
      </c>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13#</v>
      </c>
      <c r="AY15" s="1798">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c r="A16" s="1265"/>
      <c r="B16" s="1265"/>
      <c r="C16" s="2962" t="s">
        <v>3198</v>
      </c>
      <c r="D16" s="2973" t="s">
        <v>3477</v>
      </c>
      <c r="E16" s="16">
        <f>IF($C$3="是",ROUND($A$3*G16/$B$3,2),ROUND($A$3*(G16-AT16)/$B$3,2))</f>
        <v>145.97999999999999</v>
      </c>
      <c r="F16" s="32"/>
      <c r="G16" s="33">
        <f>H16+AC16+AT16</f>
        <v>389.12</v>
      </c>
      <c r="H16" s="20">
        <f>SUMIF(I$12:AB$12,"总值",I16:AB16)</f>
        <v>389.12</v>
      </c>
      <c r="I16" s="2205">
        <f>销控表!O45</f>
        <v>94.8</v>
      </c>
      <c r="J16" s="2205"/>
      <c r="K16" s="2205"/>
      <c r="L16" s="2205"/>
      <c r="M16" s="2205"/>
      <c r="N16" s="2205"/>
      <c r="O16" s="2205"/>
      <c r="P16" s="2205"/>
      <c r="Q16" s="2205">
        <f>销控表!O50</f>
        <v>95.16</v>
      </c>
      <c r="R16" s="2205"/>
      <c r="S16" s="2205"/>
      <c r="T16" s="2205"/>
      <c r="U16" s="2205">
        <f>销控表!O49</f>
        <v>199.16</v>
      </c>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14#</v>
      </c>
      <c r="AY16" s="1798">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c r="A17" s="1265"/>
      <c r="B17" s="1265"/>
      <c r="C17" s="2962" t="s">
        <v>3199</v>
      </c>
      <c r="D17" s="2973" t="s">
        <v>3477</v>
      </c>
      <c r="E17" s="16">
        <f>IF($C$3="是",ROUND($A$3*G17/$B$3,2),ROUND($A$3*(G17-AT17)/$B$3,2))</f>
        <v>8245.56</v>
      </c>
      <c r="F17" s="32"/>
      <c r="G17" s="33">
        <f>H17+AC17+AT17</f>
        <v>21978.58</v>
      </c>
      <c r="H17" s="20">
        <f>SUMIF(I$12:AB$12,"总值",I17:AB17)</f>
        <v>21978.58</v>
      </c>
      <c r="I17" s="2205">
        <f>销控表!O90</f>
        <v>15930.72</v>
      </c>
      <c r="J17" s="2205"/>
      <c r="K17" s="2205"/>
      <c r="L17" s="2205"/>
      <c r="M17" s="2205">
        <f>销控表!O92</f>
        <v>1408.1</v>
      </c>
      <c r="N17" s="2205"/>
      <c r="O17" s="2205">
        <f>销控表!O93</f>
        <v>1069.72</v>
      </c>
      <c r="P17" s="2205"/>
      <c r="Q17" s="2205">
        <f>销控表!O96</f>
        <v>2567.64</v>
      </c>
      <c r="R17" s="2205"/>
      <c r="S17" s="2205"/>
      <c r="T17" s="2205"/>
      <c r="U17" s="2205">
        <f>销控表!O94</f>
        <v>1002.4</v>
      </c>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15#</v>
      </c>
      <c r="AY17" s="1798">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3200</v>
      </c>
      <c r="D18" s="2973" t="s">
        <v>3477</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3201</v>
      </c>
      <c r="D19" s="2973" t="s">
        <v>3477</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t="s">
        <v>3202</v>
      </c>
      <c r="D20" s="2973" t="s">
        <v>3477</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1"/>
      <c r="C21" s="2962"/>
      <c r="D21" s="2973" t="s">
        <v>3477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1"/>
      <c r="C22" s="2962"/>
      <c r="D22" s="2973" t="s">
        <v>3477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85"/>
      <c r="C1" s="1385"/>
      <c r="D1" s="1385"/>
      <c r="E1" s="1385"/>
      <c r="F1" s="1385"/>
      <c r="G1" s="1385"/>
      <c r="H1" s="1385"/>
      <c r="I1" s="1385"/>
      <c r="J1" s="1385"/>
      <c r="K1" s="1385"/>
      <c r="L1" s="1385"/>
      <c r="M1" s="1385"/>
      <c r="N1" s="1385"/>
      <c r="O1" s="1385"/>
      <c r="P1" s="1385"/>
    </row>
    <row r="2" spans="1:16" ht="15">
      <c r="A2" s="3095" t="s">
        <v>1940</v>
      </c>
      <c r="B2" s="3095"/>
      <c r="C2" s="3095"/>
      <c r="D2" s="960" t="s">
        <v>1916</v>
      </c>
      <c r="E2" s="2218" t="s">
        <v>1917</v>
      </c>
      <c r="F2" s="1385"/>
      <c r="G2" s="2219"/>
      <c r="H2" s="2220"/>
      <c r="I2" s="2221" t="s">
        <v>1941</v>
      </c>
      <c r="J2" s="1385"/>
      <c r="K2" s="1385"/>
      <c r="L2" s="1385"/>
      <c r="M2" s="1385"/>
      <c r="N2" s="1420"/>
      <c r="O2" s="1385"/>
      <c r="P2" s="1385"/>
    </row>
    <row r="3" spans="1:16" ht="15.75" thickBot="1">
      <c r="A3" s="3096" t="s">
        <v>1914</v>
      </c>
      <c r="B3" s="3096"/>
      <c r="C3" s="3096"/>
      <c r="D3" s="46">
        <f>'数据-基础表'!AY6</f>
        <v>38798.11</v>
      </c>
      <c r="E3" s="46">
        <f>'数据-基础表'!AZ5</f>
        <v>103416.51999999999</v>
      </c>
      <c r="F3" s="1385"/>
      <c r="G3" s="1392"/>
      <c r="H3" s="1240" t="s">
        <v>1915</v>
      </c>
      <c r="I3" s="55">
        <f>ROUND('数据-基础表'!B3/'数据-基础表'!A3,2)</f>
        <v>2.67</v>
      </c>
      <c r="J3" s="1385"/>
      <c r="K3" s="1385"/>
      <c r="L3" s="1385"/>
      <c r="M3" s="1385"/>
      <c r="N3" s="1420"/>
      <c r="O3" s="1385"/>
      <c r="P3" s="1385"/>
    </row>
    <row r="4" spans="1:16" ht="15">
      <c r="A4" s="3097"/>
      <c r="B4" s="3098"/>
      <c r="C4" s="3099"/>
      <c r="D4" s="2222" t="s">
        <v>1916</v>
      </c>
      <c r="E4" s="2223" t="s">
        <v>1917</v>
      </c>
      <c r="F4" s="1385"/>
      <c r="G4" s="2224" t="s">
        <v>1942</v>
      </c>
      <c r="H4" s="1240" t="s">
        <v>1922</v>
      </c>
      <c r="I4" s="55">
        <f>ROUND(SUMIF('数据-基础表'!I9:AS9,"地上",'数据-基础表'!I5:AS5)/'数据-基础表'!A3,2)</f>
        <v>2.48</v>
      </c>
      <c r="J4" s="1385"/>
      <c r="K4" s="1385"/>
      <c r="L4" s="1385"/>
      <c r="M4" s="1385"/>
      <c r="N4" s="1420"/>
      <c r="O4" s="1385"/>
      <c r="P4" s="1385"/>
    </row>
    <row r="5" spans="1:16">
      <c r="A5" s="47" t="s">
        <v>1918</v>
      </c>
      <c r="B5" s="3100" t="s">
        <v>1919</v>
      </c>
      <c r="C5" s="3100"/>
      <c r="D5" s="48">
        <f>ROUND($D$3*E5/$E$3,2)</f>
        <v>0</v>
      </c>
      <c r="E5" s="49">
        <f>SUMIF('数据-基础表'!$11:$11,"住宅",'数据-基础表'!$5:$5)</f>
        <v>0</v>
      </c>
      <c r="F5" s="1385"/>
      <c r="G5" s="1392"/>
      <c r="H5" s="1240" t="s">
        <v>1915</v>
      </c>
      <c r="I5" s="55">
        <f>ROUND(E31/D31,2)</f>
        <v>2.67</v>
      </c>
      <c r="J5" s="1385"/>
      <c r="K5" s="1385"/>
      <c r="L5" s="1385"/>
      <c r="M5" s="1385"/>
      <c r="N5" s="1385"/>
      <c r="O5" s="1385"/>
      <c r="P5" s="1385"/>
    </row>
    <row r="6" spans="1:16" ht="15" thickBot="1">
      <c r="A6" s="2225"/>
      <c r="B6" s="3100" t="s">
        <v>1920</v>
      </c>
      <c r="C6" s="3100"/>
      <c r="D6" s="48">
        <f>ROUND($D$3*E6/$E$3,2)</f>
        <v>38798.11</v>
      </c>
      <c r="E6" s="49">
        <f>E3-E5</f>
        <v>103416.51999999999</v>
      </c>
      <c r="F6" s="1385"/>
      <c r="G6" s="2226" t="s">
        <v>1921</v>
      </c>
      <c r="H6" s="1392" t="s">
        <v>1922</v>
      </c>
      <c r="I6" s="932">
        <f>ROUND(F31/D31,2)</f>
        <v>2.48</v>
      </c>
      <c r="J6" s="1385"/>
      <c r="K6" s="1385"/>
      <c r="L6" s="1385"/>
      <c r="M6" s="1385"/>
      <c r="N6" s="1385"/>
      <c r="O6" s="1385"/>
      <c r="P6" s="1385"/>
    </row>
    <row r="7" spans="1:16" ht="15">
      <c r="A7" s="3092"/>
      <c r="B7" s="3093"/>
      <c r="C7" s="3094"/>
      <c r="D7" s="2222" t="s">
        <v>1916</v>
      </c>
      <c r="E7" s="2227" t="s">
        <v>1923</v>
      </c>
      <c r="F7" s="1385"/>
      <c r="G7" s="2219" t="s">
        <v>1924</v>
      </c>
      <c r="H7" s="62"/>
      <c r="I7" s="413"/>
      <c r="J7" s="1385"/>
      <c r="K7" s="1385"/>
      <c r="L7" s="1385"/>
      <c r="M7" s="1385"/>
      <c r="N7" s="1385"/>
      <c r="O7" s="1385"/>
      <c r="P7" s="1385"/>
    </row>
    <row r="8" spans="1:16">
      <c r="A8" s="47" t="s">
        <v>1925</v>
      </c>
      <c r="B8" s="50" t="s">
        <v>1926</v>
      </c>
      <c r="C8" s="48" t="s">
        <v>1927</v>
      </c>
      <c r="D8" s="48">
        <f t="shared" ref="D8:D15" si="0">ROUND($D$3*E8/$E$3,2)</f>
        <v>36139.71</v>
      </c>
      <c r="E8" s="51">
        <f>SUMIF('数据-基础表'!BB10:BK10,"地上",'数据-基础表'!BB5:BK5)</f>
        <v>96330.540000000008</v>
      </c>
      <c r="F8" s="1385"/>
      <c r="G8" s="2228"/>
      <c r="H8" s="2228"/>
      <c r="I8" s="1385"/>
      <c r="J8" s="1385"/>
      <c r="K8" s="1385"/>
      <c r="L8" s="1385"/>
      <c r="M8" s="1385"/>
      <c r="N8" s="1385"/>
      <c r="O8" s="1385"/>
      <c r="P8" s="1385"/>
    </row>
    <row r="9" spans="1:16">
      <c r="A9" s="2229"/>
      <c r="B9" s="2230"/>
      <c r="C9" s="48" t="s">
        <v>1928</v>
      </c>
      <c r="D9" s="48">
        <f t="shared" si="0"/>
        <v>0</v>
      </c>
      <c r="E9" s="52">
        <v>0</v>
      </c>
      <c r="F9" s="1385"/>
      <c r="G9" s="2228"/>
      <c r="H9" s="2228"/>
      <c r="I9" s="1385"/>
      <c r="J9" s="1385"/>
      <c r="K9" s="1385"/>
      <c r="L9" s="1385"/>
      <c r="M9" s="1385"/>
      <c r="N9" s="1385"/>
      <c r="O9" s="1385"/>
      <c r="P9" s="1385"/>
    </row>
    <row r="10" spans="1:16">
      <c r="A10" s="2229"/>
      <c r="B10" s="2230"/>
      <c r="C10" s="48" t="s">
        <v>1937</v>
      </c>
      <c r="D10" s="48">
        <f t="shared" si="0"/>
        <v>195.75</v>
      </c>
      <c r="E10" s="51">
        <f>SUMPRODUCT(('数据-基础表'!BB10:BK10="地下")*('数据-基础表'!BB11:BK11="商业")*('数据-基础表'!BB5:BK5))</f>
        <v>521.76</v>
      </c>
      <c r="F10" s="1385"/>
      <c r="G10" s="2228"/>
      <c r="H10" s="2228"/>
      <c r="I10" s="1385"/>
      <c r="J10" s="1385"/>
      <c r="K10" s="1385"/>
      <c r="L10" s="1385"/>
      <c r="M10" s="1385"/>
      <c r="N10" s="1385"/>
      <c r="O10" s="1385"/>
      <c r="P10" s="1385"/>
    </row>
    <row r="11" spans="1:16">
      <c r="A11" s="2229"/>
      <c r="B11" s="2230"/>
      <c r="C11" s="48" t="s">
        <v>1929</v>
      </c>
      <c r="D11" s="48">
        <f t="shared" si="0"/>
        <v>0</v>
      </c>
      <c r="E11" s="51">
        <f>SUMPRODUCT(('数据-基础表'!BB10:BK10="地下")*('数据-基础表'!BB11:BK11="办公")*('数据-基础表'!BB5:BK5))+'数据-基础表'!BP5</f>
        <v>0</v>
      </c>
      <c r="F11" s="1385"/>
      <c r="G11" s="2228"/>
      <c r="H11" s="2228"/>
      <c r="I11" s="1385"/>
      <c r="J11" s="1385"/>
      <c r="K11" s="1385"/>
      <c r="L11" s="1385"/>
      <c r="M11" s="1385"/>
      <c r="N11" s="1385"/>
      <c r="O11" s="1385"/>
      <c r="P11" s="1385"/>
    </row>
    <row r="12" spans="1:16">
      <c r="A12" s="2229"/>
      <c r="B12" s="2230"/>
      <c r="C12" s="48" t="s">
        <v>1930</v>
      </c>
      <c r="D12" s="48">
        <f t="shared" si="0"/>
        <v>2462.66</v>
      </c>
      <c r="E12" s="51">
        <f>SUMPRODUCT(('数据-基础表'!BB10:BK10="地下")*('数据-基础表'!BB11:BK11="仓储")*('数据-基础表'!BB5:BK5))</f>
        <v>6564.2199999999993</v>
      </c>
      <c r="F12" s="1385"/>
      <c r="G12" s="2228"/>
      <c r="H12" s="2228"/>
      <c r="I12" s="1385"/>
      <c r="J12" s="1385"/>
      <c r="K12" s="1385"/>
      <c r="L12" s="1385"/>
      <c r="M12" s="1385"/>
      <c r="N12" s="1385"/>
      <c r="O12" s="1385"/>
      <c r="P12" s="1385"/>
    </row>
    <row r="13" spans="1:16">
      <c r="A13" s="2229"/>
      <c r="B13" s="2230"/>
      <c r="C13" s="48" t="s">
        <v>1931</v>
      </c>
      <c r="D13" s="48">
        <f t="shared" si="0"/>
        <v>0</v>
      </c>
      <c r="E13" s="51">
        <f>SUMPRODUCT(('数据-基础表'!BB10:BK10="地下")*('数据-基础表'!BB11:BK11="车库")*('数据-基础表'!BB5:BK5))</f>
        <v>0</v>
      </c>
      <c r="F13" s="1385"/>
      <c r="G13" s="2228"/>
      <c r="H13" s="2228"/>
      <c r="I13" s="1385"/>
      <c r="J13" s="1385"/>
      <c r="K13" s="1385"/>
      <c r="L13" s="1385"/>
      <c r="M13" s="1385"/>
      <c r="N13" s="1385"/>
      <c r="O13" s="1385"/>
      <c r="P13" s="1385"/>
    </row>
    <row r="14" spans="1:16">
      <c r="A14" s="2229"/>
      <c r="B14" s="2230"/>
      <c r="C14" s="48" t="s">
        <v>1943</v>
      </c>
      <c r="D14" s="48">
        <f t="shared" si="0"/>
        <v>0</v>
      </c>
      <c r="E14" s="51">
        <f>SUMPRODUCT(('数据-基础表'!BB10:BK10="地下")*('数据-基础表'!BB11:BK11="车库—商业")*('数据-基础表'!BB5:BK5))</f>
        <v>0</v>
      </c>
      <c r="F14" s="1385"/>
      <c r="G14" s="2228"/>
      <c r="H14" s="2228"/>
      <c r="I14" s="1385"/>
      <c r="J14" s="1385"/>
      <c r="K14" s="1385"/>
      <c r="L14" s="1385"/>
      <c r="M14" s="1385"/>
      <c r="N14" s="1385"/>
      <c r="O14" s="1385"/>
      <c r="P14" s="1385"/>
    </row>
    <row r="15" spans="1:16" ht="15" thickBot="1">
      <c r="A15" s="2229"/>
      <c r="B15" s="2230"/>
      <c r="C15" s="48" t="s">
        <v>1938</v>
      </c>
      <c r="D15" s="48">
        <f t="shared" si="0"/>
        <v>0</v>
      </c>
      <c r="E15" s="51">
        <f>SUMPRODUCT(('数据-基础表'!BB10:BK10="地下")*('数据-基础表'!BB11:BK11="车库—办公")*('数据-基础表'!BB5:BK5))</f>
        <v>0</v>
      </c>
      <c r="F15" s="1385"/>
      <c r="G15" s="2228"/>
      <c r="H15" s="2228"/>
      <c r="I15" s="1385"/>
      <c r="J15" s="1385"/>
      <c r="K15" s="1385"/>
      <c r="L15" s="1385"/>
      <c r="M15" s="1385"/>
      <c r="N15" s="1385"/>
      <c r="O15" s="1385"/>
      <c r="P15" s="1385"/>
    </row>
    <row r="16" spans="1:16" ht="15.75" thickBot="1">
      <c r="A16" s="2225"/>
      <c r="B16" s="2230"/>
      <c r="C16" s="50" t="s">
        <v>1932</v>
      </c>
      <c r="D16" s="50">
        <f>SUM(D8:D15)</f>
        <v>38798.119999999995</v>
      </c>
      <c r="E16" s="53">
        <f>SUM(E8:E15)</f>
        <v>103416.52</v>
      </c>
      <c r="F16" s="1385"/>
      <c r="G16" s="2228"/>
      <c r="H16" s="2231" t="s">
        <v>1944</v>
      </c>
      <c r="I16" s="2232"/>
      <c r="J16" s="1385"/>
      <c r="K16" s="3089" t="s">
        <v>1944</v>
      </c>
      <c r="L16" s="3090"/>
      <c r="M16" s="3090"/>
      <c r="N16" s="3090"/>
      <c r="O16" s="3090"/>
      <c r="P16" s="3091"/>
    </row>
    <row r="17" spans="1:19" ht="15">
      <c r="A17" s="2233" t="s">
        <v>1945</v>
      </c>
      <c r="B17" s="2234" t="s">
        <v>1946</v>
      </c>
      <c r="C17" s="2235" t="s">
        <v>1947</v>
      </c>
      <c r="D17" s="2236" t="s">
        <v>1935</v>
      </c>
      <c r="E17" s="2237" t="s">
        <v>1936</v>
      </c>
      <c r="F17" s="2238"/>
      <c r="G17" s="2239"/>
      <c r="H17" s="2240" t="s">
        <v>1948</v>
      </c>
      <c r="I17" s="2241" t="s">
        <v>1933</v>
      </c>
      <c r="J17" s="1385"/>
      <c r="K17" s="3086" t="s">
        <v>1949</v>
      </c>
      <c r="L17" s="3087"/>
      <c r="M17" s="3088"/>
      <c r="N17" s="3086" t="s">
        <v>1950</v>
      </c>
      <c r="O17" s="3087"/>
      <c r="P17" s="3088"/>
      <c r="R17" s="2219" t="s">
        <v>1951</v>
      </c>
      <c r="S17" s="62"/>
    </row>
    <row r="18" spans="1:19" ht="15">
      <c r="A18" s="2229"/>
      <c r="B18" s="2242"/>
      <c r="C18" s="2243"/>
      <c r="D18" s="2244"/>
      <c r="E18" s="2245" t="s">
        <v>1952</v>
      </c>
      <c r="F18" s="2246" t="s">
        <v>1953</v>
      </c>
      <c r="G18" s="2247" t="s">
        <v>1954</v>
      </c>
      <c r="H18" s="1255" t="s">
        <v>1955</v>
      </c>
      <c r="I18" s="2248" t="s">
        <v>1956</v>
      </c>
      <c r="J18" s="1385"/>
      <c r="K18" s="1255" t="s">
        <v>1957</v>
      </c>
      <c r="L18" s="2249" t="s">
        <v>1958</v>
      </c>
      <c r="M18" s="1039" t="s">
        <v>1959</v>
      </c>
      <c r="N18" s="1255" t="s">
        <v>1957</v>
      </c>
      <c r="O18" s="2249" t="s">
        <v>1958</v>
      </c>
      <c r="P18" s="1039" t="s">
        <v>1959</v>
      </c>
      <c r="R18" s="1240" t="s">
        <v>1960</v>
      </c>
      <c r="S18" s="1240" t="s">
        <v>1961</v>
      </c>
    </row>
    <row r="19" spans="1:19">
      <c r="A19" s="2250"/>
      <c r="B19" s="50" t="s">
        <v>1934</v>
      </c>
      <c r="C19" s="2968" t="s">
        <v>3460</v>
      </c>
      <c r="D19" s="48">
        <f>ROUND($D$3*E19/$E$3,2)</f>
        <v>28479.52</v>
      </c>
      <c r="E19" s="56">
        <f t="shared" ref="E19:E26" si="1">SUM(F19:G19)</f>
        <v>75912.28</v>
      </c>
      <c r="F19" s="57">
        <f>SUM('数据-基础表'!I13:I20)</f>
        <v>75912.28</v>
      </c>
      <c r="G19" s="58"/>
      <c r="H19" s="716">
        <f>ROUND($D$3*I19/$E$3,2)</f>
        <v>0</v>
      </c>
      <c r="I19" s="51">
        <f t="shared" ref="I19:I26" si="2">IF($I$17="自定义",P19,M19)</f>
        <v>0</v>
      </c>
      <c r="J19" s="1385"/>
      <c r="K19" s="1384">
        <f t="shared" ref="K19:K26" si="3">ROUND(E$28*E19/E$27,2)</f>
        <v>0</v>
      </c>
      <c r="L19" s="1240">
        <f t="shared" ref="L19:L26" si="4">ROUND(IF(COUNTIF(C19,"*住宅*")&gt;0,E$29*E19/E$32,0),2)</f>
        <v>0</v>
      </c>
      <c r="M19" s="1396">
        <f>K19+L19</f>
        <v>0</v>
      </c>
      <c r="N19" s="2251"/>
      <c r="O19" s="2252"/>
      <c r="P19" s="1396">
        <f>N19+O19</f>
        <v>0</v>
      </c>
      <c r="R19" s="1240">
        <f t="shared" ref="R19:S26" si="5">D19+H19</f>
        <v>28479.52</v>
      </c>
      <c r="S19" s="1241">
        <f t="shared" si="5"/>
        <v>75912.28</v>
      </c>
    </row>
    <row r="20" spans="1:19">
      <c r="A20" s="2253"/>
      <c r="B20" s="50" t="s">
        <v>1962</v>
      </c>
      <c r="C20" s="2968"/>
      <c r="D20" s="48">
        <f t="shared" ref="D20:D26" si="6">ROUND($D$3*E20/$E$3,2)</f>
        <v>0</v>
      </c>
      <c r="E20" s="56">
        <f t="shared" si="1"/>
        <v>0</v>
      </c>
      <c r="F20" s="57"/>
      <c r="G20" s="58"/>
      <c r="H20" s="716">
        <f t="shared" ref="H20:H26" si="7">ROUND($D$3*I20/$E$3,2)</f>
        <v>0</v>
      </c>
      <c r="I20" s="51">
        <f t="shared" si="2"/>
        <v>0</v>
      </c>
      <c r="J20" s="1385"/>
      <c r="K20" s="1384">
        <f t="shared" si="3"/>
        <v>0</v>
      </c>
      <c r="L20" s="1240">
        <f t="shared" si="4"/>
        <v>0</v>
      </c>
      <c r="M20" s="1396">
        <f t="shared" ref="M20:M26" si="8">K20+L20</f>
        <v>0</v>
      </c>
      <c r="N20" s="2251"/>
      <c r="O20" s="2252"/>
      <c r="P20" s="1396">
        <f t="shared" ref="P20:P26" si="9">N20+O20</f>
        <v>0</v>
      </c>
      <c r="R20" s="1240">
        <f t="shared" si="5"/>
        <v>0</v>
      </c>
      <c r="S20" s="1241">
        <f t="shared" si="5"/>
        <v>0</v>
      </c>
    </row>
    <row r="21" spans="1:19">
      <c r="A21" s="2253"/>
      <c r="B21" s="50" t="s">
        <v>1962</v>
      </c>
      <c r="C21" s="2968" t="s">
        <v>3461</v>
      </c>
      <c r="D21" s="48">
        <f t="shared" si="6"/>
        <v>4813.8900000000003</v>
      </c>
      <c r="E21" s="56">
        <f t="shared" si="1"/>
        <v>12831.44</v>
      </c>
      <c r="F21" s="57">
        <f>SUM('数据-基础表'!M13:M20)+SUM('数据-基础表'!O13:O20)</f>
        <v>12831.44</v>
      </c>
      <c r="G21" s="58"/>
      <c r="H21" s="716">
        <f t="shared" si="7"/>
        <v>0</v>
      </c>
      <c r="I21" s="51">
        <f t="shared" si="2"/>
        <v>0</v>
      </c>
      <c r="J21" s="1385"/>
      <c r="K21" s="1384">
        <f t="shared" si="3"/>
        <v>0</v>
      </c>
      <c r="L21" s="1240">
        <f t="shared" si="4"/>
        <v>0</v>
      </c>
      <c r="M21" s="1396">
        <f t="shared" si="8"/>
        <v>0</v>
      </c>
      <c r="N21" s="2251"/>
      <c r="O21" s="2252"/>
      <c r="P21" s="1396">
        <f t="shared" si="9"/>
        <v>0</v>
      </c>
      <c r="R21" s="1240">
        <f t="shared" si="5"/>
        <v>4813.8900000000003</v>
      </c>
      <c r="S21" s="1241">
        <f t="shared" si="5"/>
        <v>12831.44</v>
      </c>
    </row>
    <row r="22" spans="1:19">
      <c r="A22" s="2253"/>
      <c r="B22" s="50" t="s">
        <v>1962</v>
      </c>
      <c r="C22" s="2968" t="s">
        <v>3459</v>
      </c>
      <c r="D22" s="48">
        <f t="shared" si="6"/>
        <v>0</v>
      </c>
      <c r="E22" s="56">
        <f t="shared" si="1"/>
        <v>0</v>
      </c>
      <c r="F22" s="60"/>
      <c r="G22" s="61"/>
      <c r="H22" s="716">
        <f t="shared" si="7"/>
        <v>0</v>
      </c>
      <c r="I22" s="51">
        <f t="shared" si="2"/>
        <v>0</v>
      </c>
      <c r="J22" s="1385"/>
      <c r="K22" s="1384">
        <f t="shared" si="3"/>
        <v>0</v>
      </c>
      <c r="L22" s="1240">
        <f t="shared" si="4"/>
        <v>0</v>
      </c>
      <c r="M22" s="1396">
        <f t="shared" si="8"/>
        <v>0</v>
      </c>
      <c r="N22" s="2251"/>
      <c r="O22" s="2252"/>
      <c r="P22" s="1396">
        <f t="shared" si="9"/>
        <v>0</v>
      </c>
      <c r="R22" s="1240">
        <f t="shared" si="5"/>
        <v>0</v>
      </c>
      <c r="S22" s="1241">
        <f t="shared" si="5"/>
        <v>0</v>
      </c>
    </row>
    <row r="23" spans="1:19">
      <c r="A23" s="2253"/>
      <c r="B23" s="50" t="s">
        <v>1962</v>
      </c>
      <c r="C23" s="2972" t="s">
        <v>3475</v>
      </c>
      <c r="D23" s="48">
        <f>ROUND($D$3*E23/$E$3,2)</f>
        <v>2846.3</v>
      </c>
      <c r="E23" s="56">
        <f>SUM(F23:G23)</f>
        <v>7586.82</v>
      </c>
      <c r="F23" s="60">
        <f>SUM('数据-基础表'!Q13:Q20)</f>
        <v>7586.82</v>
      </c>
      <c r="G23" s="61"/>
      <c r="H23" s="716">
        <f>ROUND($D$3*I23/$E$3,2)</f>
        <v>0</v>
      </c>
      <c r="I23" s="51">
        <f t="shared" si="2"/>
        <v>0</v>
      </c>
      <c r="J23" s="1385"/>
      <c r="K23" s="1384">
        <f t="shared" si="3"/>
        <v>0</v>
      </c>
      <c r="L23" s="1240">
        <f t="shared" si="4"/>
        <v>0</v>
      </c>
      <c r="M23" s="1396">
        <f t="shared" si="8"/>
        <v>0</v>
      </c>
      <c r="N23" s="2251"/>
      <c r="O23" s="2252"/>
      <c r="P23" s="1396">
        <f t="shared" si="9"/>
        <v>0</v>
      </c>
      <c r="R23" s="1240">
        <f t="shared" si="5"/>
        <v>2846.3</v>
      </c>
      <c r="S23" s="1241">
        <f t="shared" si="5"/>
        <v>7586.82</v>
      </c>
    </row>
    <row r="24" spans="1:19">
      <c r="A24" s="2253"/>
      <c r="B24" s="50" t="s">
        <v>1962</v>
      </c>
      <c r="C24" s="2972" t="s">
        <v>3479</v>
      </c>
      <c r="D24" s="48">
        <f>ROUND($D$3*E24/$E$3,2)</f>
        <v>195.75</v>
      </c>
      <c r="E24" s="56">
        <f>SUM(F24:G24)</f>
        <v>521.76</v>
      </c>
      <c r="F24" s="60"/>
      <c r="G24" s="61">
        <f>SUM('数据-基础表'!S13:S22)</f>
        <v>521.76</v>
      </c>
      <c r="H24" s="716">
        <f>ROUND($D$3*I24/$E$3,2)</f>
        <v>0</v>
      </c>
      <c r="I24" s="51">
        <f t="shared" si="2"/>
        <v>0</v>
      </c>
      <c r="J24" s="1385"/>
      <c r="K24" s="1384">
        <f t="shared" si="3"/>
        <v>0</v>
      </c>
      <c r="L24" s="1240">
        <f t="shared" si="4"/>
        <v>0</v>
      </c>
      <c r="M24" s="1396">
        <f t="shared" si="8"/>
        <v>0</v>
      </c>
      <c r="N24" s="2251"/>
      <c r="O24" s="2252"/>
      <c r="P24" s="1396">
        <f t="shared" si="9"/>
        <v>0</v>
      </c>
      <c r="R24" s="1240">
        <f t="shared" si="5"/>
        <v>195.75</v>
      </c>
      <c r="S24" s="1241">
        <f t="shared" si="5"/>
        <v>521.76</v>
      </c>
    </row>
    <row r="25" spans="1:19">
      <c r="A25" s="2253"/>
      <c r="B25" s="50" t="s">
        <v>1962</v>
      </c>
      <c r="C25" s="2972" t="s">
        <v>3480</v>
      </c>
      <c r="D25" s="48">
        <f t="shared" si="6"/>
        <v>2462.66</v>
      </c>
      <c r="E25" s="56">
        <f t="shared" si="1"/>
        <v>6564.2199999999993</v>
      </c>
      <c r="F25" s="60"/>
      <c r="G25" s="61">
        <f>SUM('数据-基础表'!U13:U22)</f>
        <v>6564.2199999999993</v>
      </c>
      <c r="H25" s="47">
        <f t="shared" si="7"/>
        <v>0</v>
      </c>
      <c r="I25" s="51">
        <f t="shared" si="2"/>
        <v>0</v>
      </c>
      <c r="J25" s="1385"/>
      <c r="K25" s="1384">
        <f t="shared" si="3"/>
        <v>0</v>
      </c>
      <c r="L25" s="1240">
        <f t="shared" si="4"/>
        <v>0</v>
      </c>
      <c r="M25" s="1396">
        <f t="shared" si="8"/>
        <v>0</v>
      </c>
      <c r="N25" s="2251"/>
      <c r="O25" s="2252"/>
      <c r="P25" s="1396">
        <f t="shared" si="9"/>
        <v>0</v>
      </c>
      <c r="R25" s="1240">
        <f t="shared" si="5"/>
        <v>2462.66</v>
      </c>
      <c r="S25" s="1241">
        <f t="shared" si="5"/>
        <v>6564.2199999999993</v>
      </c>
    </row>
    <row r="26" spans="1:19">
      <c r="A26" s="2253"/>
      <c r="B26" s="50" t="s">
        <v>1962</v>
      </c>
      <c r="C26" s="2974"/>
      <c r="D26" s="48">
        <f t="shared" si="6"/>
        <v>0</v>
      </c>
      <c r="E26" s="56">
        <f t="shared" si="1"/>
        <v>0</v>
      </c>
      <c r="F26" s="60"/>
      <c r="G26" s="61"/>
      <c r="H26" s="47">
        <f t="shared" si="7"/>
        <v>0</v>
      </c>
      <c r="I26" s="51">
        <f t="shared" si="2"/>
        <v>0</v>
      </c>
      <c r="J26" s="1385"/>
      <c r="K26" s="1391">
        <f t="shared" si="3"/>
        <v>0</v>
      </c>
      <c r="L26" s="1392">
        <f t="shared" si="4"/>
        <v>0</v>
      </c>
      <c r="M26" s="65">
        <f t="shared" si="8"/>
        <v>0</v>
      </c>
      <c r="N26" s="2254"/>
      <c r="O26" s="2255"/>
      <c r="P26" s="65">
        <f t="shared" si="9"/>
        <v>0</v>
      </c>
      <c r="R26" s="1240">
        <f t="shared" si="5"/>
        <v>0</v>
      </c>
      <c r="S26" s="1241">
        <f t="shared" si="5"/>
        <v>0</v>
      </c>
    </row>
    <row r="27" spans="1:19" ht="29.25" thickBot="1">
      <c r="A27" s="2253"/>
      <c r="B27" s="48"/>
      <c r="C27" s="2256" t="s">
        <v>1963</v>
      </c>
      <c r="D27" s="1386">
        <f>SUM(D19:D26)</f>
        <v>38798.12000000001</v>
      </c>
      <c r="E27" s="1387">
        <f>IF(SUM(E19:E26)='数据-基础表'!BA5,SUM(E19:E26),IF(F27="地上面积有误","面积有误","地下面积有误"))</f>
        <v>103416.52</v>
      </c>
      <c r="F27" s="1386">
        <f>IF(SUM(F19:F26)=E8,SUM(F19:F26),"地上面积有误")</f>
        <v>96330.540000000008</v>
      </c>
      <c r="G27" s="1388">
        <f>SUM(G19:G26)</f>
        <v>7085.98</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38798.12误差0.01</v>
      </c>
      <c r="S27" s="1240">
        <f>IF(SUM(S19:S26)=$E$3,SUM(S19:S26),SUM(S19:S26)&amp;"误差"&amp;ROUND(SUM(S19:S26)-E3,2))</f>
        <v>103416.52</v>
      </c>
    </row>
    <row r="28" spans="1:19">
      <c r="A28" s="2253"/>
      <c r="B28" s="50" t="s">
        <v>1964</v>
      </c>
      <c r="C28" s="1252" t="s">
        <v>1965</v>
      </c>
      <c r="D28" s="48">
        <f>ROUND($D$3*E28/$E$3,2)</f>
        <v>0</v>
      </c>
      <c r="E28" s="56">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3"/>
      <c r="B29" s="50" t="s">
        <v>1964</v>
      </c>
      <c r="C29" s="2257" t="s">
        <v>1966</v>
      </c>
      <c r="D29" s="48">
        <f>ROUND($D$3*E29/$E$3,2)</f>
        <v>0</v>
      </c>
      <c r="E29" s="56">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3"/>
      <c r="B30" s="50"/>
      <c r="C30" s="2258"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9"/>
      <c r="B31" s="2260"/>
      <c r="C31" s="1000" t="s">
        <v>1967</v>
      </c>
      <c r="D31" s="722">
        <f>D27+D30</f>
        <v>38798.12000000001</v>
      </c>
      <c r="E31" s="722">
        <f>E27+E30</f>
        <v>103416.52</v>
      </c>
      <c r="F31" s="723">
        <f>F27+F30</f>
        <v>96330.540000000008</v>
      </c>
      <c r="G31" s="724">
        <f>G27+G30</f>
        <v>7085.98</v>
      </c>
      <c r="H31" s="1385"/>
      <c r="I31" s="1385"/>
      <c r="J31" s="1385"/>
      <c r="K31" s="1385"/>
      <c r="L31" s="1385"/>
      <c r="M31" s="1385"/>
      <c r="N31" s="1385"/>
      <c r="O31" s="1385"/>
      <c r="P31" s="1385"/>
    </row>
    <row r="32" spans="1:19">
      <c r="A32" s="2224"/>
      <c r="B32" s="2224" t="s">
        <v>1968</v>
      </c>
      <c r="C32" s="2224"/>
      <c r="D32" s="2224"/>
      <c r="E32" s="1267">
        <f>SUMIF(C19:C26,"*住宅*",E19:E26)</f>
        <v>0</v>
      </c>
      <c r="F32" s="2224"/>
      <c r="G32" s="2224"/>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11" sqref="A11:XFD1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6.25" style="2264" customWidth="1"/>
    <col min="41" max="41" width="11.625" style="2264" customWidth="1"/>
    <col min="42" max="42" width="9.75" style="2264" customWidth="1"/>
    <col min="43" max="67" width="13.75" style="2264"/>
    <col min="68" max="16384" width="13.75" style="2265"/>
  </cols>
  <sheetData>
    <row r="1" spans="1:67" ht="19.5" thickBot="1">
      <c r="A1" s="2262" t="s">
        <v>1969</v>
      </c>
      <c r="B1" s="725"/>
      <c r="C1" s="1573"/>
      <c r="D1" s="2263"/>
      <c r="E1" s="1573"/>
      <c r="F1" s="1573"/>
      <c r="G1" s="1573"/>
      <c r="H1" s="1573"/>
      <c r="I1" s="1573"/>
      <c r="J1" s="1573"/>
      <c r="K1" s="161"/>
      <c r="L1" s="16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6" t="s">
        <v>1970</v>
      </c>
      <c r="B2" s="1259">
        <f>项目基本情况!D3</f>
        <v>43168</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6" t="s">
        <v>1971</v>
      </c>
      <c r="B4" s="2271"/>
      <c r="C4" s="2272"/>
      <c r="D4" s="2273"/>
      <c r="E4" s="2272" t="s">
        <v>1972</v>
      </c>
      <c r="F4" s="2272"/>
      <c r="G4" s="2272"/>
      <c r="H4" s="2272"/>
      <c r="I4" s="2272"/>
      <c r="J4" s="2274"/>
      <c r="K4" s="2275"/>
      <c r="L4" s="2276"/>
      <c r="M4" s="2272"/>
      <c r="N4" s="2272" t="s">
        <v>1973</v>
      </c>
      <c r="O4" s="2272"/>
      <c r="P4" s="2272"/>
      <c r="Q4" s="2272"/>
      <c r="R4" s="2272"/>
      <c r="S4" s="2274"/>
      <c r="T4" s="2277" t="str">
        <f>'数据-汇总表'!I17</f>
        <v>按面积比例</v>
      </c>
      <c r="U4" s="2271" t="s">
        <v>1974</v>
      </c>
      <c r="V4" s="2272"/>
      <c r="W4" s="2272"/>
      <c r="X4" s="2272"/>
      <c r="Y4" s="2274"/>
      <c r="Z4" s="2235" t="s">
        <v>1975</v>
      </c>
      <c r="AA4" s="2235"/>
      <c r="AB4" s="2235"/>
      <c r="AC4" s="2235"/>
      <c r="AD4" s="2235"/>
      <c r="AE4" s="2233" t="s">
        <v>1976</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1977</v>
      </c>
      <c r="B5" s="2280" t="s">
        <v>1978</v>
      </c>
      <c r="C5" s="2281" t="s">
        <v>1979</v>
      </c>
      <c r="D5" s="2282" t="s">
        <v>1980</v>
      </c>
      <c r="E5" s="1261" t="s">
        <v>1981</v>
      </c>
      <c r="F5" s="2283" t="s">
        <v>1982</v>
      </c>
      <c r="G5" s="1261" t="s">
        <v>1983</v>
      </c>
      <c r="H5" s="1261" t="s">
        <v>1984</v>
      </c>
      <c r="I5" s="1261" t="s">
        <v>1985</v>
      </c>
      <c r="J5" s="2284" t="s">
        <v>1986</v>
      </c>
      <c r="K5" s="2285" t="s">
        <v>1987</v>
      </c>
      <c r="L5" s="2286" t="s">
        <v>1988</v>
      </c>
      <c r="M5" s="2287" t="s">
        <v>1989</v>
      </c>
      <c r="N5" s="2288" t="s">
        <v>1990</v>
      </c>
      <c r="O5" s="2286" t="s">
        <v>1991</v>
      </c>
      <c r="P5" s="2289" t="s">
        <v>1992</v>
      </c>
      <c r="Q5" s="67" t="s">
        <v>1993</v>
      </c>
      <c r="R5" s="2290" t="s">
        <v>1994</v>
      </c>
      <c r="S5" s="2291" t="s">
        <v>1995</v>
      </c>
      <c r="T5" s="2292" t="s">
        <v>1996</v>
      </c>
      <c r="U5" s="1260" t="s">
        <v>1997</v>
      </c>
      <c r="V5" s="1261" t="s">
        <v>1998</v>
      </c>
      <c r="W5" s="1261" t="s">
        <v>1999</v>
      </c>
      <c r="X5" s="69"/>
      <c r="Y5" s="68" t="s">
        <v>2000</v>
      </c>
      <c r="Z5" s="2293" t="s">
        <v>1997</v>
      </c>
      <c r="AA5" s="1261" t="s">
        <v>1998</v>
      </c>
      <c r="AB5" s="1261" t="s">
        <v>1999</v>
      </c>
      <c r="AC5" s="69"/>
      <c r="AD5" s="69" t="s">
        <v>2000</v>
      </c>
      <c r="AE5" s="1260" t="s">
        <v>2001</v>
      </c>
      <c r="AF5" s="1261" t="s">
        <v>2002</v>
      </c>
      <c r="AG5" s="68" t="s">
        <v>2003</v>
      </c>
      <c r="AH5" s="1260" t="s">
        <v>2004</v>
      </c>
      <c r="AI5" s="2293" t="s">
        <v>2005</v>
      </c>
      <c r="AJ5" s="2293" t="s">
        <v>2006</v>
      </c>
      <c r="AK5" s="1261" t="s">
        <v>2007</v>
      </c>
      <c r="AL5" s="1261" t="s">
        <v>2008</v>
      </c>
      <c r="AM5" s="68" t="s">
        <v>2009</v>
      </c>
      <c r="AN5" s="2294" t="s">
        <v>2010</v>
      </c>
      <c r="AO5" s="2066" t="s">
        <v>2011</v>
      </c>
      <c r="AP5" s="1242" t="s">
        <v>2012</v>
      </c>
      <c r="AQ5" s="2295" t="s">
        <v>2013</v>
      </c>
      <c r="AR5" s="2295"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3" customFormat="1" ht="14.25">
      <c r="A6" s="2296" t="str">
        <f>'数据-汇总表'!C19</f>
        <v>办公LOFT（精装）</v>
      </c>
      <c r="B6" s="2297" t="str">
        <f>IF(A6=0,"","经营性")</f>
        <v>经营性</v>
      </c>
      <c r="C6" s="2298"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0.05</v>
      </c>
      <c r="J6" s="72">
        <v>8.5000000000000006E-2</v>
      </c>
      <c r="K6" s="1244">
        <f>SUMIF('数据-汇总表'!C$19:C$33,A6,'数据-汇总表'!E$19:E$33)</f>
        <v>75912.28</v>
      </c>
      <c r="L6" s="796">
        <v>3200</v>
      </c>
      <c r="M6" s="73">
        <f t="shared" ref="M6:M14" si="0">ROUND(K6*L6/10000,0)</f>
        <v>24292</v>
      </c>
      <c r="N6" s="794">
        <v>0.7</v>
      </c>
      <c r="O6" s="73">
        <f>IF($N$5="成新度","——",ROUND(M6*N6,0))</f>
        <v>17004</v>
      </c>
      <c r="P6" s="74">
        <f>IF($N$5="成新度","——",M6-O6)</f>
        <v>7288</v>
      </c>
      <c r="Q6" s="797">
        <v>0.2</v>
      </c>
      <c r="R6" s="75">
        <f ca="1">SUMIF('数据-汇总表'!C$19:C$33,A6,'数据-汇总表'!R$19:R$27)</f>
        <v>28479.52</v>
      </c>
      <c r="S6" s="54">
        <f>IF('数据-汇总表'!$I$17="按面积比例",SUMIF('数据-汇总表'!C$19:C$33,A6,'数据-汇总表'!K$19:K$33),SUMIF('数据-汇总表'!C$19:C$33,A6,'数据-汇总表'!N$19:N$33))</f>
        <v>0</v>
      </c>
      <c r="T6" s="1436">
        <f>ROUND($L$14*S6/10000,0)</f>
        <v>0</v>
      </c>
      <c r="U6" s="76">
        <v>4.5</v>
      </c>
      <c r="V6" s="77">
        <v>0</v>
      </c>
      <c r="W6" s="77">
        <v>0.1</v>
      </c>
      <c r="X6" s="1254"/>
      <c r="Y6" s="78">
        <v>1</v>
      </c>
      <c r="Z6" s="79"/>
      <c r="AA6" s="72"/>
      <c r="AB6" s="72"/>
      <c r="AC6" s="1254"/>
      <c r="AD6" s="80"/>
      <c r="AE6" s="1255">
        <f ca="1">IF(AN6="",0,SUMIF(INDIRECT("'"&amp;AN6&amp;"'"&amp;"!E:E"),$AE$5,INDIRECT("'"&amp;AN6&amp;"'"&amp;"!F:F")))</f>
        <v>46.65</v>
      </c>
      <c r="AF6" s="1796"/>
      <c r="AG6" s="140">
        <f>IF(AF6="",0,AE6-AF6)</f>
        <v>0</v>
      </c>
      <c r="AH6" s="81"/>
      <c r="AI6" s="83">
        <v>365</v>
      </c>
      <c r="AJ6" s="85">
        <v>1.2E-2</v>
      </c>
      <c r="AK6" s="85">
        <v>1.4999999999999999E-2</v>
      </c>
      <c r="AL6" s="86">
        <v>1.5E-3</v>
      </c>
      <c r="AM6" s="87">
        <v>0.01</v>
      </c>
      <c r="AN6" s="2299" t="s">
        <v>3583</v>
      </c>
      <c r="AO6" s="55">
        <f ca="1">SUMIF(INDIRECT("'"&amp;AN6&amp;"'"&amp;"!A:A"),"总价",INDIRECT("'"&amp;AN6&amp;"'"&amp;"!B:B"))</f>
        <v>172104</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f>'数据-汇总表'!C20</f>
        <v>0</v>
      </c>
      <c r="B7" s="2297" t="str">
        <f t="shared" ref="B7:B13" si="1">IF(A7=0,"","经营性")</f>
        <v/>
      </c>
      <c r="C7" s="2298"/>
      <c r="D7" s="1044">
        <f>SUMIF(项目基本情况!D$12:I$12,C7,项目基本情况!D$14:I$14)</f>
        <v>0</v>
      </c>
      <c r="E7" s="1041"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5"/>
      <c r="I7" s="795">
        <v>0.05</v>
      </c>
      <c r="J7" s="72"/>
      <c r="K7" s="1244">
        <f>SUMIF('数据-汇总表'!C$19:C$33,A7,'数据-汇总表'!E$19:E$33)</f>
        <v>0</v>
      </c>
      <c r="L7" s="796"/>
      <c r="M7" s="73">
        <f t="shared" si="0"/>
        <v>0</v>
      </c>
      <c r="N7" s="794"/>
      <c r="O7" s="73">
        <f t="shared" ref="O7:O14" si="3">IF($N$5="成新度","——",ROUND(M7*N7,0))</f>
        <v>0</v>
      </c>
      <c r="P7" s="74">
        <f t="shared" ref="P7:P14" si="4">IF($N$5="成新度","——",M7-O7)</f>
        <v>0</v>
      </c>
      <c r="Q7" s="797"/>
      <c r="R7" s="75">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6"/>
      <c r="V7" s="77"/>
      <c r="W7" s="77"/>
      <c r="X7" s="1254"/>
      <c r="Y7" s="78"/>
      <c r="Z7" s="79"/>
      <c r="AA7" s="72"/>
      <c r="AB7" s="72"/>
      <c r="AC7" s="1254"/>
      <c r="AD7" s="80"/>
      <c r="AE7" s="1255">
        <f t="shared" ref="AE7:AE13" ca="1" si="6">IF(AN7="",0,SUMIF(INDIRECT("'"&amp;AN7&amp;"'"&amp;"!E:E"),$AE$5,INDIRECT("'"&amp;AN7&amp;"'"&amp;"!F:F")))</f>
        <v>0</v>
      </c>
      <c r="AF7" s="1796"/>
      <c r="AG7" s="140">
        <f t="shared" ref="AG7:AG13" si="7">IF(AF7="",0,AE7-AF7)</f>
        <v>0</v>
      </c>
      <c r="AH7" s="81"/>
      <c r="AI7" s="83"/>
      <c r="AJ7" s="84"/>
      <c r="AK7" s="85"/>
      <c r="AL7" s="86"/>
      <c r="AM7" s="87"/>
      <c r="AN7" s="2299"/>
      <c r="AO7" s="55" t="e">
        <f t="shared" ref="AO7:AO13" ca="1" si="8">SUMIF(INDIRECT("'"&amp;AN7&amp;"'"&amp;"!A:A"),"总价",INDIRECT("'"&amp;AN7&amp;"'"&amp;"!B:B"))</f>
        <v>#REF!</v>
      </c>
      <c r="AP7" s="2300">
        <f t="shared" ref="AP7:AP14"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商业LOFT（精装）</v>
      </c>
      <c r="B8" s="2297" t="str">
        <f t="shared" si="1"/>
        <v>经营性</v>
      </c>
      <c r="C8" s="2298"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0.05</v>
      </c>
      <c r="J8" s="72">
        <v>8.5000000000000006E-2</v>
      </c>
      <c r="K8" s="1244">
        <f>SUMIF('数据-汇总表'!C$19:C$33,A8,'数据-汇总表'!E$19:E$33)</f>
        <v>12831.44</v>
      </c>
      <c r="L8" s="796">
        <v>3200</v>
      </c>
      <c r="M8" s="73">
        <f>ROUND(K8*L8/10000,0)</f>
        <v>4106</v>
      </c>
      <c r="N8" s="794">
        <v>0.7</v>
      </c>
      <c r="O8" s="73">
        <f t="shared" si="3"/>
        <v>2874</v>
      </c>
      <c r="P8" s="74">
        <f t="shared" si="4"/>
        <v>1232</v>
      </c>
      <c r="Q8" s="797">
        <v>0.2</v>
      </c>
      <c r="R8" s="75">
        <f ca="1">SUMIF('数据-汇总表'!C$19:C$33,A8,'数据-汇总表'!R$19:R$27)</f>
        <v>4813.8900000000003</v>
      </c>
      <c r="S8" s="54">
        <f>IF('数据-汇总表'!$I$17="按面积比例",SUMIF('数据-汇总表'!C$19:C$33,A8,'数据-汇总表'!K$19:K$33),SUMIF('数据-汇总表'!C$19:C$33,A8,'数据-汇总表'!N$19:N$33))</f>
        <v>0</v>
      </c>
      <c r="T8" s="1436">
        <f t="shared" si="5"/>
        <v>0</v>
      </c>
      <c r="U8" s="798">
        <v>4.5</v>
      </c>
      <c r="V8" s="799">
        <v>0</v>
      </c>
      <c r="W8" s="799">
        <v>0.1</v>
      </c>
      <c r="X8" s="1254"/>
      <c r="Y8" s="800">
        <v>1</v>
      </c>
      <c r="Z8" s="79"/>
      <c r="AA8" s="72"/>
      <c r="AB8" s="72"/>
      <c r="AC8" s="1254"/>
      <c r="AD8" s="80"/>
      <c r="AE8" s="1255">
        <f t="shared" ca="1" si="6"/>
        <v>36.64</v>
      </c>
      <c r="AF8" s="1796"/>
      <c r="AG8" s="140">
        <f t="shared" si="7"/>
        <v>0</v>
      </c>
      <c r="AH8" s="801"/>
      <c r="AI8" s="83">
        <v>365</v>
      </c>
      <c r="AJ8" s="85">
        <v>1.2E-2</v>
      </c>
      <c r="AK8" s="85">
        <v>1.4999999999999999E-2</v>
      </c>
      <c r="AL8" s="86">
        <v>1.5E-3</v>
      </c>
      <c r="AM8" s="87">
        <v>0.01</v>
      </c>
      <c r="AN8" s="2299" t="s">
        <v>3586</v>
      </c>
      <c r="AO8" s="55">
        <f t="shared" ca="1" si="8"/>
        <v>26995</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商业LOFT（毛坯）</v>
      </c>
      <c r="B9" s="2297" t="str">
        <f t="shared" si="1"/>
        <v>经营性</v>
      </c>
      <c r="C9" s="2298"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95">
        <v>0.05</v>
      </c>
      <c r="J9" s="72">
        <v>8.5000000000000006E-2</v>
      </c>
      <c r="K9" s="1244">
        <f>SUMIF('数据-汇总表'!C$19:C$33,A9,'数据-汇总表'!E$19:E$33)</f>
        <v>0</v>
      </c>
      <c r="L9" s="796">
        <v>2500</v>
      </c>
      <c r="M9" s="73">
        <f t="shared" si="0"/>
        <v>0</v>
      </c>
      <c r="N9" s="794">
        <v>0.7</v>
      </c>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6">
        <f t="shared" si="5"/>
        <v>0</v>
      </c>
      <c r="U9" s="76">
        <v>4.3</v>
      </c>
      <c r="V9" s="77">
        <v>0</v>
      </c>
      <c r="W9" s="77">
        <v>0.1</v>
      </c>
      <c r="X9" s="1254"/>
      <c r="Y9" s="78">
        <v>1</v>
      </c>
      <c r="Z9" s="79"/>
      <c r="AA9" s="72"/>
      <c r="AB9" s="72"/>
      <c r="AC9" s="1254"/>
      <c r="AD9" s="80"/>
      <c r="AE9" s="1255">
        <f t="shared" ca="1" si="6"/>
        <v>36.64</v>
      </c>
      <c r="AF9" s="1796"/>
      <c r="AG9" s="140">
        <f t="shared" si="7"/>
        <v>0</v>
      </c>
      <c r="AH9" s="81"/>
      <c r="AI9" s="83">
        <v>365</v>
      </c>
      <c r="AJ9" s="85">
        <v>1.2E-2</v>
      </c>
      <c r="AK9" s="85">
        <v>1.4999999999999999E-2</v>
      </c>
      <c r="AL9" s="86">
        <v>1.5E-3</v>
      </c>
      <c r="AM9" s="87">
        <v>0.01</v>
      </c>
      <c r="AN9" s="2299" t="s">
        <v>3588</v>
      </c>
      <c r="AO9" s="55">
        <f t="shared" ca="1" si="8"/>
        <v>0</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t="str">
        <f>'数据-汇总表'!C23</f>
        <v>底商（毛坯）</v>
      </c>
      <c r="B10" s="2297" t="str">
        <f t="shared" si="1"/>
        <v>经营性</v>
      </c>
      <c r="C10" s="2298"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95">
        <v>0.05</v>
      </c>
      <c r="J10" s="72">
        <v>8.5000000000000006E-2</v>
      </c>
      <c r="K10" s="1244">
        <f>SUMIF('数据-汇总表'!C$19:C$33,A10,'数据-汇总表'!E$19:E$33)</f>
        <v>7586.82</v>
      </c>
      <c r="L10" s="796">
        <v>2500</v>
      </c>
      <c r="M10" s="73">
        <f t="shared" si="0"/>
        <v>1897</v>
      </c>
      <c r="N10" s="794">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6">
        <f t="shared" si="5"/>
        <v>0</v>
      </c>
      <c r="U10" s="76"/>
      <c r="V10" s="77"/>
      <c r="W10" s="77"/>
      <c r="X10" s="1254"/>
      <c r="Y10" s="78"/>
      <c r="Z10" s="79"/>
      <c r="AA10" s="72"/>
      <c r="AB10" s="72"/>
      <c r="AC10" s="1254"/>
      <c r="AD10" s="80"/>
      <c r="AE10" s="1255" t="e">
        <f t="shared" ca="1" si="6"/>
        <v>#REF!</v>
      </c>
      <c r="AF10" s="1796"/>
      <c r="AG10" s="140">
        <f t="shared" si="7"/>
        <v>0</v>
      </c>
      <c r="AH10" s="81"/>
      <c r="AI10" s="83">
        <v>365</v>
      </c>
      <c r="AJ10" s="85">
        <v>1.2E-2</v>
      </c>
      <c r="AK10" s="85">
        <v>1.4999999999999999E-2</v>
      </c>
      <c r="AL10" s="86">
        <v>1.5E-3</v>
      </c>
      <c r="AM10" s="87">
        <v>0.01</v>
      </c>
      <c r="AN10" s="2299" t="s">
        <v>3590</v>
      </c>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t="str">
        <f>'数据-汇总表'!C24</f>
        <v>地下商业</v>
      </c>
      <c r="B11" s="2297" t="str">
        <f t="shared" si="1"/>
        <v>经营性</v>
      </c>
      <c r="C11" s="2298"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95">
        <v>0.05</v>
      </c>
      <c r="J11" s="72">
        <v>8.5000000000000006E-2</v>
      </c>
      <c r="K11" s="1244">
        <f>SUMIF('数据-汇总表'!C$19:C$33,A11,'数据-汇总表'!E$19:E$33)</f>
        <v>521.76</v>
      </c>
      <c r="L11" s="89">
        <v>2300</v>
      </c>
      <c r="M11" s="73">
        <f t="shared" si="0"/>
        <v>120</v>
      </c>
      <c r="N11" s="794">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6">
        <f t="shared" si="5"/>
        <v>0</v>
      </c>
      <c r="U11" s="81"/>
      <c r="V11" s="72"/>
      <c r="W11" s="72"/>
      <c r="X11" s="1254"/>
      <c r="Y11" s="78"/>
      <c r="Z11" s="90"/>
      <c r="AA11" s="72"/>
      <c r="AB11" s="72"/>
      <c r="AC11" s="1254"/>
      <c r="AD11" s="80"/>
      <c r="AE11" s="1255" t="e">
        <f t="shared" ca="1" si="6"/>
        <v>#REF!</v>
      </c>
      <c r="AF11" s="1796"/>
      <c r="AG11" s="140">
        <f t="shared" si="7"/>
        <v>0</v>
      </c>
      <c r="AH11" s="81"/>
      <c r="AI11" s="83">
        <v>365</v>
      </c>
      <c r="AJ11" s="85">
        <v>1.2E-2</v>
      </c>
      <c r="AK11" s="85">
        <v>1.4999999999999999E-2</v>
      </c>
      <c r="AL11" s="86">
        <v>1.5E-3</v>
      </c>
      <c r="AM11" s="87">
        <v>0.01</v>
      </c>
      <c r="AN11" s="2299" t="s">
        <v>3596</v>
      </c>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t="str">
        <f>'数据-汇总表'!C25</f>
        <v>地下仓储</v>
      </c>
      <c r="B12" s="2297" t="str">
        <f t="shared" si="1"/>
        <v>经营性</v>
      </c>
      <c r="C12" s="2298" t="s">
        <v>3471</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6564.2199999999993</v>
      </c>
      <c r="L12" s="89">
        <v>2200</v>
      </c>
      <c r="M12" s="73">
        <f>ROUND(K12*L12/10000,0)</f>
        <v>1444</v>
      </c>
      <c r="N12" s="794">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6">
        <f t="shared" si="5"/>
        <v>0</v>
      </c>
      <c r="U12" s="81">
        <v>1</v>
      </c>
      <c r="V12" s="72">
        <v>0</v>
      </c>
      <c r="W12" s="72">
        <v>0.1</v>
      </c>
      <c r="X12" s="1254"/>
      <c r="Y12" s="78">
        <v>1</v>
      </c>
      <c r="Z12" s="90"/>
      <c r="AA12" s="72"/>
      <c r="AB12" s="72"/>
      <c r="AC12" s="1254"/>
      <c r="AD12" s="80"/>
      <c r="AE12" s="1255">
        <f t="shared" ca="1" si="6"/>
        <v>46.65</v>
      </c>
      <c r="AF12" s="1796"/>
      <c r="AG12" s="140">
        <f t="shared" si="7"/>
        <v>0</v>
      </c>
      <c r="AH12" s="81"/>
      <c r="AI12" s="83">
        <v>365</v>
      </c>
      <c r="AJ12" s="85">
        <v>1.2E-2</v>
      </c>
      <c r="AK12" s="85">
        <v>1.4999999999999999E-2</v>
      </c>
      <c r="AL12" s="86">
        <v>1.5E-3</v>
      </c>
      <c r="AM12" s="87">
        <v>0.01</v>
      </c>
      <c r="AN12" s="2299" t="s">
        <v>3594</v>
      </c>
      <c r="AO12" s="55">
        <f t="shared" ca="1" si="8"/>
        <v>2886</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t="e">
        <f t="shared" ca="1" si="6"/>
        <v>#REF!</v>
      </c>
      <c r="AF13" s="1796"/>
      <c r="AG13" s="140">
        <f t="shared" si="7"/>
        <v>0</v>
      </c>
      <c r="AH13" s="81"/>
      <c r="AI13" s="83">
        <v>365</v>
      </c>
      <c r="AJ13" s="85">
        <v>1.2E-2</v>
      </c>
      <c r="AK13" s="85">
        <v>1.4999999999999999E-2</v>
      </c>
      <c r="AL13" s="86">
        <v>1.5E-3</v>
      </c>
      <c r="AM13" s="87">
        <v>0.01</v>
      </c>
      <c r="AN13" s="2299" t="s">
        <v>3592</v>
      </c>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2015</v>
      </c>
      <c r="B14" s="2297" t="s">
        <v>2016</v>
      </c>
      <c r="C14" s="2302" t="s">
        <v>2015</v>
      </c>
      <c r="D14" s="1044"/>
      <c r="E14" s="1041"/>
      <c r="F14" s="70"/>
      <c r="G14" s="71"/>
      <c r="H14" s="1243"/>
      <c r="I14" s="1243"/>
      <c r="J14" s="1243"/>
      <c r="K14" s="1244">
        <f>SUMIF('数据-汇总表'!C$19:C$33,A14,'数据-汇总表'!E$19:E$33)</f>
        <v>0</v>
      </c>
      <c r="L14" s="89"/>
      <c r="M14" s="73">
        <f t="shared" si="0"/>
        <v>0</v>
      </c>
      <c r="N14" s="794">
        <v>0.7</v>
      </c>
      <c r="O14" s="73">
        <f t="shared" si="3"/>
        <v>0</v>
      </c>
      <c r="P14" s="74">
        <f t="shared" si="4"/>
        <v>0</v>
      </c>
      <c r="Q14" s="1247"/>
      <c r="R14" s="75"/>
      <c r="S14" s="54"/>
      <c r="T14" s="1436"/>
      <c r="U14" s="716"/>
      <c r="V14" s="1249"/>
      <c r="W14" s="1249"/>
      <c r="X14" s="1250"/>
      <c r="Y14" s="1251"/>
      <c r="Z14" s="1252"/>
      <c r="AA14" s="1253"/>
      <c r="AB14" s="1253"/>
      <c r="AC14" s="1254"/>
      <c r="AD14" s="1250"/>
      <c r="AE14" s="1255"/>
      <c r="AF14" s="55"/>
      <c r="AG14" s="140"/>
      <c r="AH14" s="1255"/>
      <c r="AI14" s="1807"/>
      <c r="AJ14" s="766"/>
      <c r="AK14" s="1256"/>
      <c r="AL14" s="1257"/>
      <c r="AM14" s="1258"/>
      <c r="AN14" s="2264"/>
      <c r="AO14" s="2269"/>
      <c r="AP14" s="2269">
        <f t="shared" si="9"/>
        <v>0</v>
      </c>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2017</v>
      </c>
      <c r="B15" s="2297" t="s">
        <v>2016</v>
      </c>
      <c r="C15" s="2302" t="s">
        <v>2018</v>
      </c>
      <c r="D15" s="1044"/>
      <c r="E15" s="1041"/>
      <c r="F15" s="70"/>
      <c r="G15" s="71"/>
      <c r="H15" s="1243"/>
      <c r="I15" s="1243"/>
      <c r="J15" s="1243"/>
      <c r="K15" s="1244">
        <f>SUMIF('数据-汇总表'!C$19:C$33,A15,'数据-汇总表'!E$19:E$33)</f>
        <v>0</v>
      </c>
      <c r="L15" s="1245"/>
      <c r="M15" s="73"/>
      <c r="N15" s="1246"/>
      <c r="O15" s="73"/>
      <c r="P15" s="74"/>
      <c r="Q15" s="1247"/>
      <c r="R15" s="75"/>
      <c r="S15" s="54"/>
      <c r="T15" s="1436"/>
      <c r="U15" s="716"/>
      <c r="V15" s="1249"/>
      <c r="W15" s="1249"/>
      <c r="X15" s="1250"/>
      <c r="Y15" s="1251"/>
      <c r="Z15" s="1252"/>
      <c r="AA15" s="1253"/>
      <c r="AB15" s="1253"/>
      <c r="AC15" s="1254"/>
      <c r="AD15" s="1250"/>
      <c r="AE15" s="1255"/>
      <c r="AF15" s="55"/>
      <c r="AG15" s="140"/>
      <c r="AH15" s="1255"/>
      <c r="AI15" s="1807"/>
      <c r="AJ15" s="766"/>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2019</v>
      </c>
      <c r="B16" s="91"/>
      <c r="C16" s="998"/>
      <c r="D16" s="2304"/>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3081</v>
      </c>
      <c r="M16" s="96">
        <f>SUM(M6:M14)</f>
        <v>31859</v>
      </c>
      <c r="N16" s="97">
        <f>ROUND(SUMPRODUCT(M6:M14,N6:N14)/M16,3)</f>
        <v>0.7</v>
      </c>
      <c r="O16" s="96">
        <f>SUM(O6:O14)</f>
        <v>22301</v>
      </c>
      <c r="P16" s="96">
        <f>SUM(P6:P14)</f>
        <v>9558</v>
      </c>
      <c r="Q16" s="98">
        <f>ROUND(SUMPRODUCT(Q6:Q13,K6:K13)/SUMPRODUCT((Q6:Q13&gt;0)*(K6:K13)),2)</f>
        <v>0.19</v>
      </c>
      <c r="R16" s="1248">
        <f ca="1">SUM(R6:R13)</f>
        <v>38798.12000000001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5"/>
      <c r="C17" s="1573"/>
      <c r="D17" s="2263"/>
      <c r="E17" s="2263"/>
      <c r="F17" s="1573"/>
      <c r="G17" s="1573"/>
      <c r="H17" s="1573"/>
      <c r="I17" s="1573"/>
      <c r="J17" s="1573"/>
      <c r="K17" s="161"/>
      <c r="L17" s="161"/>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2020</v>
      </c>
      <c r="B18" s="2270"/>
      <c r="C18" s="2267"/>
      <c r="D18" s="2268"/>
      <c r="E18" s="2267"/>
      <c r="F18" s="2267"/>
      <c r="G18" s="2267"/>
      <c r="H18" s="2267"/>
      <c r="I18" s="2267"/>
      <c r="J18" s="2267"/>
      <c r="K18" s="161"/>
      <c r="L18" s="161"/>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6" t="s">
        <v>2021</v>
      </c>
      <c r="B19" s="106">
        <v>0</v>
      </c>
      <c r="C19" s="2267" t="s">
        <v>2022</v>
      </c>
      <c r="D19" s="2268"/>
      <c r="E19" s="2267"/>
      <c r="F19" s="2267"/>
      <c r="G19" s="2267"/>
      <c r="H19" s="2267"/>
      <c r="I19" s="2267"/>
      <c r="J19" s="2267"/>
      <c r="K19" s="161"/>
      <c r="L19" s="161"/>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7" t="s">
        <v>2023</v>
      </c>
      <c r="B20" s="107">
        <v>3</v>
      </c>
      <c r="C20" s="2267" t="s">
        <v>2024</v>
      </c>
      <c r="D20" s="2268"/>
      <c r="E20" s="2267"/>
      <c r="F20" s="2267"/>
      <c r="G20" s="2267"/>
      <c r="H20" s="2267"/>
      <c r="I20" s="2267"/>
      <c r="J20" s="2267"/>
      <c r="K20" s="161"/>
      <c r="L20" s="161"/>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8" t="s">
        <v>2025</v>
      </c>
      <c r="B21" s="107">
        <v>2.6</v>
      </c>
      <c r="C21" s="2267"/>
      <c r="D21" s="2268"/>
      <c r="E21" s="2267"/>
      <c r="F21" s="2267"/>
      <c r="G21" s="2267"/>
      <c r="H21" s="2267"/>
      <c r="I21" s="2267"/>
      <c r="J21" s="2267"/>
      <c r="K21" s="161"/>
      <c r="L21" s="161"/>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7" t="s">
        <v>2026</v>
      </c>
      <c r="B22" s="108">
        <f>B19+B20</f>
        <v>3</v>
      </c>
      <c r="C22" s="2267"/>
      <c r="D22" s="2268"/>
      <c r="E22" s="2267"/>
      <c r="F22" s="2267"/>
      <c r="G22" s="2267"/>
      <c r="H22" s="2267"/>
      <c r="I22" s="2267"/>
      <c r="J22" s="2267"/>
      <c r="K22" s="161"/>
      <c r="L22" s="161"/>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8" t="s">
        <v>2027</v>
      </c>
      <c r="B23" s="108">
        <f>B19+B21</f>
        <v>2.6</v>
      </c>
      <c r="C23" s="2267"/>
      <c r="D23" s="2268"/>
      <c r="E23" s="2267"/>
      <c r="F23" s="2267"/>
      <c r="G23" s="2267"/>
      <c r="H23" s="2267"/>
      <c r="I23" s="2267"/>
      <c r="J23" s="2267"/>
      <c r="K23" s="161"/>
      <c r="L23" s="161"/>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9" t="s">
        <v>2028</v>
      </c>
      <c r="B24" s="109">
        <f>B20-B21</f>
        <v>0.39999999999999991</v>
      </c>
      <c r="C24" s="2267"/>
      <c r="D24" s="2268"/>
      <c r="E24" s="2267"/>
      <c r="F24" s="2267"/>
      <c r="G24" s="2267"/>
      <c r="H24" s="2267"/>
      <c r="I24" s="2267"/>
      <c r="J24" s="2267"/>
      <c r="K24" s="161"/>
      <c r="L24" s="161"/>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0"/>
      <c r="C25" s="2267"/>
      <c r="D25" s="2268"/>
      <c r="E25" s="2267"/>
      <c r="F25" s="2267"/>
      <c r="G25" s="2267"/>
      <c r="H25" s="2267"/>
      <c r="I25" s="2267"/>
      <c r="J25" s="2267"/>
      <c r="K25" s="161"/>
      <c r="L25" s="161"/>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6" t="s">
        <v>2029</v>
      </c>
      <c r="B26" s="2310" t="s">
        <v>2030</v>
      </c>
      <c r="C26" s="2311" t="s">
        <v>2031</v>
      </c>
      <c r="D26" s="2268"/>
      <c r="E26" s="2267"/>
      <c r="F26" s="2267"/>
      <c r="G26" s="2267"/>
      <c r="H26" s="2267"/>
      <c r="I26" s="2267"/>
      <c r="J26" s="2267"/>
      <c r="K26" s="161"/>
      <c r="L26" s="161"/>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4" customFormat="1" ht="27.75">
      <c r="A27" s="2312" t="s">
        <v>2032</v>
      </c>
      <c r="B27" s="110">
        <v>160</v>
      </c>
      <c r="C27" s="1756" t="s">
        <v>2033</v>
      </c>
      <c r="D27" s="2313"/>
      <c r="E27" s="1420"/>
      <c r="F27" s="1420"/>
      <c r="G27" s="2267"/>
      <c r="H27" s="2267"/>
      <c r="I27" s="2267"/>
      <c r="J27" s="2267"/>
      <c r="K27" s="161"/>
      <c r="L27" s="161"/>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2034</v>
      </c>
      <c r="B28" s="113">
        <v>200</v>
      </c>
      <c r="C28" s="2316"/>
      <c r="D28" s="2313"/>
      <c r="E28" s="1420"/>
      <c r="F28" s="1420"/>
      <c r="G28" s="2267"/>
      <c r="H28" s="2267"/>
      <c r="I28" s="2267"/>
      <c r="J28" s="2267"/>
      <c r="K28" s="161"/>
      <c r="L28" s="161"/>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2035</v>
      </c>
      <c r="B29" s="3002">
        <v>2068</v>
      </c>
      <c r="C29" s="1756" t="s">
        <v>2036</v>
      </c>
      <c r="D29" s="2313"/>
      <c r="E29" s="1420"/>
      <c r="F29" s="1420"/>
      <c r="G29" s="2267"/>
      <c r="H29" s="2267"/>
      <c r="I29" s="2267"/>
      <c r="J29" s="2267"/>
      <c r="K29" s="161"/>
      <c r="L29" s="161"/>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2037</v>
      </c>
      <c r="B30" s="717">
        <v>200</v>
      </c>
      <c r="C30" s="2316"/>
      <c r="D30" s="2313"/>
      <c r="E30" s="1420"/>
      <c r="F30" s="1420"/>
      <c r="G30" s="2267"/>
      <c r="H30" s="2267"/>
      <c r="I30" s="2267"/>
      <c r="J30" s="2267"/>
      <c r="K30" s="161"/>
      <c r="L30" s="161"/>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2038</v>
      </c>
      <c r="B31" s="114">
        <f>B30-B32</f>
        <v>200</v>
      </c>
      <c r="C31" s="1756"/>
      <c r="D31" s="2313"/>
      <c r="E31" s="1420"/>
      <c r="F31" s="1420"/>
      <c r="G31" s="2267"/>
      <c r="H31" s="2267"/>
      <c r="I31" s="2267"/>
      <c r="J31" s="2267"/>
      <c r="K31" s="161"/>
      <c r="L31" s="161"/>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2039</v>
      </c>
      <c r="B32" s="718">
        <v>0</v>
      </c>
      <c r="C32" s="2316"/>
      <c r="D32" s="2268"/>
      <c r="E32" s="2267"/>
      <c r="F32" s="2267"/>
      <c r="G32" s="2267"/>
      <c r="H32" s="2267"/>
      <c r="I32" s="2267"/>
      <c r="J32" s="2267"/>
      <c r="K32" s="161"/>
      <c r="L32" s="161"/>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2040</v>
      </c>
      <c r="B33" s="719">
        <v>0.03</v>
      </c>
      <c r="C33" s="1755" t="s">
        <v>2041</v>
      </c>
      <c r="D33" s="2268"/>
      <c r="E33" s="2267"/>
      <c r="F33" s="2267"/>
      <c r="G33" s="2267"/>
      <c r="H33" s="2267"/>
      <c r="I33" s="2267"/>
      <c r="J33" s="2267"/>
      <c r="K33" s="161"/>
      <c r="L33" s="161"/>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2042</v>
      </c>
      <c r="B34" s="115">
        <v>0.05</v>
      </c>
      <c r="C34" s="1755" t="s">
        <v>2043</v>
      </c>
      <c r="D34" s="2268" t="s">
        <v>2044</v>
      </c>
      <c r="E34" s="725"/>
      <c r="F34" s="2267"/>
      <c r="G34" s="2267"/>
      <c r="H34" s="2267"/>
      <c r="I34" s="2267"/>
      <c r="J34" s="2267"/>
      <c r="K34" s="161"/>
      <c r="L34" s="161"/>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2045</v>
      </c>
      <c r="B35" s="113">
        <v>200</v>
      </c>
      <c r="C35" s="1755" t="s">
        <v>2046</v>
      </c>
      <c r="D35" s="2313"/>
      <c r="E35" s="1420"/>
      <c r="F35" s="1420"/>
      <c r="G35" s="2267"/>
      <c r="H35" s="2267"/>
      <c r="I35" s="2267"/>
      <c r="J35" s="2267"/>
      <c r="K35" s="161"/>
      <c r="L35" s="161"/>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2047</v>
      </c>
      <c r="B36" s="116">
        <v>1.4999999999999999E-2</v>
      </c>
      <c r="C36" s="1755" t="s">
        <v>2048</v>
      </c>
      <c r="D36" s="2268"/>
      <c r="E36" s="2267"/>
      <c r="F36" s="2267"/>
      <c r="G36" s="2267"/>
      <c r="H36" s="2267"/>
      <c r="I36" s="2267"/>
      <c r="J36" s="2267"/>
      <c r="K36" s="161"/>
      <c r="L36" s="161"/>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8" t="s">
        <v>2049</v>
      </c>
      <c r="B37" s="117">
        <v>0.02</v>
      </c>
      <c r="C37" s="1755" t="s">
        <v>2050</v>
      </c>
      <c r="D37" s="2268"/>
      <c r="E37" s="2267"/>
      <c r="F37" s="2267"/>
      <c r="G37" s="2267"/>
      <c r="H37" s="2267"/>
      <c r="I37" s="2267"/>
      <c r="J37" s="2267"/>
      <c r="K37" s="161"/>
      <c r="L37" s="161"/>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5" t="s">
        <v>2051</v>
      </c>
      <c r="B38" s="115">
        <v>0.02</v>
      </c>
      <c r="C38" s="1755" t="s">
        <v>2050</v>
      </c>
      <c r="D38" s="2268"/>
      <c r="E38" s="2267"/>
      <c r="F38" s="2267"/>
      <c r="G38" s="2267"/>
      <c r="H38" s="2267"/>
      <c r="I38" s="2267"/>
      <c r="J38" s="2267"/>
      <c r="K38" s="161"/>
      <c r="L38" s="161"/>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9" t="s">
        <v>2052</v>
      </c>
      <c r="B39" s="355">
        <f ca="1">存贷款利率!I1</f>
        <v>1.4999999999999999E-2</v>
      </c>
      <c r="C39" s="1755"/>
      <c r="D39" s="2268"/>
      <c r="E39" s="2267"/>
      <c r="F39" s="2267"/>
      <c r="G39" s="2267"/>
      <c r="H39" s="2267"/>
      <c r="I39" s="2267"/>
      <c r="J39" s="2267"/>
      <c r="K39" s="161"/>
      <c r="L39" s="161"/>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9" t="s">
        <v>2053</v>
      </c>
      <c r="B40" s="1293">
        <f ca="1">存贷款利率!G1</f>
        <v>4.7500000000000001E-2</v>
      </c>
      <c r="C40" s="1755" t="s">
        <v>2054</v>
      </c>
      <c r="D40" s="1573"/>
      <c r="E40" s="2268"/>
      <c r="F40" s="2267"/>
      <c r="G40" s="2267"/>
      <c r="H40" s="2267"/>
      <c r="I40" s="2267"/>
      <c r="J40" s="2267"/>
      <c r="K40" s="161"/>
      <c r="L40" s="161"/>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2" t="s">
        <v>2055</v>
      </c>
      <c r="B41" s="118">
        <f>B42+B43</f>
        <v>5.5000000000000007E-2</v>
      </c>
      <c r="C41" s="1756"/>
      <c r="D41" s="1573"/>
      <c r="E41" s="2268"/>
      <c r="F41" s="2267"/>
      <c r="G41" s="2267"/>
      <c r="H41" s="2267"/>
      <c r="I41" s="2267"/>
      <c r="J41" s="2267"/>
      <c r="K41" s="161"/>
      <c r="L41" s="161"/>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0" t="s">
        <v>2056</v>
      </c>
      <c r="B42" s="119">
        <v>0.05</v>
      </c>
      <c r="C42" s="2321">
        <f>IF(B2&lt;DATE(2016,5,1),0,B42)</f>
        <v>0.05</v>
      </c>
      <c r="D42" s="2268"/>
      <c r="E42" s="2267"/>
      <c r="F42" s="2267"/>
      <c r="G42" s="2267"/>
      <c r="H42" s="2267"/>
      <c r="I42" s="2267"/>
      <c r="J42" s="2267"/>
      <c r="K42" s="161"/>
      <c r="L42" s="161"/>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0" t="s">
        <v>2057</v>
      </c>
      <c r="B43" s="120">
        <f>B42*(B44+B45+B46)+B47</f>
        <v>5.000000000000001E-3</v>
      </c>
      <c r="C43" s="1756"/>
      <c r="D43" s="2268"/>
      <c r="E43" s="2267"/>
      <c r="F43" s="2267"/>
      <c r="G43" s="2267"/>
      <c r="H43" s="2267"/>
      <c r="I43" s="2267"/>
      <c r="J43" s="2267"/>
      <c r="K43" s="161"/>
      <c r="L43" s="161"/>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2" t="s">
        <v>2058</v>
      </c>
      <c r="B44" s="121">
        <v>0.05</v>
      </c>
      <c r="C44" s="1755" t="s">
        <v>2059</v>
      </c>
      <c r="D44" s="2268"/>
      <c r="E44" s="2267"/>
      <c r="F44" s="2267"/>
      <c r="G44" s="2267"/>
      <c r="H44" s="2267"/>
      <c r="I44" s="2267"/>
      <c r="J44" s="2267"/>
      <c r="K44" s="161"/>
      <c r="L44" s="161"/>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2" t="s">
        <v>2060</v>
      </c>
      <c r="B45" s="119">
        <v>0.03</v>
      </c>
      <c r="C45" s="1756" t="s">
        <v>2061</v>
      </c>
      <c r="D45" s="2268"/>
      <c r="E45" s="2267"/>
      <c r="F45" s="2267"/>
      <c r="G45" s="2267"/>
      <c r="H45" s="2267"/>
      <c r="I45" s="2267"/>
      <c r="J45" s="2267"/>
      <c r="K45" s="161"/>
      <c r="L45" s="161"/>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2" t="s">
        <v>2062</v>
      </c>
      <c r="B46" s="119">
        <v>0.02</v>
      </c>
      <c r="C46" s="1756" t="s">
        <v>2063</v>
      </c>
      <c r="D46" s="2268"/>
      <c r="E46" s="2267"/>
      <c r="F46" s="2267"/>
      <c r="G46" s="2267"/>
      <c r="H46" s="2267"/>
      <c r="I46" s="2267"/>
      <c r="J46" s="2267"/>
      <c r="K46" s="161"/>
      <c r="L46" s="161"/>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3" t="s">
        <v>2064</v>
      </c>
      <c r="B47" s="122"/>
      <c r="C47" s="1756" t="s">
        <v>2065</v>
      </c>
      <c r="D47" s="2268"/>
      <c r="E47" s="2267"/>
      <c r="F47" s="2267"/>
      <c r="G47" s="2267"/>
      <c r="H47" s="2267"/>
      <c r="I47" s="2267"/>
      <c r="J47" s="2267"/>
      <c r="K47" s="161"/>
      <c r="L47" s="161"/>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4" t="s">
        <v>2066</v>
      </c>
      <c r="B48" s="123">
        <v>0.03</v>
      </c>
      <c r="C48" s="1763" t="s">
        <v>2067</v>
      </c>
      <c r="D48" s="2268"/>
      <c r="E48" s="2267"/>
      <c r="F48" s="2267"/>
      <c r="G48" s="2267"/>
      <c r="H48" s="2267"/>
      <c r="I48" s="2267"/>
      <c r="J48" s="2267"/>
      <c r="K48" s="161"/>
      <c r="L48" s="161"/>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9" t="s">
        <v>2068</v>
      </c>
      <c r="B49" s="119">
        <v>5.0000000000000001E-4</v>
      </c>
      <c r="C49" s="1763" t="s">
        <v>2069</v>
      </c>
      <c r="D49" s="2268"/>
      <c r="E49" s="2267"/>
      <c r="F49" s="2267"/>
      <c r="G49" s="2267"/>
      <c r="H49" s="2267"/>
      <c r="I49" s="2267"/>
      <c r="J49" s="2267"/>
      <c r="K49" s="161"/>
      <c r="L49" s="161"/>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5" t="s">
        <v>2070</v>
      </c>
      <c r="B50" s="124">
        <v>1.2E-2</v>
      </c>
      <c r="C50" s="1420"/>
      <c r="D50" s="2268"/>
      <c r="E50" s="2267"/>
      <c r="F50" s="2267"/>
      <c r="G50" s="2267"/>
      <c r="H50" s="2267"/>
      <c r="I50" s="2267"/>
      <c r="J50" s="2267"/>
      <c r="K50" s="161"/>
      <c r="L50" s="161"/>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7" t="s">
        <v>2071</v>
      </c>
      <c r="B51" s="125">
        <v>0.12</v>
      </c>
      <c r="C51" s="1420"/>
      <c r="D51" s="2268"/>
      <c r="E51" s="2267"/>
      <c r="F51" s="2267"/>
      <c r="G51" s="2267"/>
      <c r="H51" s="2267"/>
      <c r="I51" s="2267"/>
      <c r="J51" s="2267"/>
      <c r="K51" s="161"/>
      <c r="L51" s="161"/>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5" t="s">
        <v>2072</v>
      </c>
      <c r="B52" s="126">
        <f>SUMIF(A54:A63,B53,B54:B63)</f>
        <v>1.5</v>
      </c>
      <c r="C52" s="1420"/>
      <c r="D52" s="2268"/>
      <c r="E52" s="2267"/>
      <c r="F52" s="2267"/>
      <c r="G52" s="2267"/>
      <c r="H52" s="2267"/>
      <c r="I52" s="2267"/>
      <c r="J52" s="2267"/>
      <c r="K52" s="161"/>
      <c r="L52" s="161"/>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5" t="s">
        <v>2073</v>
      </c>
      <c r="B53" s="2326" t="s">
        <v>56</v>
      </c>
      <c r="C53" s="1420" t="s">
        <v>2074</v>
      </c>
      <c r="D53" s="2327" t="s">
        <v>2075</v>
      </c>
      <c r="E53" s="2267"/>
      <c r="F53" s="2267"/>
      <c r="G53" s="2267"/>
      <c r="H53" s="2267"/>
      <c r="I53" s="2267"/>
      <c r="J53" s="2267"/>
      <c r="K53" s="161"/>
      <c r="L53" s="161"/>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8" t="s">
        <v>2076</v>
      </c>
      <c r="B54" s="82"/>
      <c r="C54" s="1420">
        <v>30</v>
      </c>
      <c r="D54" s="2268"/>
      <c r="E54" s="2267"/>
      <c r="F54" s="2267"/>
      <c r="G54" s="2267"/>
      <c r="H54" s="2267"/>
      <c r="I54" s="2267"/>
      <c r="J54" s="2267"/>
      <c r="K54" s="161"/>
      <c r="L54" s="161"/>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8" t="s">
        <v>2077</v>
      </c>
      <c r="B55" s="82"/>
      <c r="C55" s="1420">
        <v>24</v>
      </c>
      <c r="D55" s="2268"/>
      <c r="E55" s="2267"/>
      <c r="F55" s="2267"/>
      <c r="G55" s="2267"/>
      <c r="H55" s="2267"/>
      <c r="I55" s="2329"/>
      <c r="J55" s="2267"/>
      <c r="K55" s="161"/>
      <c r="L55" s="161"/>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8" t="s">
        <v>2078</v>
      </c>
      <c r="B56" s="82"/>
      <c r="C56" s="1420">
        <v>18</v>
      </c>
      <c r="D56" s="2268"/>
      <c r="E56" s="2267"/>
      <c r="F56" s="2267"/>
      <c r="G56" s="2267"/>
      <c r="H56" s="2267"/>
      <c r="I56" s="2267"/>
      <c r="J56" s="2267"/>
      <c r="K56" s="161"/>
      <c r="L56" s="161"/>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8" t="s">
        <v>2079</v>
      </c>
      <c r="B57" s="82"/>
      <c r="C57" s="1420">
        <v>12</v>
      </c>
      <c r="D57" s="2268"/>
      <c r="E57" s="2267"/>
      <c r="F57" s="2267"/>
      <c r="G57" s="2267"/>
      <c r="H57" s="2267"/>
      <c r="I57" s="2267"/>
      <c r="J57" s="2267"/>
      <c r="K57" s="161"/>
      <c r="L57" s="161"/>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8" t="s">
        <v>2080</v>
      </c>
      <c r="B58" s="82"/>
      <c r="C58" s="1420">
        <v>3</v>
      </c>
      <c r="D58" s="2268"/>
      <c r="E58" s="2267"/>
      <c r="F58" s="2267"/>
      <c r="G58" s="2267"/>
      <c r="H58" s="2267"/>
      <c r="I58" s="2267"/>
      <c r="J58" s="2267"/>
      <c r="K58" s="161"/>
      <c r="L58" s="161"/>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8" t="s">
        <v>2081</v>
      </c>
      <c r="B59" s="82">
        <v>1.5</v>
      </c>
      <c r="C59" s="1420">
        <v>1.5</v>
      </c>
      <c r="D59" s="2268"/>
      <c r="E59" s="2267"/>
      <c r="F59" s="2267"/>
      <c r="G59" s="2267"/>
      <c r="H59" s="2267"/>
      <c r="I59" s="2267"/>
      <c r="J59" s="2267"/>
      <c r="K59" s="161"/>
      <c r="L59" s="161"/>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8" t="s">
        <v>2082</v>
      </c>
      <c r="B60" s="82"/>
      <c r="C60" s="2267"/>
      <c r="D60" s="2268"/>
      <c r="E60" s="2267"/>
      <c r="F60" s="2267"/>
      <c r="G60" s="2267"/>
      <c r="H60" s="2267"/>
      <c r="I60" s="2267"/>
      <c r="J60" s="2267"/>
      <c r="K60" s="161"/>
      <c r="L60" s="161"/>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8" t="s">
        <v>2083</v>
      </c>
      <c r="B61" s="82"/>
      <c r="C61" s="2267"/>
      <c r="D61" s="2268"/>
      <c r="E61" s="2267"/>
      <c r="F61" s="2267"/>
      <c r="G61" s="2267"/>
      <c r="H61" s="2267"/>
      <c r="I61" s="2267"/>
      <c r="J61" s="2267"/>
      <c r="K61" s="161"/>
      <c r="L61" s="161"/>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8" t="s">
        <v>2084</v>
      </c>
      <c r="B62" s="82"/>
      <c r="C62" s="2267"/>
      <c r="D62" s="2268"/>
      <c r="E62" s="2267"/>
      <c r="F62" s="2267"/>
      <c r="G62" s="2267"/>
      <c r="H62" s="2267"/>
      <c r="I62" s="2267"/>
      <c r="J62" s="2267"/>
      <c r="K62" s="161"/>
      <c r="L62" s="161"/>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0" t="s">
        <v>2085</v>
      </c>
      <c r="B63" s="127"/>
      <c r="C63" s="2267"/>
      <c r="D63" s="2268"/>
      <c r="E63" s="2267"/>
      <c r="F63" s="2267"/>
      <c r="G63" s="2267"/>
      <c r="H63" s="2267"/>
      <c r="I63" s="2267"/>
      <c r="J63" s="2267"/>
      <c r="K63" s="161"/>
      <c r="L63" s="161"/>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1"/>
      <c r="D64" s="2332"/>
      <c r="K64" s="791"/>
      <c r="L64" s="791"/>
    </row>
    <row r="65" spans="1:12" s="957" customFormat="1">
      <c r="A65" s="2331"/>
      <c r="D65" s="2332"/>
      <c r="K65" s="791"/>
      <c r="L65" s="791"/>
    </row>
    <row r="66" spans="1:12" s="957" customFormat="1">
      <c r="A66" s="2331"/>
      <c r="D66" s="2332"/>
      <c r="K66" s="791"/>
      <c r="L66" s="791"/>
    </row>
    <row r="67" spans="1:12" s="957" customFormat="1">
      <c r="A67" s="2331"/>
      <c r="D67" s="2332"/>
      <c r="K67" s="791"/>
      <c r="L67" s="791"/>
    </row>
    <row r="68" spans="1:12" s="957" customFormat="1">
      <c r="A68" s="2331"/>
      <c r="D68" s="2332"/>
      <c r="K68" s="791"/>
      <c r="L68" s="791"/>
    </row>
    <row r="69" spans="1:12" s="957" customFormat="1">
      <c r="A69" s="2331"/>
      <c r="D69" s="2332"/>
      <c r="K69" s="791"/>
      <c r="L69" s="791"/>
    </row>
    <row r="70" spans="1:12" s="957" customFormat="1">
      <c r="A70" s="2331"/>
      <c r="D70" s="2332"/>
      <c r="K70" s="791"/>
      <c r="L70" s="791"/>
    </row>
    <row r="71" spans="1:12" s="957" customFormat="1">
      <c r="A71" s="2331"/>
      <c r="D71" s="2332"/>
      <c r="K71" s="791"/>
      <c r="L71" s="791"/>
    </row>
    <row r="72" spans="1:12" s="957" customFormat="1">
      <c r="A72" s="2331"/>
      <c r="D72" s="2332"/>
      <c r="K72" s="791"/>
      <c r="L72" s="791"/>
    </row>
    <row r="73" spans="1:12" s="957" customFormat="1">
      <c r="A73" s="2331"/>
      <c r="D73" s="2332"/>
      <c r="K73" s="791"/>
      <c r="L73" s="791"/>
    </row>
    <row r="74" spans="1:12" s="957" customFormat="1">
      <c r="A74" s="2331"/>
      <c r="D74" s="2332"/>
      <c r="K74" s="791"/>
      <c r="L74" s="791"/>
    </row>
    <row r="75" spans="1:12" s="957" customFormat="1">
      <c r="A75" s="2331"/>
      <c r="D75" s="2332"/>
      <c r="K75" s="791"/>
      <c r="L75" s="791"/>
    </row>
    <row r="76" spans="1:12" s="957" customFormat="1">
      <c r="A76" s="2331"/>
      <c r="D76" s="2332"/>
      <c r="K76" s="791"/>
      <c r="L76" s="791"/>
    </row>
    <row r="77" spans="1:12" s="957" customFormat="1">
      <c r="A77" s="2331"/>
      <c r="D77" s="2332"/>
      <c r="K77" s="791"/>
      <c r="L77" s="791"/>
    </row>
    <row r="78" spans="1:12" s="957" customFormat="1">
      <c r="A78" s="2331"/>
      <c r="D78" s="2332"/>
      <c r="K78" s="791"/>
      <c r="L78" s="791"/>
    </row>
    <row r="79" spans="1:12" s="957" customFormat="1">
      <c r="A79" s="2331"/>
      <c r="D79" s="2332"/>
      <c r="K79" s="791"/>
      <c r="L79" s="791"/>
    </row>
    <row r="80" spans="1:12" s="957" customFormat="1">
      <c r="A80" s="2331"/>
      <c r="D80" s="2332"/>
      <c r="K80" s="791"/>
      <c r="L80" s="791"/>
    </row>
    <row r="81" spans="1:12" s="957" customFormat="1">
      <c r="A81" s="2331"/>
      <c r="D81" s="2332"/>
      <c r="K81" s="791"/>
      <c r="L81" s="791"/>
    </row>
    <row r="82" spans="1:12" s="957" customFormat="1">
      <c r="A82" s="2331"/>
      <c r="D82" s="2332"/>
      <c r="K82" s="791"/>
      <c r="L82" s="791"/>
    </row>
    <row r="83" spans="1:12" s="957" customFormat="1">
      <c r="A83" s="2331"/>
      <c r="D83" s="2332"/>
      <c r="K83" s="791"/>
      <c r="L83" s="791"/>
    </row>
    <row r="84" spans="1:12" s="957" customFormat="1">
      <c r="A84" s="2331"/>
      <c r="D84" s="2332"/>
      <c r="K84" s="791"/>
      <c r="L84" s="791"/>
    </row>
    <row r="85" spans="1:12" s="957" customFormat="1">
      <c r="A85" s="2331"/>
      <c r="D85" s="2332"/>
      <c r="K85" s="791"/>
      <c r="L85" s="791"/>
    </row>
    <row r="86" spans="1:12" s="957" customFormat="1">
      <c r="A86" s="2331"/>
      <c r="D86" s="2332"/>
      <c r="K86" s="791"/>
      <c r="L86" s="791"/>
    </row>
    <row r="87" spans="1:12" s="957" customFormat="1">
      <c r="A87" s="2331"/>
      <c r="D87" s="2332"/>
      <c r="K87" s="791"/>
      <c r="L87" s="791"/>
    </row>
    <row r="88" spans="1:12" s="957" customFormat="1">
      <c r="A88" s="2331"/>
      <c r="D88" s="2332"/>
      <c r="K88" s="791"/>
      <c r="L88" s="791"/>
    </row>
    <row r="89" spans="1:12" s="957" customFormat="1">
      <c r="A89" s="2331"/>
      <c r="D89" s="2332"/>
      <c r="K89" s="791"/>
      <c r="L89" s="791"/>
    </row>
    <row r="90" spans="1:12" s="957" customFormat="1">
      <c r="A90" s="2331"/>
      <c r="D90" s="2332"/>
      <c r="K90" s="791"/>
      <c r="L90" s="791"/>
    </row>
    <row r="91" spans="1:12" s="957" customFormat="1">
      <c r="A91" s="2331"/>
      <c r="D91" s="2332"/>
      <c r="K91" s="791"/>
      <c r="L91" s="791"/>
    </row>
    <row r="92" spans="1:12" s="957" customFormat="1">
      <c r="A92" s="2331"/>
      <c r="D92" s="2332"/>
      <c r="K92" s="791"/>
      <c r="L92" s="791"/>
    </row>
    <row r="93" spans="1:12" s="957" customFormat="1">
      <c r="A93" s="2331"/>
      <c r="D93" s="2332"/>
      <c r="K93" s="791"/>
      <c r="L93" s="791"/>
    </row>
    <row r="94" spans="1:12" s="957" customFormat="1">
      <c r="A94" s="2331"/>
      <c r="D94" s="2332"/>
      <c r="K94" s="791"/>
      <c r="L94" s="791"/>
    </row>
    <row r="95" spans="1:12" s="957" customFormat="1">
      <c r="A95" s="2331"/>
      <c r="D95" s="2332"/>
      <c r="K95" s="791"/>
      <c r="L95" s="791"/>
    </row>
    <row r="96" spans="1:12" s="957" customFormat="1">
      <c r="A96" s="2331"/>
      <c r="D96" s="2332"/>
      <c r="K96" s="791"/>
      <c r="L96" s="791"/>
    </row>
    <row r="97" spans="1:12" s="957" customFormat="1">
      <c r="A97" s="2331"/>
      <c r="D97" s="2332"/>
      <c r="K97" s="791"/>
      <c r="L97" s="791"/>
    </row>
    <row r="98" spans="1:12" s="957" customFormat="1">
      <c r="A98" s="2331"/>
      <c r="D98" s="2332"/>
      <c r="K98" s="791"/>
      <c r="L98" s="791"/>
    </row>
    <row r="99" spans="1:12" s="957" customFormat="1">
      <c r="A99" s="2331"/>
      <c r="D99" s="2332"/>
      <c r="K99" s="791"/>
      <c r="L99" s="791"/>
    </row>
    <row r="100" spans="1:12" s="957" customFormat="1">
      <c r="A100" s="2331"/>
      <c r="D100" s="2332"/>
      <c r="K100" s="791"/>
      <c r="L100" s="791"/>
    </row>
    <row r="101" spans="1:12" s="957" customFormat="1">
      <c r="A101" s="2331"/>
      <c r="D101" s="2332"/>
      <c r="K101" s="791"/>
      <c r="L101" s="791"/>
    </row>
    <row r="102" spans="1:12" s="957" customFormat="1">
      <c r="A102" s="2331"/>
      <c r="D102" s="2332"/>
      <c r="K102" s="791"/>
      <c r="L102" s="791"/>
    </row>
    <row r="103" spans="1:12" s="957" customFormat="1">
      <c r="A103" s="2331"/>
      <c r="D103" s="2332"/>
      <c r="K103" s="791"/>
      <c r="L103" s="791"/>
    </row>
    <row r="104" spans="1:12" s="957" customFormat="1">
      <c r="A104" s="2331"/>
      <c r="D104" s="2332"/>
      <c r="K104" s="791"/>
      <c r="L104" s="791"/>
    </row>
    <row r="105" spans="1:12" s="957" customFormat="1">
      <c r="A105" s="2331"/>
      <c r="D105" s="2332"/>
      <c r="K105" s="791"/>
      <c r="L105" s="791"/>
    </row>
    <row r="106" spans="1:12" s="957" customFormat="1">
      <c r="A106" s="2331"/>
      <c r="D106" s="2332"/>
      <c r="K106" s="791"/>
      <c r="L106" s="791"/>
    </row>
    <row r="107" spans="1:12" s="957" customFormat="1">
      <c r="A107" s="2331"/>
      <c r="D107" s="2332"/>
      <c r="K107" s="791"/>
      <c r="L107" s="791"/>
    </row>
    <row r="108" spans="1:12" s="957" customFormat="1">
      <c r="A108" s="2331"/>
      <c r="D108" s="2332"/>
      <c r="K108" s="791"/>
      <c r="L108" s="791"/>
    </row>
    <row r="109" spans="1:12" s="957" customFormat="1">
      <c r="A109" s="2331"/>
      <c r="D109" s="2332"/>
      <c r="K109" s="791"/>
      <c r="L109" s="791"/>
    </row>
    <row r="110" spans="1:12" s="957" customFormat="1">
      <c r="A110" s="2331"/>
      <c r="D110" s="2332"/>
      <c r="K110" s="791"/>
      <c r="L110" s="791"/>
    </row>
    <row r="111" spans="1:12" s="957" customFormat="1">
      <c r="A111" s="2331"/>
      <c r="D111" s="2332"/>
      <c r="K111" s="791"/>
      <c r="L111" s="791"/>
    </row>
    <row r="112" spans="1:12" s="957" customFormat="1">
      <c r="A112" s="2331"/>
      <c r="D112" s="2332"/>
      <c r="K112" s="791"/>
      <c r="L112" s="791"/>
    </row>
    <row r="113" spans="1:12" s="957" customFormat="1">
      <c r="A113" s="2331"/>
      <c r="D113" s="2332"/>
      <c r="K113" s="791"/>
      <c r="L113" s="791"/>
    </row>
    <row r="114" spans="1:12" s="957" customFormat="1">
      <c r="A114" s="2331"/>
      <c r="D114" s="2332"/>
      <c r="K114" s="791"/>
      <c r="L114" s="791"/>
    </row>
    <row r="115" spans="1:12" s="957" customFormat="1">
      <c r="A115" s="2331"/>
      <c r="D115" s="2332"/>
      <c r="K115" s="791"/>
      <c r="L115" s="791"/>
    </row>
    <row r="116" spans="1:12" s="957" customFormat="1">
      <c r="A116" s="2331"/>
      <c r="D116" s="2332"/>
      <c r="K116" s="791"/>
      <c r="L116" s="791"/>
    </row>
    <row r="117" spans="1:12" s="957" customFormat="1">
      <c r="A117" s="2331"/>
      <c r="D117" s="2332"/>
      <c r="K117" s="791"/>
      <c r="L117" s="791"/>
    </row>
    <row r="118" spans="1:12" s="957" customFormat="1">
      <c r="A118" s="2331"/>
      <c r="D118" s="2332"/>
      <c r="K118" s="791"/>
      <c r="L118" s="791"/>
    </row>
    <row r="119" spans="1:12" s="957" customFormat="1">
      <c r="A119" s="2331"/>
      <c r="D119" s="2332"/>
      <c r="K119" s="791"/>
      <c r="L119" s="791"/>
    </row>
    <row r="120" spans="1:12" s="957" customFormat="1">
      <c r="A120" s="2331"/>
      <c r="D120" s="2332"/>
      <c r="K120" s="791"/>
      <c r="L120" s="791"/>
    </row>
    <row r="121" spans="1:12" s="957" customFormat="1">
      <c r="A121" s="2331"/>
      <c r="D121" s="2332"/>
      <c r="K121" s="791"/>
      <c r="L121" s="791"/>
    </row>
    <row r="122" spans="1:12" s="957" customFormat="1">
      <c r="A122" s="2331"/>
      <c r="D122" s="2332"/>
      <c r="K122" s="791"/>
      <c r="L122" s="791"/>
    </row>
    <row r="123" spans="1:12" s="957" customFormat="1">
      <c r="A123" s="2331"/>
      <c r="D123" s="2332"/>
      <c r="K123" s="791"/>
      <c r="L123" s="791"/>
    </row>
    <row r="124" spans="1:12" s="957" customFormat="1">
      <c r="A124" s="2331"/>
      <c r="D124" s="2332"/>
      <c r="K124" s="791"/>
      <c r="L124" s="791"/>
    </row>
    <row r="125" spans="1:12" s="957" customFormat="1">
      <c r="A125" s="2331"/>
      <c r="D125" s="2332"/>
      <c r="K125" s="791"/>
      <c r="L125" s="791"/>
    </row>
    <row r="126" spans="1:12" s="957" customFormat="1">
      <c r="A126" s="2331"/>
      <c r="D126" s="2332"/>
      <c r="K126" s="791"/>
      <c r="L126" s="791"/>
    </row>
    <row r="127" spans="1:12" s="957" customFormat="1">
      <c r="A127" s="2331"/>
      <c r="D127" s="2332"/>
      <c r="K127" s="791"/>
      <c r="L127" s="791"/>
    </row>
    <row r="128" spans="1:12" s="957" customFormat="1">
      <c r="A128" s="2331"/>
      <c r="D128" s="2332"/>
      <c r="K128" s="791"/>
      <c r="L128" s="791"/>
    </row>
    <row r="129" spans="1:12" s="957" customFormat="1">
      <c r="A129" s="2331"/>
      <c r="D129" s="2332"/>
      <c r="K129" s="791"/>
      <c r="L129" s="791"/>
    </row>
    <row r="130" spans="1:12" s="957" customFormat="1">
      <c r="A130" s="2331"/>
      <c r="D130" s="2332"/>
      <c r="K130" s="791"/>
      <c r="L130" s="791"/>
    </row>
    <row r="131" spans="1:12" s="957" customFormat="1">
      <c r="A131" s="2331"/>
      <c r="D131" s="2332"/>
      <c r="K131" s="791"/>
      <c r="L131" s="791"/>
    </row>
    <row r="132" spans="1:12" s="957" customFormat="1">
      <c r="A132" s="2331"/>
      <c r="D132" s="2332"/>
      <c r="K132" s="791"/>
      <c r="L132" s="791"/>
    </row>
    <row r="133" spans="1:12" s="957" customFormat="1">
      <c r="A133" s="2331"/>
      <c r="D133" s="2332"/>
      <c r="K133" s="791"/>
      <c r="L133" s="791"/>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1" t="s">
        <v>2086</v>
      </c>
      <c r="B1" s="3102"/>
      <c r="C1" s="3102"/>
      <c r="D1" s="3102"/>
      <c r="E1" s="3102"/>
      <c r="F1" s="3102"/>
      <c r="G1" s="310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2087</v>
      </c>
      <c r="D2" s="2356"/>
      <c r="E2" s="2357"/>
      <c r="F2" s="2276"/>
      <c r="G2" s="2355" t="s">
        <v>2088</v>
      </c>
      <c r="H2" s="2358"/>
      <c r="I2" s="2358"/>
      <c r="J2" s="2358"/>
      <c r="K2" s="2358"/>
      <c r="L2" s="2358"/>
      <c r="M2" s="2358"/>
      <c r="N2" s="2358"/>
      <c r="O2" s="2358"/>
      <c r="P2" s="2358"/>
      <c r="Q2" s="2358"/>
      <c r="R2" s="2358"/>
    </row>
    <row r="3" spans="1:29" ht="42.75">
      <c r="A3" s="408" t="s">
        <v>2089</v>
      </c>
      <c r="B3" s="1261" t="s">
        <v>2090</v>
      </c>
      <c r="C3" s="2932"/>
      <c r="D3" s="2360"/>
      <c r="E3" s="424" t="s">
        <v>2089</v>
      </c>
      <c r="F3" s="2361" t="s">
        <v>2091</v>
      </c>
      <c r="G3" s="2362" t="s">
        <v>2092</v>
      </c>
      <c r="H3" s="2358"/>
      <c r="I3" s="2358"/>
      <c r="J3" s="2358"/>
      <c r="K3" s="2358"/>
      <c r="L3" s="2358"/>
      <c r="M3" s="2358"/>
      <c r="N3" s="2358"/>
      <c r="O3" s="2358"/>
      <c r="P3" s="2358"/>
      <c r="Q3" s="2358"/>
      <c r="R3" s="2358"/>
    </row>
    <row r="4" spans="1:29" ht="40.5">
      <c r="A4" s="424"/>
      <c r="B4" s="1787" t="s">
        <v>2093</v>
      </c>
      <c r="C4" s="2933" t="s">
        <v>3145</v>
      </c>
      <c r="D4" s="2360"/>
      <c r="E4" s="2363"/>
      <c r="F4" s="42" t="s">
        <v>2094</v>
      </c>
      <c r="G4" s="2364" t="s">
        <v>2095</v>
      </c>
      <c r="H4" s="2358"/>
      <c r="I4" s="2358"/>
      <c r="J4" s="2358"/>
      <c r="K4" s="2358"/>
      <c r="L4" s="2358"/>
      <c r="M4" s="2358"/>
      <c r="N4" s="2358"/>
      <c r="O4" s="2358"/>
      <c r="P4" s="2358"/>
      <c r="Q4" s="2358"/>
      <c r="R4" s="2358"/>
    </row>
    <row r="5" spans="1:29" ht="54">
      <c r="A5" s="424"/>
      <c r="B5" s="1787" t="s">
        <v>2096</v>
      </c>
      <c r="C5" s="2933" t="s">
        <v>3166</v>
      </c>
      <c r="D5" s="2360"/>
      <c r="E5" s="2363"/>
      <c r="F5" s="1787" t="s">
        <v>2097</v>
      </c>
      <c r="G5" s="2364" t="s">
        <v>2098</v>
      </c>
      <c r="H5" s="2358"/>
      <c r="I5" s="2358"/>
      <c r="J5" s="2358"/>
      <c r="K5" s="2358"/>
      <c r="L5" s="2358"/>
      <c r="M5" s="2358"/>
      <c r="N5" s="2358"/>
      <c r="O5" s="2358"/>
      <c r="P5" s="2358"/>
      <c r="Q5" s="2358"/>
      <c r="R5" s="2358"/>
    </row>
    <row r="6" spans="1:29" ht="67.5">
      <c r="A6" s="424"/>
      <c r="B6" s="1787" t="s">
        <v>2099</v>
      </c>
      <c r="C6" s="2934" t="s">
        <v>3147</v>
      </c>
      <c r="D6" s="2360"/>
      <c r="E6" s="2363"/>
      <c r="F6" s="1787" t="s">
        <v>2100</v>
      </c>
      <c r="G6" s="2364" t="s">
        <v>2101</v>
      </c>
      <c r="H6" s="2358"/>
      <c r="I6" s="2358"/>
      <c r="J6" s="2358"/>
      <c r="K6" s="2358"/>
      <c r="L6" s="2358"/>
      <c r="M6" s="2358"/>
      <c r="N6" s="2358"/>
      <c r="O6" s="2358"/>
      <c r="P6" s="2358"/>
      <c r="Q6" s="2358"/>
      <c r="R6" s="2358"/>
    </row>
    <row r="7" spans="1:29" ht="41.25" thickBot="1">
      <c r="A7" s="424"/>
      <c r="B7" s="1787" t="s">
        <v>2097</v>
      </c>
      <c r="C7" s="2934" t="s">
        <v>3148</v>
      </c>
      <c r="D7" s="2365"/>
      <c r="E7" s="2366"/>
      <c r="F7" s="2367" t="s">
        <v>2102</v>
      </c>
      <c r="G7" s="2368" t="s">
        <v>2103</v>
      </c>
      <c r="H7" s="2358"/>
      <c r="I7" s="2358"/>
      <c r="J7" s="2358"/>
      <c r="K7" s="2358"/>
      <c r="L7" s="2358"/>
      <c r="M7" s="2358"/>
      <c r="N7" s="2358"/>
      <c r="O7" s="2358"/>
      <c r="P7" s="2358"/>
      <c r="Q7" s="2358"/>
      <c r="R7" s="2358"/>
    </row>
    <row r="8" spans="1:29" ht="27">
      <c r="A8" s="424"/>
      <c r="B8" s="1787" t="s">
        <v>2100</v>
      </c>
      <c r="C8" s="2934" t="s">
        <v>3146</v>
      </c>
      <c r="D8" s="2365"/>
      <c r="E8" s="2365"/>
      <c r="F8" s="1126"/>
      <c r="G8" s="1126"/>
      <c r="H8" s="2358"/>
      <c r="I8" s="2358"/>
      <c r="J8" s="2358"/>
      <c r="K8" s="2358"/>
      <c r="L8" s="2358"/>
      <c r="M8" s="2358"/>
      <c r="N8" s="2358"/>
      <c r="O8" s="2358"/>
      <c r="P8" s="2358"/>
      <c r="Q8" s="2358"/>
      <c r="R8" s="2358"/>
    </row>
    <row r="9" spans="1:29" ht="67.5">
      <c r="A9" s="424"/>
      <c r="B9" s="1787" t="s">
        <v>2104</v>
      </c>
      <c r="C9" s="2933" t="s">
        <v>3149</v>
      </c>
      <c r="D9" s="2360"/>
      <c r="E9" s="2365"/>
      <c r="F9" s="1126"/>
      <c r="G9" s="1126"/>
      <c r="H9" s="2358"/>
      <c r="I9" s="2358"/>
      <c r="J9" s="2358"/>
      <c r="K9" s="2358"/>
      <c r="L9" s="2358"/>
      <c r="M9" s="2358"/>
      <c r="N9" s="2358"/>
      <c r="O9" s="2358"/>
      <c r="P9" s="2358"/>
      <c r="Q9" s="2358"/>
      <c r="R9" s="2358"/>
    </row>
    <row r="10" spans="1:29" s="111" customFormat="1" ht="15.75" thickBot="1">
      <c r="A10" s="2369"/>
      <c r="B10" s="2370" t="s">
        <v>2105</v>
      </c>
      <c r="C10" s="2371" t="s">
        <v>3150</v>
      </c>
      <c r="D10" s="2360"/>
      <c r="E10" s="2360"/>
      <c r="F10" s="1126"/>
      <c r="G10" s="1126"/>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1" customFormat="1" ht="15">
      <c r="A11" s="2375"/>
      <c r="B11" s="2365"/>
      <c r="C11" s="2360"/>
      <c r="D11" s="2360"/>
      <c r="E11" s="2360"/>
      <c r="F11" s="2365"/>
      <c r="G11" s="1144"/>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4"/>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2106</v>
      </c>
      <c r="B13" s="2376"/>
      <c r="C13" s="2376"/>
      <c r="D13" s="2383"/>
      <c r="E13" s="2376"/>
      <c r="F13" s="2376"/>
      <c r="G13" s="2376"/>
    </row>
    <row r="14" spans="1:29" ht="15.75" thickBot="1">
      <c r="A14" s="2387"/>
      <c r="B14" s="2388"/>
      <c r="C14" s="2389" t="s">
        <v>2107</v>
      </c>
      <c r="D14" s="2360"/>
      <c r="E14" s="2390"/>
      <c r="F14" s="2390"/>
      <c r="G14" s="2355" t="s">
        <v>2108</v>
      </c>
    </row>
    <row r="15" spans="1:29" ht="42.75">
      <c r="A15" s="66" t="s">
        <v>2109</v>
      </c>
      <c r="B15" s="1260" t="s">
        <v>2090</v>
      </c>
      <c r="C15" s="2391">
        <f>C3</f>
        <v>0</v>
      </c>
      <c r="D15" s="2360"/>
      <c r="E15" s="2392" t="s">
        <v>2110</v>
      </c>
      <c r="F15" s="1260" t="s">
        <v>2111</v>
      </c>
      <c r="G15" s="128" t="str">
        <f>G3</f>
        <v>估价对象位于XX开发区，园区建设成熟度XX，产业集聚程度XX</v>
      </c>
    </row>
    <row r="16" spans="1:29" ht="42.75">
      <c r="A16" s="638"/>
      <c r="B16" s="2393" t="s">
        <v>2093</v>
      </c>
      <c r="C16" s="2394" t="str">
        <f>C4</f>
        <v>估价对象位于顺义区南法信，周边商业氛围一般，人流量一般，商业繁华度一般</v>
      </c>
      <c r="D16" s="2360"/>
      <c r="E16" s="2395"/>
      <c r="F16" s="2396" t="s">
        <v>2094</v>
      </c>
      <c r="G16" s="129" t="str">
        <f>G4</f>
        <v>估价对象周边道路状况、公共交通通达情况、停车便捷程度，综合评价交通便捷度较好</v>
      </c>
    </row>
    <row r="17" spans="1:18" ht="57">
      <c r="A17" s="638"/>
      <c r="B17" s="2393" t="s">
        <v>2096</v>
      </c>
      <c r="C17" s="2394" t="str">
        <f>C5</f>
        <v>估价对象位于顺义区南法信，周边写字楼项目聚集度一般，出租率一般，综合确定办公聚集度一般</v>
      </c>
      <c r="D17" s="2365"/>
      <c r="E17" s="2395"/>
      <c r="F17" s="2396" t="s">
        <v>2112</v>
      </c>
      <c r="G17" s="1561"/>
    </row>
    <row r="18" spans="1:18" ht="71.25">
      <c r="A18" s="638"/>
      <c r="B18" s="2396" t="s">
        <v>2099</v>
      </c>
      <c r="C18" s="129" t="str">
        <f>C6</f>
        <v>估价对象周边道路路网密集度较好、公共交通通达情况较好，临近15号线南法信站、停车便捷程度较好，综合评价交通便捷度较好</v>
      </c>
      <c r="D18" s="2365"/>
      <c r="E18" s="2395"/>
      <c r="F18" s="2396" t="s">
        <v>2102</v>
      </c>
      <c r="G18" s="129" t="str">
        <f>G7</f>
        <v>该园区内是否有污染型企业，绿化情况，卫生条件，整体环境状况判断</v>
      </c>
    </row>
    <row r="19" spans="1:18" ht="28.5">
      <c r="A19" s="638"/>
      <c r="B19" s="2396" t="s">
        <v>2113</v>
      </c>
      <c r="C19" s="1561"/>
      <c r="D19" s="2360"/>
      <c r="E19" s="2395"/>
      <c r="F19" s="1787" t="s">
        <v>2097</v>
      </c>
      <c r="G19" s="129" t="str">
        <f>G5</f>
        <v>估价对象所在区域公共配套设施齐备情况</v>
      </c>
    </row>
    <row r="20" spans="1:18" ht="71.25">
      <c r="A20" s="638"/>
      <c r="B20" s="2396" t="s">
        <v>2114</v>
      </c>
      <c r="C20" s="2394" t="str">
        <f>C9</f>
        <v>区域自然环境：2公里内绿化条件较好，无污染，无公园等景观；人文环境：2公里内无图书馆、剧院等设施；综合评价环境状况较差</v>
      </c>
      <c r="D20" s="2365"/>
      <c r="E20" s="2395"/>
      <c r="F20" s="1787" t="s">
        <v>2115</v>
      </c>
      <c r="G20" s="129" t="str">
        <f>G6</f>
        <v>估价对象所在区域基础设施水平</v>
      </c>
    </row>
    <row r="21" spans="1:18" ht="42.75">
      <c r="A21" s="638"/>
      <c r="B21" s="1787" t="s">
        <v>2097</v>
      </c>
      <c r="C21" s="129" t="str">
        <f>C7</f>
        <v>估价对象所在区域公共配套设施齐备情况较好，有邮储银行、华联超市</v>
      </c>
      <c r="D21" s="2360"/>
      <c r="E21" s="2395"/>
      <c r="F21" s="2396" t="s">
        <v>2116</v>
      </c>
      <c r="G21" s="2397"/>
    </row>
    <row r="22" spans="1:18" ht="13.5" customHeight="1">
      <c r="A22" s="638"/>
      <c r="B22" s="1787" t="s">
        <v>2100</v>
      </c>
      <c r="C22" s="129" t="str">
        <f>C8</f>
        <v>估价对象所在区域基础设施水平达到七通</v>
      </c>
      <c r="D22" s="2360"/>
      <c r="E22" s="2395"/>
      <c r="F22" s="2396" t="s">
        <v>2105</v>
      </c>
      <c r="G22" s="1561"/>
    </row>
    <row r="23" spans="1:18" s="2358" customFormat="1" ht="15.75" thickBot="1">
      <c r="A23" s="638"/>
      <c r="B23" s="2396" t="s">
        <v>2116</v>
      </c>
      <c r="C23" s="2397"/>
      <c r="D23" s="2384"/>
      <c r="E23" s="2398"/>
      <c r="F23" s="2399" t="s">
        <v>2117</v>
      </c>
      <c r="G23" s="2400"/>
      <c r="H23" s="2384"/>
      <c r="I23" s="2385"/>
      <c r="J23" s="2384"/>
      <c r="K23" s="2384"/>
      <c r="L23" s="2385"/>
      <c r="M23" s="2384"/>
      <c r="N23" s="2384"/>
      <c r="O23" s="2385"/>
      <c r="P23" s="2384"/>
      <c r="Q23" s="2384"/>
      <c r="R23" s="2386"/>
    </row>
    <row r="24" spans="1:18" s="2358" customFormat="1" ht="15.75" thickBot="1">
      <c r="A24" s="2401"/>
      <c r="B24" s="2399" t="s">
        <v>2118</v>
      </c>
      <c r="C24" s="130" t="str">
        <f>C10</f>
        <v>城市支路-东兴街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0" customWidth="1"/>
    <col min="2" max="9" width="15.75" style="1730" customWidth="1"/>
    <col min="10" max="16384" width="9" style="1730"/>
  </cols>
  <sheetData>
    <row r="1" spans="1:10" ht="16.5">
      <c r="A1" s="1735" t="s">
        <v>1365</v>
      </c>
      <c r="B1" s="1735">
        <f>SUM(B14:B23)</f>
        <v>103416.51999999999</v>
      </c>
      <c r="C1" s="1734"/>
      <c r="D1" s="1734"/>
      <c r="E1" s="1734"/>
      <c r="F1" s="1734"/>
      <c r="G1" s="1732"/>
    </row>
    <row r="2" spans="1:10" ht="16.5">
      <c r="A2" s="1735" t="s">
        <v>1353</v>
      </c>
      <c r="B2" s="1735">
        <f>SUM(C14:C23)</f>
        <v>38798.11</v>
      </c>
      <c r="C2" s="1734"/>
      <c r="D2" s="1734"/>
      <c r="E2" s="1734"/>
      <c r="F2" s="1734"/>
      <c r="G2" s="1732"/>
    </row>
    <row r="3" spans="1:10" ht="16.5">
      <c r="A3" s="1735" t="s">
        <v>1362</v>
      </c>
      <c r="B3" s="1736">
        <f>项目基本情况!D3</f>
        <v>43168</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211231</v>
      </c>
      <c r="C5" s="1735">
        <f ca="1">ROUND(B5*10000/$B$1,0)</f>
        <v>20425</v>
      </c>
      <c r="D5" s="1735">
        <f ca="1">ROUND(B5*10000/$B$2,0)</f>
        <v>54444</v>
      </c>
      <c r="E5" s="1734"/>
      <c r="F5" s="1732"/>
      <c r="G5" s="1732"/>
    </row>
    <row r="6" spans="1:10" ht="16.5">
      <c r="A6" s="1735" t="s">
        <v>1356</v>
      </c>
      <c r="B6" s="1735">
        <f ca="1">SUM(G14:G23)</f>
        <v>211231</v>
      </c>
      <c r="C6" s="1735">
        <f ca="1">ROUND(B6*10000/$B$1,0)</f>
        <v>20425</v>
      </c>
      <c r="D6" s="1735">
        <f ca="1">ROUND(B6*10000/$B$2,0)</f>
        <v>54444</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103416.51999999999</v>
      </c>
      <c r="C14" s="1733">
        <f>结果表!C118</f>
        <v>38798.11</v>
      </c>
      <c r="D14" s="1733">
        <f ca="1">结果表!H118</f>
        <v>211231</v>
      </c>
      <c r="E14" s="1733">
        <f ca="1">ROUND(D14*10000/B14,0)</f>
        <v>20425</v>
      </c>
      <c r="F14" s="1733">
        <f ca="1">ROUND(D14*10000/C14,0)</f>
        <v>54444</v>
      </c>
      <c r="G14" s="1733">
        <f ca="1">结果表!D122</f>
        <v>211231</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13"/>
    <col min="3" max="4" width="12.625" style="2413" customWidth="1"/>
    <col min="5" max="9" width="12.625" style="2413"/>
    <col min="10" max="11" width="12.625" style="788" customWidth="1"/>
    <col min="12" max="12" width="12.625" style="788"/>
    <col min="13" max="13" width="14.125" style="788" bestFit="1" customWidth="1"/>
    <col min="14" max="26" width="12.625" style="788"/>
    <col min="27" max="35" width="12.625" style="2412"/>
    <col min="36" max="16384" width="12.625" style="2413"/>
  </cols>
  <sheetData>
    <row r="1" spans="1:12" ht="21.75" customHeight="1" thickBot="1">
      <c r="A1" s="2216" t="s">
        <v>2119</v>
      </c>
      <c r="B1" s="2407"/>
      <c r="C1" s="2408"/>
      <c r="D1" s="2407"/>
      <c r="E1" s="2407"/>
      <c r="F1" s="2409" t="s">
        <v>2120</v>
      </c>
      <c r="G1" s="2062" t="s">
        <v>2121</v>
      </c>
      <c r="H1" s="2410" t="str">
        <f>IF(G1="现房","——","估价对象范围")</f>
        <v>估价对象范围</v>
      </c>
      <c r="I1" s="2411"/>
    </row>
    <row r="2" spans="1:12" ht="21.75" customHeight="1" thickBot="1">
      <c r="A2" s="3136" t="str">
        <f>项目基本情况!S2</f>
        <v>北京市出让国有建设用地使用权及在建建筑物房地产</v>
      </c>
      <c r="B2" s="3137"/>
      <c r="C2" s="3137"/>
      <c r="D2" s="3137"/>
      <c r="E2" s="3137"/>
      <c r="F2" s="3137"/>
      <c r="G2" s="3137"/>
      <c r="H2" s="3137"/>
      <c r="I2" s="3138"/>
    </row>
    <row r="3" spans="1:12" ht="12.75">
      <c r="A3" s="3140" t="s">
        <v>2122</v>
      </c>
      <c r="B3" s="3141"/>
      <c r="C3" s="3141"/>
      <c r="D3" s="3141"/>
      <c r="E3" s="3141"/>
      <c r="F3" s="3141"/>
      <c r="G3" s="3141"/>
      <c r="H3" s="3141"/>
      <c r="I3" s="3141"/>
    </row>
    <row r="4" spans="1:12" ht="14.25">
      <c r="A4" s="2414" t="s">
        <v>2123</v>
      </c>
      <c r="B4" s="2415" t="s">
        <v>2124</v>
      </c>
      <c r="C4" s="2416" t="s">
        <v>3494</v>
      </c>
      <c r="D4" s="2416" t="s">
        <v>3495</v>
      </c>
      <c r="E4" s="3133" t="s">
        <v>2125</v>
      </c>
      <c r="F4" s="3134"/>
      <c r="G4" s="3134"/>
      <c r="H4" s="3134"/>
      <c r="I4" s="3142"/>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2126</v>
      </c>
      <c r="B5" s="3053">
        <v>25</v>
      </c>
      <c r="C5" s="3119"/>
      <c r="D5" s="3139"/>
      <c r="E5" s="133" t="s">
        <v>2127</v>
      </c>
      <c r="F5" s="2418"/>
      <c r="G5" s="2418"/>
      <c r="H5" s="2418"/>
      <c r="I5" s="1823"/>
    </row>
    <row r="6" spans="1:12" ht="12.75">
      <c r="A6" s="3116"/>
      <c r="B6" s="3053"/>
      <c r="C6" s="3120"/>
      <c r="D6" s="3139"/>
      <c r="E6" s="133" t="s">
        <v>2128</v>
      </c>
      <c r="F6" s="2418"/>
      <c r="G6" s="2418"/>
      <c r="H6" s="2418"/>
      <c r="I6" s="1823"/>
    </row>
    <row r="7" spans="1:12" ht="12.75">
      <c r="A7" s="3116"/>
      <c r="B7" s="3053"/>
      <c r="C7" s="3121"/>
      <c r="D7" s="3139"/>
      <c r="E7" s="133" t="s">
        <v>2129</v>
      </c>
      <c r="F7" s="2418"/>
      <c r="G7" s="2418"/>
      <c r="H7" s="2418"/>
      <c r="I7" s="1823"/>
    </row>
    <row r="8" spans="1:12" ht="12.75">
      <c r="A8" s="3116" t="s">
        <v>2130</v>
      </c>
      <c r="B8" s="3053">
        <v>15</v>
      </c>
      <c r="C8" s="3119"/>
      <c r="D8" s="3139"/>
      <c r="E8" s="133" t="s">
        <v>2131</v>
      </c>
      <c r="F8" s="2418"/>
      <c r="G8" s="2418"/>
      <c r="H8" s="2418"/>
      <c r="I8" s="1823"/>
    </row>
    <row r="9" spans="1:12" ht="12.75">
      <c r="A9" s="3116"/>
      <c r="B9" s="3053"/>
      <c r="C9" s="3121"/>
      <c r="D9" s="3139"/>
      <c r="E9" s="133" t="s">
        <v>2132</v>
      </c>
      <c r="F9" s="2418"/>
      <c r="G9" s="2418"/>
      <c r="H9" s="2418"/>
      <c r="I9" s="1823"/>
    </row>
    <row r="10" spans="1:12" ht="12.75">
      <c r="A10" s="3116" t="s">
        <v>2133</v>
      </c>
      <c r="B10" s="3053">
        <v>15</v>
      </c>
      <c r="C10" s="3119"/>
      <c r="D10" s="3139"/>
      <c r="E10" s="133" t="s">
        <v>2134</v>
      </c>
      <c r="F10" s="2418"/>
      <c r="G10" s="2418"/>
      <c r="H10" s="2418"/>
      <c r="I10" s="1823"/>
    </row>
    <row r="11" spans="1:12" ht="12.75">
      <c r="A11" s="3116"/>
      <c r="B11" s="3053"/>
      <c r="C11" s="3121"/>
      <c r="D11" s="3139"/>
      <c r="E11" s="133" t="s">
        <v>2135</v>
      </c>
      <c r="F11" s="2418"/>
      <c r="G11" s="2418"/>
      <c r="H11" s="2418"/>
      <c r="I11" s="1823"/>
    </row>
    <row r="12" spans="1:12" ht="12.75">
      <c r="A12" s="3116" t="s">
        <v>2136</v>
      </c>
      <c r="B12" s="3053">
        <v>15</v>
      </c>
      <c r="C12" s="3119"/>
      <c r="D12" s="3139"/>
      <c r="E12" s="133" t="s">
        <v>2137</v>
      </c>
      <c r="F12" s="2418"/>
      <c r="G12" s="2418"/>
      <c r="H12" s="2418"/>
      <c r="I12" s="1823"/>
    </row>
    <row r="13" spans="1:12" ht="12.75">
      <c r="A13" s="3116"/>
      <c r="B13" s="3053"/>
      <c r="C13" s="3121"/>
      <c r="D13" s="3139"/>
      <c r="E13" s="133" t="s">
        <v>2138</v>
      </c>
      <c r="F13" s="2418"/>
      <c r="G13" s="2418"/>
      <c r="H13" s="2418"/>
      <c r="I13" s="1823"/>
    </row>
    <row r="14" spans="1:12" ht="12.75">
      <c r="A14" s="3116" t="s">
        <v>2139</v>
      </c>
      <c r="B14" s="3053">
        <v>30</v>
      </c>
      <c r="C14" s="3119">
        <v>5</v>
      </c>
      <c r="D14" s="3139">
        <v>5</v>
      </c>
      <c r="E14" s="133" t="s">
        <v>2140</v>
      </c>
      <c r="F14" s="2418"/>
      <c r="G14" s="2418"/>
      <c r="H14" s="2418"/>
      <c r="I14" s="1823"/>
    </row>
    <row r="15" spans="1:12" ht="12.75">
      <c r="A15" s="3116"/>
      <c r="B15" s="3053"/>
      <c r="C15" s="3120"/>
      <c r="D15" s="3139"/>
      <c r="E15" s="133" t="s">
        <v>2141</v>
      </c>
      <c r="F15" s="2418"/>
      <c r="G15" s="2418"/>
      <c r="H15" s="2418"/>
      <c r="I15" s="1823"/>
    </row>
    <row r="16" spans="1:12" ht="12.75">
      <c r="A16" s="3116"/>
      <c r="B16" s="3053"/>
      <c r="C16" s="3121"/>
      <c r="D16" s="3139"/>
      <c r="E16" s="133" t="s">
        <v>2142</v>
      </c>
      <c r="F16" s="2418"/>
      <c r="G16" s="2418"/>
      <c r="H16" s="2418"/>
      <c r="I16" s="1823"/>
    </row>
    <row r="17" spans="1:35" ht="15">
      <c r="A17" s="2419" t="s">
        <v>2143</v>
      </c>
      <c r="B17" s="62"/>
      <c r="C17" s="134">
        <f>SUM(C5:C16)</f>
        <v>5</v>
      </c>
      <c r="D17" s="134">
        <f>SUM(D5:D16)</f>
        <v>5</v>
      </c>
      <c r="E17" s="131"/>
      <c r="F17" s="131"/>
      <c r="G17" s="131"/>
      <c r="H17" s="131"/>
      <c r="I17" s="131"/>
      <c r="K17" s="2417"/>
      <c r="L17" s="2420" t="s">
        <v>2144</v>
      </c>
      <c r="M17" s="2420" t="s">
        <v>2145</v>
      </c>
    </row>
    <row r="18" spans="1:35" ht="15.75" thickBot="1">
      <c r="A18" s="2421" t="s">
        <v>2146</v>
      </c>
      <c r="B18" s="2422"/>
      <c r="C18" s="135">
        <f>ROUND(C17/SUM(C17:D17),2)</f>
        <v>0.5</v>
      </c>
      <c r="D18" s="135">
        <f>1-C18</f>
        <v>0.5</v>
      </c>
      <c r="E18" s="131"/>
      <c r="F18" s="131"/>
      <c r="G18" s="131"/>
      <c r="H18" s="131"/>
      <c r="I18" s="131"/>
      <c r="K18" s="2417" t="s">
        <v>2147</v>
      </c>
      <c r="L18" s="2417">
        <f>IF(C1="",'数据-汇总表'!E3,SUMIF(项目类型,C1,'数据-汇总表'!E17:E26)+SUMIF(项目类型,C1,'数据-汇总表'!I17:I26))</f>
        <v>103416.51999999999</v>
      </c>
      <c r="M18" s="2417">
        <f>IF(C1="",'数据-汇总表'!E3,SUMIF(项目类型,C1,'数据-汇总表'!E17:E26))</f>
        <v>103416.51999999999</v>
      </c>
    </row>
    <row r="19" spans="1:35" ht="15">
      <c r="A19" s="2423" t="s">
        <v>2148</v>
      </c>
      <c r="B19" s="2424" t="s">
        <v>2149</v>
      </c>
      <c r="C19" s="136">
        <f ca="1">SUMIF(INDIRECT("'"&amp;C4&amp;"'"&amp;"!A:A"),结果表!B19,INDIRECT("'"&amp;C4&amp;"'"&amp;"!B:B"))</f>
        <v>204134</v>
      </c>
      <c r="D19" s="137">
        <f ca="1">SUMIF(INDIRECT("'"&amp;D4&amp;"'"&amp;"!A:A"),结果表!B19,INDIRECT("'"&amp;D4&amp;"'"&amp;"!B:B"))</f>
        <v>218328</v>
      </c>
      <c r="E19" s="2423" t="s">
        <v>2150</v>
      </c>
      <c r="F19" s="2424" t="s">
        <v>2149</v>
      </c>
      <c r="G19" s="138">
        <f ca="1">ROUND(C19*$C$18+D19*$D$18,0)</f>
        <v>211231</v>
      </c>
      <c r="H19" s="2425" t="s">
        <v>2151</v>
      </c>
      <c r="I19" s="131"/>
      <c r="K19" s="2417" t="s">
        <v>2152</v>
      </c>
      <c r="L19" s="2417">
        <f>IF(C1="",'数据-汇总表'!D3,SUMIF(项目类型,C1,'数据-汇总表'!D17:D26)+SUMIF(项目类型,C1,'数据-汇总表'!H17:H27))</f>
        <v>38798.11</v>
      </c>
      <c r="M19" s="2417">
        <f>IF(C1="",'数据-汇总表'!D3,SUMIF(项目类型,C1,'数据-汇总表'!D17:D26))</f>
        <v>38798.11</v>
      </c>
    </row>
    <row r="20" spans="1:35" ht="15">
      <c r="A20" s="2426"/>
      <c r="B20" s="1240" t="s">
        <v>2153</v>
      </c>
      <c r="C20" s="139">
        <f ca="1">SUMIF(INDIRECT("'"&amp;C4&amp;"'"&amp;"!A:A"),结果表!B20,INDIRECT("'"&amp;C4&amp;"'"&amp;"!B:B"))</f>
        <v>19739</v>
      </c>
      <c r="D20" s="140">
        <f ca="1">SUMIF(INDIRECT("'"&amp;D4&amp;"'"&amp;"!A:A"),结果表!B20,INDIRECT("'"&amp;D4&amp;"'"&amp;"!B:B"))</f>
        <v>21112</v>
      </c>
      <c r="E20" s="2426"/>
      <c r="F20" s="1240" t="s">
        <v>2153</v>
      </c>
      <c r="G20" s="141">
        <f ca="1">ROUND(C20*$C$18+D20*$D$18,0)</f>
        <v>20426</v>
      </c>
      <c r="H20" s="973" t="s">
        <v>2154</v>
      </c>
      <c r="I20" s="131"/>
    </row>
    <row r="21" spans="1:35" ht="15" customHeight="1" thickBot="1">
      <c r="A21" s="993"/>
      <c r="B21" s="2427" t="s">
        <v>2155</v>
      </c>
      <c r="C21" s="782">
        <f ca="1">ROUND(C19*10000/L19,0)</f>
        <v>52614</v>
      </c>
      <c r="D21" s="783">
        <f ca="1">ROUND(D19*10000/L19,0)</f>
        <v>56273</v>
      </c>
      <c r="E21" s="993"/>
      <c r="F21" s="2427" t="s">
        <v>2155</v>
      </c>
      <c r="G21" s="142">
        <f ca="1">ROUND(G19*10000/L19,0)</f>
        <v>54444</v>
      </c>
      <c r="H21" s="2428" t="s">
        <v>2154</v>
      </c>
      <c r="I21" s="131"/>
    </row>
    <row r="22" spans="1:35" ht="15" thickBot="1">
      <c r="A22" s="2271" t="s">
        <v>2156</v>
      </c>
      <c r="B22" s="2429"/>
      <c r="C22" s="2430"/>
      <c r="D22" s="784">
        <f ca="1">IF(C19&lt;D19,D19/C19-1,C19/D19-1)</f>
        <v>6.9532757894324337E-2</v>
      </c>
      <c r="E22" s="131"/>
      <c r="F22" s="131"/>
      <c r="G22" s="131"/>
      <c r="H22" s="131"/>
      <c r="I22" s="131"/>
    </row>
    <row r="23" spans="1:35" ht="13.5" thickBot="1">
      <c r="A23" s="2407"/>
      <c r="B23" s="2407"/>
      <c r="C23" s="2407"/>
      <c r="D23" s="2407"/>
      <c r="E23" s="131"/>
      <c r="F23" s="131"/>
      <c r="G23" s="131"/>
      <c r="H23" s="131"/>
      <c r="I23" s="131"/>
    </row>
    <row r="24" spans="1:35" ht="14.25">
      <c r="A24" s="3110" t="s">
        <v>2157</v>
      </c>
      <c r="B24" s="2424" t="s">
        <v>2149</v>
      </c>
      <c r="C24" s="138">
        <f>IF(B30=0,0,D30)</f>
        <v>0</v>
      </c>
      <c r="D24" s="2431"/>
      <c r="E24" s="131"/>
      <c r="F24" s="131"/>
      <c r="G24" s="131"/>
      <c r="H24" s="131"/>
      <c r="I24" s="131"/>
    </row>
    <row r="25" spans="1:35" ht="14.25">
      <c r="A25" s="3111"/>
      <c r="B25" s="1240" t="s">
        <v>2153</v>
      </c>
      <c r="C25" s="143">
        <f>IF(B30=0,0,C30)</f>
        <v>0</v>
      </c>
      <c r="D25" s="2432"/>
      <c r="E25" s="131"/>
      <c r="F25" s="131"/>
      <c r="G25" s="131"/>
      <c r="H25" s="131"/>
      <c r="I25" s="131"/>
    </row>
    <row r="26" spans="1:35" ht="13.5" customHeight="1">
      <c r="A26" s="2433" t="s">
        <v>2158</v>
      </c>
      <c r="B26" s="144" t="s">
        <v>2159</v>
      </c>
      <c r="C26" s="144" t="s">
        <v>2160</v>
      </c>
      <c r="D26" s="145" t="s">
        <v>2161</v>
      </c>
      <c r="E26" s="131"/>
      <c r="F26" s="131"/>
      <c r="G26" s="131"/>
      <c r="H26" s="131"/>
      <c r="I26" s="131"/>
    </row>
    <row r="27" spans="1:35" ht="14.25">
      <c r="A27" s="2433"/>
      <c r="B27" s="144">
        <v>0</v>
      </c>
      <c r="C27" s="144">
        <v>0</v>
      </c>
      <c r="D27" s="145">
        <f>ROUND(C27*B27/10000,0)</f>
        <v>0</v>
      </c>
      <c r="E27" s="131"/>
      <c r="F27" s="131"/>
      <c r="G27" s="131"/>
      <c r="H27" s="131"/>
      <c r="I27" s="131"/>
    </row>
    <row r="28" spans="1:35" ht="14.25">
      <c r="A28" s="2433"/>
      <c r="B28" s="144"/>
      <c r="C28" s="144"/>
      <c r="D28" s="145"/>
      <c r="E28" s="131"/>
      <c r="F28" s="131"/>
      <c r="G28" s="131"/>
      <c r="H28" s="131"/>
      <c r="I28" s="131"/>
    </row>
    <row r="29" spans="1:35" ht="14.25">
      <c r="A29" s="2433"/>
      <c r="B29" s="144"/>
      <c r="C29" s="144"/>
      <c r="D29" s="145"/>
      <c r="E29" s="131"/>
      <c r="F29" s="131"/>
      <c r="G29" s="131"/>
      <c r="H29" s="131"/>
      <c r="I29" s="131"/>
    </row>
    <row r="30" spans="1:35" ht="14.25">
      <c r="A30" s="144" t="s">
        <v>2162</v>
      </c>
      <c r="B30" s="144"/>
      <c r="C30" s="144"/>
      <c r="D30" s="144"/>
      <c r="E30" s="2916" t="s">
        <v>3042</v>
      </c>
      <c r="F30" s="131"/>
      <c r="G30" s="131"/>
      <c r="H30" s="131"/>
      <c r="I30" s="131"/>
    </row>
    <row r="31" spans="1:35" s="2435" customFormat="1" ht="15" thickBot="1">
      <c r="A31" s="2434"/>
      <c r="B31" s="2434"/>
      <c r="C31" s="2434"/>
      <c r="D31" s="2434"/>
      <c r="E31" s="131"/>
      <c r="F31" s="131"/>
      <c r="G31" s="131"/>
      <c r="H31" s="131"/>
      <c r="I31" s="131"/>
      <c r="J31" s="788"/>
      <c r="K31" s="788"/>
      <c r="L31" s="788"/>
      <c r="M31" s="788"/>
      <c r="N31" s="788"/>
      <c r="O31" s="788"/>
      <c r="P31" s="788"/>
      <c r="Q31" s="788"/>
      <c r="R31" s="788"/>
      <c r="S31" s="788"/>
      <c r="T31" s="788"/>
      <c r="U31" s="788"/>
      <c r="V31" s="788"/>
      <c r="W31" s="788"/>
      <c r="X31" s="788"/>
      <c r="Y31" s="788"/>
      <c r="Z31" s="788"/>
      <c r="AA31" s="2412"/>
      <c r="AB31" s="2412"/>
      <c r="AC31" s="2412"/>
      <c r="AD31" s="2412"/>
      <c r="AE31" s="2412"/>
      <c r="AF31" s="2412"/>
      <c r="AG31" s="2412"/>
      <c r="AH31" s="2412"/>
      <c r="AI31" s="2412"/>
    </row>
    <row r="32" spans="1:35" ht="15.75" thickBot="1">
      <c r="A32" s="2436" t="s">
        <v>2163</v>
      </c>
      <c r="B32" s="2437"/>
      <c r="C32" s="146">
        <f ca="1">IF(D32="总价",G19-C24,G20-C25)</f>
        <v>211231</v>
      </c>
      <c r="D32" s="2438" t="s">
        <v>2164</v>
      </c>
      <c r="E32" s="131"/>
      <c r="F32" s="131"/>
      <c r="G32" s="131"/>
      <c r="H32" s="131"/>
      <c r="I32" s="131"/>
    </row>
    <row r="33" spans="1:15" ht="15">
      <c r="A33" s="950" t="s">
        <v>2165</v>
      </c>
      <c r="B33" s="2439"/>
      <c r="C33" s="2440"/>
      <c r="D33" s="2441"/>
      <c r="E33" s="2442" t="s">
        <v>2166</v>
      </c>
      <c r="F33" s="2443" t="str">
        <f>IF(D32="楼面单价","取值（单价）","取值（总价）")</f>
        <v>取值（总价）</v>
      </c>
      <c r="G33" s="131"/>
      <c r="H33" s="131"/>
      <c r="I33" s="131"/>
    </row>
    <row r="34" spans="1:15" ht="15">
      <c r="A34" s="2444"/>
      <c r="B34" s="2445" t="s">
        <v>2167</v>
      </c>
      <c r="C34" s="150" t="e">
        <f ca="1">IF(C33="自定义",F34,C32-C35)</f>
        <v>#REF!</v>
      </c>
      <c r="D34" s="1048" t="e">
        <f ca="1">IF(C33="自定义",ROUND(C34/C32,3),IF(C33="收益比率",SUMIF(INDIRECT("'"&amp;D33&amp;"'"&amp;"!b:b"),"土地收益比率",INDIRECT("'"&amp;D33&amp;"'"&amp;"!c:c")),SUMIF(INDIRECT("'"&amp;D33&amp;"'"&amp;"!b:b"),"土地成本比率",INDIRECT("'"&amp;D33&amp;"'"&amp;"!c:c"))))</f>
        <v>#REF!</v>
      </c>
      <c r="E34" s="2446" t="s">
        <v>2168</v>
      </c>
      <c r="F34" s="1728"/>
      <c r="G34" s="131"/>
      <c r="H34" s="131"/>
      <c r="I34" s="131"/>
    </row>
    <row r="35" spans="1:15" ht="15.75" thickBot="1">
      <c r="A35" s="2447"/>
      <c r="B35" s="2448"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2170</v>
      </c>
      <c r="F35" s="156"/>
      <c r="G35" s="131"/>
      <c r="H35" s="131"/>
      <c r="I35" s="131"/>
    </row>
    <row r="36" spans="1:15" ht="15.75" thickBot="1">
      <c r="A36" s="3128" t="s">
        <v>2171</v>
      </c>
      <c r="B36" s="2450" t="s">
        <v>2172</v>
      </c>
      <c r="C36" s="147"/>
      <c r="D36" s="2451"/>
      <c r="E36" s="2452"/>
      <c r="F36" s="2453"/>
      <c r="G36" s="131"/>
      <c r="H36" s="131"/>
      <c r="I36" s="131"/>
    </row>
    <row r="37" spans="1:15" ht="15.75" thickBot="1">
      <c r="A37" s="3129"/>
      <c r="B37" s="2257" t="s">
        <v>2173</v>
      </c>
      <c r="C37" s="149"/>
      <c r="D37" s="1385"/>
      <c r="E37" s="1385"/>
      <c r="F37" s="2453"/>
      <c r="G37" s="131"/>
      <c r="H37" s="131"/>
      <c r="I37" s="131"/>
    </row>
    <row r="38" spans="1:15" ht="15.75" thickBot="1">
      <c r="A38" s="3130"/>
      <c r="B38" s="2454" t="s">
        <v>2174</v>
      </c>
      <c r="C38" s="720"/>
      <c r="D38" s="2455" t="s">
        <v>2175</v>
      </c>
      <c r="E38" s="1385"/>
      <c r="F38" s="2453"/>
      <c r="G38" s="131"/>
      <c r="H38" s="131"/>
      <c r="I38" s="131"/>
    </row>
    <row r="39" spans="1:15" ht="15">
      <c r="A39" s="2426" t="s">
        <v>2176</v>
      </c>
      <c r="B39" s="2456" t="s">
        <v>2177</v>
      </c>
      <c r="C39" s="2457" t="s">
        <v>2178</v>
      </c>
      <c r="D39" s="2457" t="s">
        <v>2179</v>
      </c>
      <c r="E39" s="2458" t="s">
        <v>2180</v>
      </c>
      <c r="F39" s="2453"/>
      <c r="G39" s="131"/>
      <c r="H39" s="131"/>
      <c r="I39" s="131"/>
    </row>
    <row r="40" spans="1:15" ht="14.25">
      <c r="A40" s="2459" t="s">
        <v>2181</v>
      </c>
      <c r="B40" s="151"/>
      <c r="C40" s="152"/>
      <c r="D40" s="152"/>
      <c r="E40" s="153"/>
      <c r="F40" s="2453"/>
      <c r="G40" s="131"/>
      <c r="H40" s="131"/>
      <c r="I40" s="131"/>
    </row>
    <row r="41" spans="1:15" ht="14.25">
      <c r="A41" s="2459" t="s">
        <v>2182</v>
      </c>
      <c r="B41" s="151"/>
      <c r="C41" s="152"/>
      <c r="D41" s="152"/>
      <c r="E41" s="153"/>
      <c r="F41" s="2453"/>
      <c r="G41" s="131"/>
      <c r="H41" s="131"/>
      <c r="I41" s="131"/>
    </row>
    <row r="42" spans="1:15" ht="15" thickBot="1">
      <c r="A42" s="2460"/>
      <c r="B42" s="154"/>
      <c r="C42" s="155"/>
      <c r="D42" s="155"/>
      <c r="E42" s="156"/>
      <c r="F42" s="2453"/>
      <c r="G42" s="131"/>
      <c r="H42" s="131"/>
      <c r="I42" s="131"/>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07" t="s">
        <v>2185</v>
      </c>
      <c r="B45" s="3108"/>
      <c r="C45" s="3109"/>
      <c r="D45" s="157">
        <f ca="1">ROUND(H101*F45,0)</f>
        <v>211231</v>
      </c>
      <c r="E45" s="158" t="s">
        <v>2186</v>
      </c>
      <c r="F45" s="159">
        <v>1</v>
      </c>
      <c r="G45" s="160" t="s">
        <v>2187</v>
      </c>
      <c r="H45" s="131"/>
      <c r="I45" s="131"/>
      <c r="J45" s="3167" t="s">
        <v>2188</v>
      </c>
      <c r="K45" s="3167"/>
      <c r="L45" s="3167"/>
      <c r="M45" s="3167"/>
      <c r="N45" s="3167"/>
      <c r="O45" s="3167"/>
    </row>
    <row r="46" spans="1:15" ht="14.25" customHeight="1">
      <c r="A46" s="3104" t="s">
        <v>2189</v>
      </c>
      <c r="B46" s="3105"/>
      <c r="C46" s="3105"/>
      <c r="D46" s="3105"/>
      <c r="E46" s="3105"/>
      <c r="F46" s="3105"/>
      <c r="G46" s="3106"/>
      <c r="H46" s="2469"/>
      <c r="I46" s="161"/>
      <c r="J46" s="1801">
        <v>1</v>
      </c>
      <c r="K46" s="3167" t="s">
        <v>2190</v>
      </c>
      <c r="L46" s="3167"/>
      <c r="M46" s="3187"/>
      <c r="N46" s="3187"/>
      <c r="O46" s="3187"/>
    </row>
    <row r="47" spans="1:15" ht="12" customHeight="1">
      <c r="A47" s="162" t="s">
        <v>2191</v>
      </c>
      <c r="B47" s="163"/>
      <c r="C47" s="164"/>
      <c r="D47" s="165" t="s">
        <v>2192</v>
      </c>
      <c r="E47" s="24" t="s">
        <v>2193</v>
      </c>
      <c r="F47" s="166" t="s">
        <v>2194</v>
      </c>
      <c r="G47" s="167" t="s">
        <v>2195</v>
      </c>
      <c r="H47" s="2469"/>
      <c r="I47" s="161"/>
      <c r="J47" s="1801">
        <v>2</v>
      </c>
      <c r="K47" s="3167" t="s">
        <v>2196</v>
      </c>
      <c r="L47" s="3167"/>
      <c r="M47" s="3188">
        <f>'数据-取费表'!B2</f>
        <v>43168</v>
      </c>
      <c r="N47" s="3188"/>
      <c r="O47" s="3188"/>
    </row>
    <row r="48" spans="1:15" ht="25.5">
      <c r="A48" s="3135" t="s">
        <v>2197</v>
      </c>
      <c r="B48" s="3118"/>
      <c r="C48" s="3118"/>
      <c r="D48" s="133">
        <f>IF(H48="情况1",0,IF(H48="情况2",D52,IF(H48="情况3",D53,IF(H48="情况4",D54))))</f>
        <v>0</v>
      </c>
      <c r="E48" s="1790" t="str">
        <f>IF(H48="情况4","(销售额-原购置价)×税（费）率","销售额×税（费）率")</f>
        <v>销售额×税（费）率</v>
      </c>
      <c r="F48" s="168" t="str">
        <f>IF(H48="情况1","免征",'数据-取费表'!B41)</f>
        <v>免征</v>
      </c>
      <c r="G48" s="2470" t="s">
        <v>2198</v>
      </c>
      <c r="H48" s="2471" t="s">
        <v>2199</v>
      </c>
      <c r="I48" s="2469"/>
      <c r="J48" s="1801">
        <v>3</v>
      </c>
      <c r="K48" s="3167" t="s">
        <v>2200</v>
      </c>
      <c r="L48" s="3167"/>
      <c r="M48" s="3189">
        <f ca="1">H101</f>
        <v>211231</v>
      </c>
      <c r="N48" s="3189"/>
      <c r="O48" s="3189"/>
    </row>
    <row r="49" spans="1:35" ht="25.5" customHeight="1">
      <c r="A49" s="169" t="s">
        <v>2201</v>
      </c>
      <c r="B49" s="3103" t="s">
        <v>2202</v>
      </c>
      <c r="C49" s="3103"/>
      <c r="D49" s="170">
        <v>0</v>
      </c>
      <c r="E49" s="23" t="s">
        <v>2203</v>
      </c>
      <c r="F49" s="28" t="s">
        <v>34</v>
      </c>
      <c r="G49" s="3173"/>
      <c r="H49" s="131"/>
      <c r="I49" s="2472"/>
      <c r="J49" s="1801">
        <v>4</v>
      </c>
      <c r="K49" s="3167" t="str">
        <f>IF(项目基本情况!E8="房地产抵押价值","房地产抵押价值","抵押担保权已注销时的房地产抵押价值")</f>
        <v>抵押担保权已注销时的房地产抵押价值</v>
      </c>
      <c r="L49" s="3167"/>
      <c r="M49" s="3189" t="str">
        <f>IF(项目基本情况!E8="房地产抵押价值",H107,H109)</f>
        <v>——</v>
      </c>
      <c r="N49" s="3189"/>
      <c r="O49" s="3189"/>
    </row>
    <row r="50" spans="1:35" ht="25.5" customHeight="1">
      <c r="A50" s="171"/>
      <c r="B50" s="3103" t="s">
        <v>2204</v>
      </c>
      <c r="C50" s="3103"/>
      <c r="D50" s="172"/>
      <c r="E50" s="31"/>
      <c r="F50" s="173"/>
      <c r="G50" s="3174"/>
      <c r="H50" s="131"/>
      <c r="I50" s="2472"/>
      <c r="J50" s="3167" t="s">
        <v>2205</v>
      </c>
      <c r="K50" s="3167"/>
      <c r="L50" s="3167"/>
      <c r="M50" s="3167"/>
      <c r="N50" s="3167"/>
      <c r="O50" s="3167"/>
    </row>
    <row r="51" spans="1:35" ht="12" customHeight="1">
      <c r="A51" s="174"/>
      <c r="B51" s="3103" t="s">
        <v>2206</v>
      </c>
      <c r="C51" s="3103"/>
      <c r="D51" s="175"/>
      <c r="E51" s="30"/>
      <c r="F51" s="173"/>
      <c r="G51" s="3175"/>
      <c r="H51" s="131"/>
      <c r="I51" s="2472"/>
      <c r="J51" s="2473" t="s">
        <v>2207</v>
      </c>
      <c r="K51" s="3167" t="s">
        <v>2208</v>
      </c>
      <c r="L51" s="3167"/>
      <c r="M51" s="2473" t="s">
        <v>2209</v>
      </c>
      <c r="N51" s="2473" t="s">
        <v>2210</v>
      </c>
      <c r="O51" s="2473" t="s">
        <v>2211</v>
      </c>
    </row>
    <row r="52" spans="1:35" ht="24" customHeight="1">
      <c r="A52" s="176" t="s">
        <v>2212</v>
      </c>
      <c r="B52" s="3103" t="s">
        <v>2213</v>
      </c>
      <c r="C52" s="3103"/>
      <c r="D52" s="175">
        <f ca="1">ROUND(D45*'数据-取费表'!B41/(1+'数据-取费表'!C42),0)</f>
        <v>11064</v>
      </c>
      <c r="E52" s="11" t="s">
        <v>2214</v>
      </c>
      <c r="F52" s="177">
        <f>'数据-取费表'!B41</f>
        <v>5.5000000000000007E-2</v>
      </c>
      <c r="G52" s="2474"/>
      <c r="H52" s="131"/>
      <c r="I52" s="2472"/>
      <c r="J52" s="1801">
        <v>1</v>
      </c>
      <c r="K52" s="3168" t="s">
        <v>2215</v>
      </c>
      <c r="L52" s="3168"/>
      <c r="M52" s="1743">
        <f>D48</f>
        <v>0</v>
      </c>
      <c r="N52" s="1801" t="str">
        <f>E48</f>
        <v>销售额×税（费）率</v>
      </c>
      <c r="O52" s="1744" t="str">
        <f>F48</f>
        <v>免征</v>
      </c>
    </row>
    <row r="53" spans="1:35" ht="12" customHeight="1">
      <c r="A53" s="176" t="s">
        <v>2216</v>
      </c>
      <c r="B53" s="3126" t="s">
        <v>2217</v>
      </c>
      <c r="C53" s="3127"/>
      <c r="D53" s="175">
        <f ca="1">ROUND(D45*'数据-取费表'!B41/(1+'数据-取费表'!C42),0)</f>
        <v>11064</v>
      </c>
      <c r="E53" s="11" t="s">
        <v>2214</v>
      </c>
      <c r="F53" s="177">
        <f>'数据-取费表'!B41</f>
        <v>5.5000000000000007E-2</v>
      </c>
      <c r="G53" s="2474"/>
      <c r="H53" s="131"/>
      <c r="I53" s="2472"/>
      <c r="J53" s="1801">
        <v>2</v>
      </c>
      <c r="K53" s="3168" t="s">
        <v>2218</v>
      </c>
      <c r="L53" s="3168"/>
      <c r="M53" s="1743">
        <f t="shared" ref="M53:O54" ca="1" si="0">D55</f>
        <v>106</v>
      </c>
      <c r="N53" s="1801" t="str">
        <f t="shared" si="0"/>
        <v>销售额×税（费）率</v>
      </c>
      <c r="O53" s="1744">
        <f t="shared" si="0"/>
        <v>5.0000000000000001E-4</v>
      </c>
    </row>
    <row r="54" spans="1:35" ht="12" customHeight="1">
      <c r="A54" s="176" t="s">
        <v>2219</v>
      </c>
      <c r="B54" s="3126" t="s">
        <v>2220</v>
      </c>
      <c r="C54" s="3127"/>
      <c r="D54" s="175">
        <f ca="1">C68</f>
        <v>11064</v>
      </c>
      <c r="E54" s="30" t="s">
        <v>2221</v>
      </c>
      <c r="F54" s="177">
        <f>'数据-取费表'!B41</f>
        <v>5.5000000000000007E-2</v>
      </c>
      <c r="G54" s="2474"/>
      <c r="H54" s="2475"/>
      <c r="I54" s="2472"/>
      <c r="J54" s="1801">
        <v>3</v>
      </c>
      <c r="K54" s="3168" t="s">
        <v>2222</v>
      </c>
      <c r="L54" s="3168"/>
      <c r="M54" s="1743">
        <f t="shared" ca="1" si="0"/>
        <v>119748</v>
      </c>
      <c r="N54" s="1801" t="str">
        <f t="shared" si="0"/>
        <v>增值额×税（费）率</v>
      </c>
      <c r="O54" s="1745" t="str">
        <f t="shared" si="0"/>
        <v>——</v>
      </c>
    </row>
    <row r="55" spans="1:35" ht="24" customHeight="1">
      <c r="A55" s="3117" t="s">
        <v>2223</v>
      </c>
      <c r="B55" s="3118"/>
      <c r="C55" s="3118"/>
      <c r="D55" s="178">
        <f ca="1">IF(H55="个人住宅",0,ROUND(D45*I55,0))</f>
        <v>106</v>
      </c>
      <c r="E55" s="11" t="s">
        <v>2224</v>
      </c>
      <c r="F55" s="177">
        <f>IF(H55="正常",I55,"免征")</f>
        <v>5.0000000000000001E-4</v>
      </c>
      <c r="G55" s="2474"/>
      <c r="H55" s="2471" t="s">
        <v>2225</v>
      </c>
      <c r="I55" s="179">
        <f>'数据-取费表'!B49</f>
        <v>5.0000000000000001E-4</v>
      </c>
      <c r="J55" s="1801" t="str">
        <f>IF(H59="非个人房产","",4)</f>
        <v/>
      </c>
      <c r="K55" s="3168" t="str">
        <f>IF(H59="非个人房产","——","个人所得税")</f>
        <v>——</v>
      </c>
      <c r="L55" s="3168"/>
      <c r="M55" s="1746" t="str">
        <f>D59</f>
        <v>——</v>
      </c>
      <c r="N55" s="1799" t="str">
        <f>E59</f>
        <v>——</v>
      </c>
      <c r="O55" s="1747" t="str">
        <f>F59</f>
        <v>——</v>
      </c>
    </row>
    <row r="56" spans="1:35" ht="24.75">
      <c r="A56" s="3117" t="s">
        <v>2226</v>
      </c>
      <c r="B56" s="3118"/>
      <c r="C56" s="3118"/>
      <c r="D56" s="178">
        <f ca="1">IF(H56="个人住宅",D57,D58)</f>
        <v>119748</v>
      </c>
      <c r="E56" s="11" t="s">
        <v>2227</v>
      </c>
      <c r="F56" s="177" t="str">
        <f>IF(H56="正常",F58,"免征")</f>
        <v>——</v>
      </c>
      <c r="G56" s="2476" t="s">
        <v>2228</v>
      </c>
      <c r="H56" s="2477" t="s">
        <v>2225</v>
      </c>
      <c r="I56" s="2478"/>
      <c r="J56" s="1801" t="str">
        <f>IF(项目基本情况!K6="上海银行",IF(J55="",4,J55+1),"")</f>
        <v/>
      </c>
      <c r="K56" s="3191" t="str">
        <f>IF(项目基本情况!K6="上海银行","其他处置费用","")</f>
        <v/>
      </c>
      <c r="L56" s="3192"/>
      <c r="M56" s="1743" t="str">
        <f>IF(项目基本情况!K6="上海银行",M69,"")</f>
        <v/>
      </c>
      <c r="N56" s="3194" t="str">
        <f>IF(项目基本情况!K6="上海银行","包含处置中涉及的律师、诉讼、拍卖、评估等费用","")</f>
        <v/>
      </c>
      <c r="O56" s="3195"/>
    </row>
    <row r="57" spans="1:35" ht="12.75">
      <c r="A57" s="176" t="s">
        <v>2201</v>
      </c>
      <c r="B57" s="3133" t="s">
        <v>2229</v>
      </c>
      <c r="C57" s="3142"/>
      <c r="D57" s="180">
        <v>0</v>
      </c>
      <c r="E57" s="23" t="s">
        <v>2203</v>
      </c>
      <c r="F57" s="148"/>
      <c r="G57" s="2474"/>
      <c r="H57" s="2478"/>
      <c r="I57" s="2478"/>
      <c r="J57" s="3168">
        <f>IF(AND(J55="",J56=""),4,IF(项目基本情况!K6="上海银行",结果表!J56+1,结果表!J55+1))</f>
        <v>4</v>
      </c>
      <c r="K57" s="3168" t="s">
        <v>2230</v>
      </c>
      <c r="L57" s="2479" t="s">
        <v>2231</v>
      </c>
      <c r="M57" s="1748"/>
      <c r="N57" s="1749">
        <f ca="1">SUMIF(M52:M56,"&lt;9e307")</f>
        <v>119854</v>
      </c>
      <c r="O57" s="2480"/>
      <c r="P57" s="1742" t="e">
        <f ca="1">N57/M49</f>
        <v>#VALUE!</v>
      </c>
    </row>
    <row r="58" spans="1:35" ht="24.75">
      <c r="A58" s="176" t="s">
        <v>2212</v>
      </c>
      <c r="B58" s="3133" t="s">
        <v>2232</v>
      </c>
      <c r="C58" s="3134"/>
      <c r="D58" s="178">
        <f ca="1">IF(H58="转让取得",C81,C97)</f>
        <v>119748</v>
      </c>
      <c r="E58" s="11" t="s">
        <v>2227</v>
      </c>
      <c r="F58" s="24" t="s">
        <v>34</v>
      </c>
      <c r="G58" s="2474"/>
      <c r="H58" s="2477" t="s">
        <v>2233</v>
      </c>
      <c r="I58" s="2478"/>
      <c r="J58" s="3168"/>
      <c r="K58" s="3168"/>
      <c r="L58" s="2479" t="s">
        <v>2234</v>
      </c>
      <c r="M58" s="1750"/>
      <c r="N58" s="2481" t="str">
        <f ca="1">NUMBERSTRING(INT(N57*10000),2)&amp;"元整"</f>
        <v>壹拾壹亿玖仟捌佰伍拾肆万元整</v>
      </c>
      <c r="O58" s="2482"/>
    </row>
    <row r="59" spans="1:35" ht="24.75" thickBot="1">
      <c r="A59" s="3171" t="s">
        <v>2235</v>
      </c>
      <c r="B59" s="3172"/>
      <c r="C59" s="3172"/>
      <c r="D59" s="181" t="str">
        <f>IF(H59="非个人房产","——",IF(H59="个人住宅",0,ROUND(D45*I59,0)))</f>
        <v>——</v>
      </c>
      <c r="E59" s="182" t="str">
        <f>IF(H59="非个人房产","——","销售额×税（费）率")</f>
        <v>——</v>
      </c>
      <c r="F59" s="183" t="str">
        <f>IF(H59="非个人房产","——",IF(H59="个人住宅","免征",I59))</f>
        <v>——</v>
      </c>
      <c r="G59" s="2483" t="s">
        <v>2228</v>
      </c>
      <c r="H59" s="2477" t="s">
        <v>2236</v>
      </c>
      <c r="I59" s="184">
        <v>0.01</v>
      </c>
      <c r="J59" s="3169">
        <f>J57+1</f>
        <v>5</v>
      </c>
      <c r="K59" s="3168" t="s">
        <v>2237</v>
      </c>
      <c r="L59" s="1801" t="s">
        <v>2231</v>
      </c>
      <c r="M59" s="1751"/>
      <c r="N59" s="1752" t="e">
        <f ca="1">M49-N57</f>
        <v>#VALUE!</v>
      </c>
      <c r="O59" s="2484"/>
    </row>
    <row r="60" spans="1:35" ht="12" customHeight="1">
      <c r="A60" s="2485"/>
      <c r="B60" s="2407"/>
      <c r="C60" s="2407"/>
      <c r="D60" s="2407"/>
      <c r="E60" s="2158"/>
      <c r="F60" s="2478"/>
      <c r="G60" s="2478"/>
      <c r="H60" s="2486"/>
      <c r="I60" s="131"/>
      <c r="J60" s="3170"/>
      <c r="K60" s="3168"/>
      <c r="L60" s="2479" t="s">
        <v>2234</v>
      </c>
      <c r="M60" s="1750"/>
      <c r="N60" s="2481" t="e">
        <f ca="1">NUMBERSTRING(INT(N59*10000),2)&amp;"元整"</f>
        <v>#VALUE!</v>
      </c>
      <c r="O60" s="2482"/>
    </row>
    <row r="61" spans="1:35" ht="13.5" thickBot="1">
      <c r="A61" s="3115" t="s">
        <v>2238</v>
      </c>
      <c r="B61" s="3115"/>
      <c r="C61" s="3115"/>
      <c r="D61" s="3115"/>
      <c r="E61" s="3115"/>
      <c r="F61" s="2478"/>
      <c r="G61" s="2478"/>
      <c r="H61" s="2486"/>
      <c r="I61" s="131"/>
      <c r="J61" s="1801">
        <f>J59+1</f>
        <v>6</v>
      </c>
      <c r="K61" s="3168" t="s">
        <v>2239</v>
      </c>
      <c r="L61" s="3168"/>
      <c r="M61" s="1753"/>
      <c r="N61" s="1754" t="e">
        <f ca="1">ROUND(N59*10000/'数据-汇总表'!E3,0)</f>
        <v>#VALUE!</v>
      </c>
      <c r="O61" s="2487"/>
    </row>
    <row r="62" spans="1:35" ht="12.75">
      <c r="A62" s="3131" t="s">
        <v>2240</v>
      </c>
      <c r="B62" s="3132"/>
      <c r="C62" s="1793"/>
      <c r="D62" s="1793" t="s">
        <v>2241</v>
      </c>
      <c r="E62" s="185" t="s">
        <v>2242</v>
      </c>
      <c r="F62" s="2478"/>
      <c r="G62" s="2478"/>
      <c r="H62" s="2486"/>
      <c r="I62" s="131"/>
    </row>
    <row r="63" spans="1:35" ht="12.75">
      <c r="A63" s="196" t="s">
        <v>775</v>
      </c>
      <c r="B63" s="186" t="s">
        <v>2243</v>
      </c>
      <c r="C63" s="187">
        <f ca="1">ROUND((C64+C65)/(1+'数据-取费表'!C42),0)</f>
        <v>201172</v>
      </c>
      <c r="D63" s="188"/>
      <c r="E63" s="189"/>
      <c r="F63" s="2478"/>
      <c r="G63" s="2478"/>
      <c r="H63" s="2486"/>
      <c r="I63" s="131"/>
      <c r="J63" s="3193" t="s">
        <v>2244</v>
      </c>
      <c r="K63" s="2488" t="s">
        <v>2245</v>
      </c>
      <c r="L63" s="1741" t="e">
        <f>IF(M49&gt;10000,M49*0.5%,IF(AND(M49&gt;1000,M49&lt;=10000),M49*1%,IF(AND(M49&gt;100,M49&lt;=1000),M49*3%,IF(AND(M49&gt;10,M49&lt;=100),M49*5%,M49*8%))))</f>
        <v>#VALUE!</v>
      </c>
      <c r="M63" s="24" t="e">
        <f>ROUND(L63,1)</f>
        <v>#VALUE!</v>
      </c>
      <c r="Z63" s="2412"/>
      <c r="AI63" s="2413"/>
    </row>
    <row r="64" spans="1:35" ht="14.25" customHeight="1">
      <c r="A64" s="190" t="s">
        <v>770</v>
      </c>
      <c r="B64" s="191" t="s">
        <v>2246</v>
      </c>
      <c r="C64" s="192">
        <f ca="1">D45</f>
        <v>211231</v>
      </c>
      <c r="D64" s="193" t="s">
        <v>32</v>
      </c>
      <c r="E64" s="194"/>
      <c r="F64" s="2478"/>
      <c r="G64" s="2478"/>
      <c r="H64" s="2486"/>
      <c r="I64" s="131"/>
      <c r="J64" s="3193"/>
      <c r="K64" s="2488" t="s">
        <v>2247</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2"/>
      <c r="AI64" s="2413"/>
    </row>
    <row r="65" spans="1:35" ht="14.25" customHeight="1">
      <c r="A65" s="190" t="s">
        <v>771</v>
      </c>
      <c r="B65" s="191" t="s">
        <v>2249</v>
      </c>
      <c r="C65" s="195"/>
      <c r="D65" s="193"/>
      <c r="E65" s="194"/>
      <c r="F65" s="2478"/>
      <c r="G65" s="2478"/>
      <c r="H65" s="2486"/>
      <c r="I65" s="131"/>
      <c r="J65" s="3193"/>
      <c r="K65" s="2488" t="s">
        <v>2250</v>
      </c>
      <c r="L65" s="1741" t="e">
        <f>IF(M49&gt;1000,M49*0.1%,IF(AND(M49&gt;500,M49&lt;=1000),M49*0.5%,IF(AND(M49&gt;50,M49&lt;=500),M49*1%,IF(AND(M49&gt;1,M49&lt;=50),M49*1.5%))))</f>
        <v>#VALUE!</v>
      </c>
      <c r="M65" s="24" t="e">
        <f t="shared" si="1"/>
        <v>#VALUE!</v>
      </c>
      <c r="N65" s="131" t="s">
        <v>2248</v>
      </c>
      <c r="Z65" s="2412"/>
      <c r="AI65" s="2413"/>
    </row>
    <row r="66" spans="1:35" ht="14.25" customHeight="1">
      <c r="A66" s="196" t="s">
        <v>772</v>
      </c>
      <c r="B66" s="197" t="s">
        <v>2251</v>
      </c>
      <c r="C66" s="198"/>
      <c r="D66" s="199" t="s">
        <v>32</v>
      </c>
      <c r="E66" s="1765" t="s">
        <v>1371</v>
      </c>
      <c r="F66" s="2478"/>
      <c r="G66" s="2478"/>
      <c r="H66" s="2486"/>
      <c r="I66" s="131"/>
      <c r="J66" s="3193"/>
      <c r="K66" s="2488" t="s">
        <v>2252</v>
      </c>
      <c r="L66" s="1741" t="e">
        <f>M49*0.5%</f>
        <v>#VALUE!</v>
      </c>
      <c r="M66" s="24" t="e">
        <f>IF(L66&gt;0.5,0.5,ROUND(L66,0))</f>
        <v>#VALUE!</v>
      </c>
      <c r="N66" s="131" t="s">
        <v>2253</v>
      </c>
      <c r="Z66" s="2412"/>
      <c r="AI66" s="2413"/>
    </row>
    <row r="67" spans="1:35" ht="14.25" customHeight="1">
      <c r="A67" s="196" t="s">
        <v>773</v>
      </c>
      <c r="B67" s="197" t="s">
        <v>2254</v>
      </c>
      <c r="C67" s="200">
        <f ca="1">C63-C66</f>
        <v>201172</v>
      </c>
      <c r="D67" s="193" t="s">
        <v>32</v>
      </c>
      <c r="E67" s="194"/>
      <c r="F67" s="2478"/>
      <c r="G67" s="2478"/>
      <c r="H67" s="2486"/>
      <c r="I67" s="131"/>
      <c r="J67" s="3193"/>
      <c r="K67" s="2488" t="s">
        <v>2255</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2"/>
      <c r="AI67" s="2413"/>
    </row>
    <row r="68" spans="1:35" ht="14.25" customHeight="1" thickBot="1">
      <c r="A68" s="201" t="s">
        <v>774</v>
      </c>
      <c r="B68" s="202" t="s">
        <v>2256</v>
      </c>
      <c r="C68" s="203">
        <f ca="1">IF(C67&lt;=0,0,ROUND(C67*D68,0))</f>
        <v>11064</v>
      </c>
      <c r="D68" s="204">
        <f>'数据-取费表'!B41</f>
        <v>5.5000000000000007E-2</v>
      </c>
      <c r="E68" s="205"/>
      <c r="F68" s="2478"/>
      <c r="G68" s="2478"/>
      <c r="H68" s="2486"/>
      <c r="I68" s="131"/>
      <c r="J68" s="3193"/>
      <c r="K68" s="2488" t="s">
        <v>2257</v>
      </c>
      <c r="L68" s="1741" t="e">
        <f>IF(M49&gt;10000,M49*0.5%,IF(AND(M49&gt;5000,M49&lt;=10000),M49*1%,IF(AND(M49&gt;1000,M49&lt;=5000),M49*2%,IF(AND(M49&gt;200,M49&lt;=1000),M49*3%,M49*5%))))</f>
        <v>#VALUE!</v>
      </c>
      <c r="M68" s="24" t="e">
        <f>ROUND(L68,1)</f>
        <v>#VALUE!</v>
      </c>
      <c r="Z68" s="2412"/>
      <c r="AI68" s="2413"/>
    </row>
    <row r="69" spans="1:35" s="2435" customFormat="1" ht="16.5" customHeight="1">
      <c r="A69" s="2489"/>
      <c r="B69" s="2490"/>
      <c r="C69" s="2491"/>
      <c r="D69" s="2492"/>
      <c r="E69" s="2493"/>
      <c r="F69" s="2158"/>
      <c r="G69" s="2158"/>
      <c r="H69" s="2157"/>
      <c r="I69" s="2407"/>
      <c r="J69" s="3193"/>
      <c r="K69" s="2488" t="s">
        <v>2258</v>
      </c>
      <c r="L69" s="2494"/>
      <c r="M69" s="24" t="e">
        <f>ROUND(SUM(M63:M68),0)</f>
        <v>#VALUE!</v>
      </c>
      <c r="N69" s="1742" t="e">
        <f>M69/M49</f>
        <v>#VALUE!</v>
      </c>
      <c r="O69" s="788"/>
      <c r="P69" s="788"/>
      <c r="Q69" s="788"/>
      <c r="R69" s="788"/>
      <c r="S69" s="788"/>
      <c r="T69" s="788"/>
      <c r="U69" s="788"/>
      <c r="V69" s="788"/>
      <c r="W69" s="788"/>
      <c r="X69" s="788"/>
      <c r="Y69" s="788"/>
      <c r="Z69" s="2412"/>
      <c r="AA69" s="2412"/>
      <c r="AB69" s="2412"/>
      <c r="AC69" s="2412"/>
      <c r="AD69" s="2412"/>
      <c r="AE69" s="2412"/>
      <c r="AF69" s="2412"/>
      <c r="AG69" s="2412"/>
      <c r="AH69" s="2412"/>
    </row>
    <row r="70" spans="1:35" s="2496" customFormat="1" ht="15" thickBot="1">
      <c r="A70" s="3152" t="s">
        <v>2259</v>
      </c>
      <c r="B70" s="3153"/>
      <c r="C70" s="3153"/>
      <c r="D70" s="3153"/>
      <c r="E70" s="3153"/>
      <c r="F70" s="3153"/>
      <c r="G70" s="3153"/>
      <c r="H70" s="315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31" t="s">
        <v>2240</v>
      </c>
      <c r="B71" s="3132"/>
      <c r="C71" s="1793"/>
      <c r="D71" s="1793" t="s">
        <v>2241</v>
      </c>
      <c r="E71" s="206" t="s">
        <v>2242</v>
      </c>
      <c r="F71" s="207"/>
      <c r="G71" s="207"/>
      <c r="H71" s="208"/>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196" t="s">
        <v>775</v>
      </c>
      <c r="B72" s="197" t="s">
        <v>2260</v>
      </c>
      <c r="C72" s="200">
        <f ca="1">ROUND(D45/(1+'数据-取费表'!C42),0)</f>
        <v>201172</v>
      </c>
      <c r="D72" s="193" t="s">
        <v>32</v>
      </c>
      <c r="E72" s="1792"/>
      <c r="F72" s="1786"/>
      <c r="G72" s="1786"/>
      <c r="H72" s="209"/>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196" t="s">
        <v>772</v>
      </c>
      <c r="B73" s="166" t="s">
        <v>2261</v>
      </c>
      <c r="C73" s="200">
        <f ca="1">C74+C78</f>
        <v>1006</v>
      </c>
      <c r="D73" s="193" t="s">
        <v>32</v>
      </c>
      <c r="E73" s="1792"/>
      <c r="F73" s="1786"/>
      <c r="G73" s="1786"/>
      <c r="H73" s="209"/>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0" t="s">
        <v>770</v>
      </c>
      <c r="B74" s="191" t="s">
        <v>2262</v>
      </c>
      <c r="C74" s="193">
        <f>ROUND(IF(G77="2016年5月1日后购买",C75/(1+'数据-取费表'!C42)+C76+C77,C75+C76+C77),0)</f>
        <v>0</v>
      </c>
      <c r="D74" s="193" t="s">
        <v>32</v>
      </c>
      <c r="E74" s="1792"/>
      <c r="F74" s="1786"/>
      <c r="G74" s="1786"/>
      <c r="H74" s="209"/>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0" t="s">
        <v>776</v>
      </c>
      <c r="B75" s="191" t="s">
        <v>2263</v>
      </c>
      <c r="C75" s="211"/>
      <c r="D75" s="193" t="s">
        <v>32</v>
      </c>
      <c r="E75" s="212" t="s">
        <v>2264</v>
      </c>
      <c r="F75" s="2500" t="s">
        <v>2265</v>
      </c>
      <c r="G75" s="212" t="s">
        <v>2266</v>
      </c>
      <c r="H75" s="213"/>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0" t="s">
        <v>777</v>
      </c>
      <c r="B76" s="214" t="s">
        <v>2267</v>
      </c>
      <c r="C76" s="193">
        <f>IF(F75="购房发票",ROUND(C75*H75*D76,0),0)</f>
        <v>0</v>
      </c>
      <c r="D76" s="215">
        <v>0.05</v>
      </c>
      <c r="E76" s="3126" t="s">
        <v>2268</v>
      </c>
      <c r="F76" s="3103"/>
      <c r="G76" s="3103"/>
      <c r="H76" s="315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2" t="s">
        <v>2271</v>
      </c>
      <c r="H77" s="179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0" t="s">
        <v>771</v>
      </c>
      <c r="B78" s="191" t="s">
        <v>2272</v>
      </c>
      <c r="C78" s="218">
        <f ca="1">ROUND(D45*D78/(1+'数据-取费表'!C42),0)</f>
        <v>1006</v>
      </c>
      <c r="D78" s="219">
        <f>'数据-取费表'!B43</f>
        <v>5.000000000000001E-3</v>
      </c>
      <c r="E78" s="3112" t="s">
        <v>2273</v>
      </c>
      <c r="F78" s="3113"/>
      <c r="G78" s="3113"/>
      <c r="H78" s="3122"/>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197" t="s">
        <v>2274</v>
      </c>
      <c r="C79" s="200">
        <f ca="1">C72-C73</f>
        <v>200166</v>
      </c>
      <c r="D79" s="193" t="s">
        <v>32</v>
      </c>
      <c r="E79" s="1792"/>
      <c r="F79" s="1786"/>
      <c r="G79" s="1786"/>
      <c r="H79" s="209"/>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197" t="s">
        <v>2275</v>
      </c>
      <c r="C80" s="220">
        <f ca="1">IF(C79&lt;=0,0,C79/C73)</f>
        <v>198.97216699801191</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09"/>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2" t="s">
        <v>2276</v>
      </c>
      <c r="C81" s="221">
        <f ca="1">ROUND(IF(C79&lt;=0,0,IF(C80&gt;=200%,C79*60%-C73*35%,IF(C80&gt;=100%,C79*50%-C73*15%,IF(C80&gt;=50%,C79*40%-C73*5%,IF(C80&lt;50%,C79*30%,0))))),0)</f>
        <v>119748</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6"/>
      <c r="B82" s="727"/>
      <c r="C82" s="7"/>
      <c r="D82" s="7"/>
      <c r="E82" s="727"/>
      <c r="F82" s="727"/>
      <c r="G82" s="727"/>
      <c r="H82" s="728"/>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2" t="s">
        <v>2277</v>
      </c>
      <c r="B83" s="3153"/>
      <c r="C83" s="3153"/>
      <c r="D83" s="3153"/>
      <c r="E83" s="3153"/>
      <c r="F83" s="3153"/>
      <c r="G83" s="3153"/>
      <c r="H83" s="315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31" t="s">
        <v>2240</v>
      </c>
      <c r="B84" s="3132"/>
      <c r="C84" s="1793"/>
      <c r="D84" s="1793" t="s">
        <v>2241</v>
      </c>
      <c r="E84" s="206" t="s">
        <v>2242</v>
      </c>
      <c r="F84" s="207"/>
      <c r="G84" s="207"/>
      <c r="H84" s="226"/>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196" t="s">
        <v>775</v>
      </c>
      <c r="B85" s="197" t="s">
        <v>2260</v>
      </c>
      <c r="C85" s="200">
        <f ca="1">ROUND(D45/(1+'数据-取费表'!C42),0)</f>
        <v>201172</v>
      </c>
      <c r="D85" s="193" t="s">
        <v>32</v>
      </c>
      <c r="E85" s="1792"/>
      <c r="F85" s="1786"/>
      <c r="G85" s="1786"/>
      <c r="H85" s="227"/>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196" t="s">
        <v>772</v>
      </c>
      <c r="B86" s="166" t="s">
        <v>2261</v>
      </c>
      <c r="C86" s="200">
        <f ca="1">IF(H88="仅含出让金",C87+C90+C91+C92+C93+C94,C87+C91+C92+C93+C94)</f>
        <v>1006</v>
      </c>
      <c r="D86" s="228"/>
      <c r="E86" s="1792"/>
      <c r="F86" s="1786"/>
      <c r="G86" s="1786"/>
      <c r="H86" s="227"/>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0" t="s">
        <v>770</v>
      </c>
      <c r="B87" s="191" t="s">
        <v>2278</v>
      </c>
      <c r="C87" s="218">
        <f>C88+C89</f>
        <v>0</v>
      </c>
      <c r="D87" s="219"/>
      <c r="E87" s="1788"/>
      <c r="F87" s="1789"/>
      <c r="G87" s="1789"/>
      <c r="H87" s="179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0" t="s">
        <v>776</v>
      </c>
      <c r="B88" s="191" t="s">
        <v>2279</v>
      </c>
      <c r="C88" s="229"/>
      <c r="D88" s="219"/>
      <c r="E88" s="230" t="s">
        <v>2280</v>
      </c>
      <c r="F88" s="1789"/>
      <c r="G88" s="231"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0" t="s">
        <v>777</v>
      </c>
      <c r="B89" s="191" t="s">
        <v>2269</v>
      </c>
      <c r="C89" s="218">
        <f>ROUND(C88*D89,0)</f>
        <v>0</v>
      </c>
      <c r="D89" s="219">
        <f>'数据-取费表'!B48+'数据-取费表'!B49</f>
        <v>3.0499999999999999E-2</v>
      </c>
      <c r="E89" s="230" t="s">
        <v>2282</v>
      </c>
      <c r="F89" s="1789"/>
      <c r="G89" s="1789"/>
      <c r="H89" s="179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0" t="s">
        <v>771</v>
      </c>
      <c r="B90" s="191" t="s">
        <v>2283</v>
      </c>
      <c r="C90" s="229"/>
      <c r="D90" s="219"/>
      <c r="E90" s="230" t="str">
        <f>IF(H88="-","土地取得成本中已包含该笔费用"," ")</f>
        <v xml:space="preserve"> </v>
      </c>
      <c r="F90" s="1789"/>
      <c r="G90" s="1789"/>
      <c r="H90" s="179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0" t="s">
        <v>2284</v>
      </c>
      <c r="B91" s="191" t="s">
        <v>2285</v>
      </c>
      <c r="C91" s="218">
        <f>IF(H91="——",成本法!C33,I91)</f>
        <v>0</v>
      </c>
      <c r="D91" s="219"/>
      <c r="E91" s="3112" t="s">
        <v>2286</v>
      </c>
      <c r="F91" s="3113"/>
      <c r="G91" s="3113"/>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0" t="s">
        <v>2288</v>
      </c>
      <c r="B92" s="191" t="s">
        <v>2289</v>
      </c>
      <c r="C92" s="218">
        <f>ROUND((C87+C90+C91)*D92,0)</f>
        <v>0</v>
      </c>
      <c r="D92" s="219">
        <v>0.1</v>
      </c>
      <c r="E92" s="3112" t="s">
        <v>2290</v>
      </c>
      <c r="F92" s="3113"/>
      <c r="G92" s="3113"/>
      <c r="H92" s="3122"/>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0" t="s">
        <v>2291</v>
      </c>
      <c r="B93" s="191" t="s">
        <v>2272</v>
      </c>
      <c r="C93" s="218">
        <f ca="1">ROUND(D45*D93/(1+'数据-取费表'!C42),0)</f>
        <v>1006</v>
      </c>
      <c r="D93" s="219">
        <f>'数据-取费表'!B43</f>
        <v>5.000000000000001E-3</v>
      </c>
      <c r="E93" s="3112" t="s">
        <v>2273</v>
      </c>
      <c r="F93" s="3113"/>
      <c r="G93" s="3113"/>
      <c r="H93" s="3122"/>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0" t="s">
        <v>2292</v>
      </c>
      <c r="B94" s="191" t="s">
        <v>2293</v>
      </c>
      <c r="C94" s="229">
        <f>ROUND((C87+C90+C91)*D94,0)</f>
        <v>0</v>
      </c>
      <c r="D94" s="219">
        <v>0.2</v>
      </c>
      <c r="E94" s="3123" t="s">
        <v>2294</v>
      </c>
      <c r="F94" s="3124"/>
      <c r="G94" s="3124"/>
      <c r="H94" s="312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197" t="s">
        <v>2274</v>
      </c>
      <c r="C95" s="200">
        <f ca="1">ROUND(C85-C86,0)</f>
        <v>200166</v>
      </c>
      <c r="D95" s="193" t="s">
        <v>32</v>
      </c>
      <c r="E95" s="1792"/>
      <c r="F95" s="1786"/>
      <c r="G95" s="1786"/>
      <c r="H95" s="227"/>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197" t="s">
        <v>2275</v>
      </c>
      <c r="C96" s="220">
        <f ca="1">IF(C95&lt;=0,0,C95/C86)</f>
        <v>198.97216699801191</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7"/>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2" t="s">
        <v>2276</v>
      </c>
      <c r="C97" s="221">
        <f ca="1">ROUND(IF(C95&lt;=0,0,IF(C96&gt;=200%,C95*60%-C86*35%,IF(C96&gt;=100%,C95*50%-C86*15%,IF(C96&gt;=50%,C95*40%-C86*5%,IF(C96&lt;50%,C95*30%,0))))),0)</f>
        <v>119748</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1"/>
    </row>
    <row r="99" spans="1:35" ht="21.75" customHeight="1" thickBot="1">
      <c r="A99" s="2463" t="s">
        <v>2295</v>
      </c>
      <c r="B99" s="2407"/>
      <c r="C99" s="2407"/>
      <c r="D99" s="2407"/>
      <c r="E99" s="2158"/>
      <c r="F99" s="2158"/>
      <c r="G99" s="2158"/>
      <c r="H99" s="2157"/>
      <c r="I99" s="131"/>
    </row>
    <row r="100" spans="1:35" ht="18.75" customHeight="1">
      <c r="A100" s="3097" t="s">
        <v>2296</v>
      </c>
      <c r="B100" s="3098"/>
      <c r="C100" s="3098"/>
      <c r="D100" s="3114"/>
      <c r="E100" s="3098" t="s">
        <v>2297</v>
      </c>
      <c r="F100" s="3098"/>
      <c r="G100" s="3098"/>
      <c r="H100" s="3114"/>
      <c r="I100" s="131"/>
    </row>
    <row r="101" spans="1:35" ht="18.75" customHeight="1">
      <c r="A101" s="3176" t="s">
        <v>2298</v>
      </c>
      <c r="B101" s="3177"/>
      <c r="C101" s="729" t="str">
        <f>C4</f>
        <v>成本法</v>
      </c>
      <c r="D101" s="730" t="str">
        <f>D4</f>
        <v>假设开发法</v>
      </c>
      <c r="E101" s="3190" t="s">
        <v>2299</v>
      </c>
      <c r="F101" s="3144"/>
      <c r="G101" s="2509" t="s">
        <v>2300</v>
      </c>
      <c r="H101" s="1038">
        <f ca="1">H118</f>
        <v>211231</v>
      </c>
      <c r="I101" s="131"/>
    </row>
    <row r="102" spans="1:35" ht="18.75" customHeight="1">
      <c r="A102" s="3146" t="s">
        <v>2301</v>
      </c>
      <c r="B102" s="2509" t="s">
        <v>2300</v>
      </c>
      <c r="C102" s="729">
        <f ca="1">C19</f>
        <v>204134</v>
      </c>
      <c r="D102" s="730">
        <f ca="1">D19</f>
        <v>218328</v>
      </c>
      <c r="E102" s="3190"/>
      <c r="F102" s="3144"/>
      <c r="G102" s="2509" t="s">
        <v>2302</v>
      </c>
      <c r="H102" s="364">
        <f ca="1">I118</f>
        <v>20425</v>
      </c>
      <c r="I102" s="131"/>
    </row>
    <row r="103" spans="1:35" ht="42.75" customHeight="1">
      <c r="A103" s="3146"/>
      <c r="B103" s="2509" t="s">
        <v>2302</v>
      </c>
      <c r="C103" s="731">
        <f ca="1">C20</f>
        <v>19739</v>
      </c>
      <c r="D103" s="732">
        <f ca="1">D20</f>
        <v>21112</v>
      </c>
      <c r="E103" s="3185" t="s">
        <v>2303</v>
      </c>
      <c r="F103" s="3186"/>
      <c r="G103" s="2510" t="s">
        <v>2304</v>
      </c>
      <c r="H103" s="1038">
        <f>IF(D36="正常操作",H104+H105+H106,H105+H106)</f>
        <v>0</v>
      </c>
      <c r="I103" s="131"/>
    </row>
    <row r="104" spans="1:35" ht="18.75" customHeight="1">
      <c r="A104" s="3146" t="s">
        <v>2305</v>
      </c>
      <c r="B104" s="2511" t="s">
        <v>2300</v>
      </c>
      <c r="C104" s="733">
        <f ca="1">H118</f>
        <v>211231</v>
      </c>
      <c r="D104" s="734"/>
      <c r="E104" s="2257" t="s">
        <v>2306</v>
      </c>
      <c r="F104" s="2249"/>
      <c r="G104" s="2510" t="s">
        <v>2304</v>
      </c>
      <c r="H104" s="1039">
        <f>IF(D36="同一抵押权人同一抵押物续贷",C36&amp;"（未扣减，详见特别提示）",C36)</f>
        <v>0</v>
      </c>
      <c r="I104" s="131"/>
    </row>
    <row r="105" spans="1:35" ht="18.75" customHeight="1" thickBot="1">
      <c r="A105" s="3147"/>
      <c r="B105" s="2512" t="s">
        <v>2302</v>
      </c>
      <c r="C105" s="735">
        <f ca="1">I118</f>
        <v>20425</v>
      </c>
      <c r="D105" s="736"/>
      <c r="E105" s="2257" t="s">
        <v>2307</v>
      </c>
      <c r="F105" s="2249"/>
      <c r="G105" s="2510" t="s">
        <v>2304</v>
      </c>
      <c r="H105" s="1039">
        <f>C37</f>
        <v>0</v>
      </c>
      <c r="I105" s="131"/>
    </row>
    <row r="106" spans="1:35" ht="18.75" customHeight="1">
      <c r="A106" s="2407" t="s">
        <v>2308</v>
      </c>
      <c r="B106" s="2407"/>
      <c r="C106" s="2407"/>
      <c r="D106" s="2407"/>
      <c r="E106" s="2513" t="s">
        <v>2309</v>
      </c>
      <c r="F106" s="2249"/>
      <c r="G106" s="2510" t="s">
        <v>2304</v>
      </c>
      <c r="H106" s="1039">
        <f>C38</f>
        <v>0</v>
      </c>
      <c r="I106" s="131"/>
    </row>
    <row r="107" spans="1:35" ht="18.75" customHeight="1">
      <c r="A107" s="131"/>
      <c r="B107" s="131"/>
      <c r="C107" s="131"/>
      <c r="D107" s="131"/>
      <c r="E107" s="3143" t="str">
        <f>IF(项目基本情况!E8="已注销","——","3.房地产抵押价值")</f>
        <v>3.房地产抵押价值</v>
      </c>
      <c r="F107" s="3144"/>
      <c r="G107" s="2509" t="s">
        <v>2300</v>
      </c>
      <c r="H107" s="1038">
        <f ca="1">IF(E107="——","——",H101-H103)</f>
        <v>211231</v>
      </c>
      <c r="I107" s="131"/>
    </row>
    <row r="108" spans="1:35" ht="18.75" customHeight="1">
      <c r="A108" s="131"/>
      <c r="B108" s="131"/>
      <c r="C108" s="131"/>
      <c r="D108" s="131"/>
      <c r="E108" s="3143"/>
      <c r="F108" s="3144"/>
      <c r="G108" s="2509" t="s">
        <v>2302</v>
      </c>
      <c r="H108" s="364">
        <f ca="1">ROUND(H107*10000/'数据-汇总表'!E3,0)</f>
        <v>20425</v>
      </c>
      <c r="I108" s="131"/>
    </row>
    <row r="109" spans="1:35" ht="18.75" customHeight="1">
      <c r="A109" s="131"/>
      <c r="B109" s="131"/>
      <c r="C109" s="131"/>
      <c r="D109" s="131"/>
      <c r="E109" s="3143" t="str">
        <f>IF(项目基本情况!E8="已注销及未注销","4.抵押担保权已注销时的房地产抵押价值",IF(项目基本情况!E8="已注销","3.抵押担保权已注销时的房地产抵押价值","——"))</f>
        <v>——</v>
      </c>
      <c r="F109" s="3144"/>
      <c r="G109" s="2509" t="s">
        <v>2300</v>
      </c>
      <c r="H109" s="341" t="str">
        <f>IF(E109="——","——",H101-H105-H106)</f>
        <v>——</v>
      </c>
      <c r="I109" s="131"/>
    </row>
    <row r="110" spans="1:35" ht="18.75" customHeight="1">
      <c r="A110" s="131"/>
      <c r="B110" s="131"/>
      <c r="C110" s="131"/>
      <c r="D110" s="131"/>
      <c r="E110" s="3143"/>
      <c r="F110" s="3144"/>
      <c r="G110" s="2509" t="s">
        <v>2302</v>
      </c>
      <c r="H110" s="364" t="str">
        <f>IF(H109="——","——",ROUND(H109*10000/'数据-汇总表'!E3,0))</f>
        <v>——</v>
      </c>
      <c r="I110" s="131"/>
    </row>
    <row r="111" spans="1:35" ht="18.75" customHeight="1">
      <c r="A111" s="131"/>
      <c r="B111" s="131"/>
      <c r="C111" s="131"/>
      <c r="D111" s="131"/>
      <c r="E111" s="3178" t="str">
        <f>IF(项目基本情况!E9="抵押净值",IF(OR(项目基本情况!E8="已注销",项目基本情况!E8="房地产抵押价值"),"4.抵押净值","5.抵押净值"),"——")</f>
        <v>——</v>
      </c>
      <c r="F111" s="3179"/>
      <c r="G111" s="2509" t="s">
        <v>2300</v>
      </c>
      <c r="H111" s="1038" t="str">
        <f>IF(E111="——","——",N59)</f>
        <v>——</v>
      </c>
      <c r="I111" s="131"/>
    </row>
    <row r="112" spans="1:35" ht="18.75" customHeight="1" thickBot="1">
      <c r="A112" s="131"/>
      <c r="B112" s="131"/>
      <c r="C112" s="131"/>
      <c r="D112" s="131"/>
      <c r="E112" s="3180"/>
      <c r="F112" s="3181"/>
      <c r="G112" s="2514" t="s">
        <v>2302</v>
      </c>
      <c r="H112" s="783" t="str">
        <f>IF(E111="——","——",N61)</f>
        <v>——</v>
      </c>
      <c r="I112" s="131"/>
    </row>
    <row r="113" spans="1:11" ht="18.75" customHeight="1">
      <c r="A113" s="131"/>
      <c r="B113" s="131"/>
      <c r="C113" s="131"/>
      <c r="D113" s="131"/>
      <c r="E113" s="3148" t="s">
        <v>2308</v>
      </c>
      <c r="F113" s="3148"/>
      <c r="G113" s="3148"/>
      <c r="H113" s="3148"/>
      <c r="I113" s="131"/>
    </row>
    <row r="114" spans="1:11" ht="3.75" customHeight="1">
      <c r="A114" s="2407"/>
      <c r="B114" s="2407"/>
      <c r="C114" s="2407"/>
      <c r="D114" s="2407"/>
      <c r="E114" s="2485"/>
      <c r="F114" s="2485"/>
      <c r="G114" s="2485"/>
      <c r="H114" s="2485"/>
      <c r="I114" s="2407"/>
    </row>
    <row r="115" spans="1:11" ht="18.75" customHeight="1">
      <c r="A115" s="3161" t="s">
        <v>2310</v>
      </c>
      <c r="B115" s="3162"/>
      <c r="C115" s="3162"/>
      <c r="D115" s="3162"/>
      <c r="E115" s="3162"/>
      <c r="F115" s="3162"/>
      <c r="G115" s="3162"/>
      <c r="H115" s="3162"/>
      <c r="I115" s="3163"/>
    </row>
    <row r="116" spans="1:11" ht="27" customHeight="1">
      <c r="A116" s="3053" t="s">
        <v>2311</v>
      </c>
      <c r="B116" s="3149" t="s">
        <v>2312</v>
      </c>
      <c r="C116" s="3149" t="s">
        <v>2313</v>
      </c>
      <c r="D116" s="3165" t="s">
        <v>2314</v>
      </c>
      <c r="E116" s="3166"/>
      <c r="F116" s="3157" t="s">
        <v>2315</v>
      </c>
      <c r="G116" s="3157"/>
      <c r="H116" s="3053" t="s">
        <v>2316</v>
      </c>
      <c r="I116" s="3053"/>
    </row>
    <row r="117" spans="1:11" ht="18.75" customHeight="1">
      <c r="A117" s="3053"/>
      <c r="B117" s="3150"/>
      <c r="C117" s="3150"/>
      <c r="D117" s="1787" t="s">
        <v>2317</v>
      </c>
      <c r="E117" s="1787" t="s">
        <v>2318</v>
      </c>
      <c r="F117" s="1787" t="s">
        <v>2317</v>
      </c>
      <c r="G117" s="1787" t="s">
        <v>2319</v>
      </c>
      <c r="H117" s="1787" t="s">
        <v>2317</v>
      </c>
      <c r="I117" s="1787" t="s">
        <v>2319</v>
      </c>
    </row>
    <row r="118" spans="1:11" ht="24.75" customHeight="1">
      <c r="A118" s="2515" t="str">
        <f>项目基本情况!S2</f>
        <v>北京市出让国有建设用地使用权及在建建筑物房地产</v>
      </c>
      <c r="B118" s="1787">
        <f>M18</f>
        <v>103416.51999999999</v>
      </c>
      <c r="C118" s="1787">
        <f>M19</f>
        <v>38798.11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211231</v>
      </c>
      <c r="I118" s="1787">
        <f ca="1">ROUND(IF(D32="楼面单价",C32,H118*10000/B118),0)</f>
        <v>20425</v>
      </c>
    </row>
    <row r="119" spans="1:11" ht="18.75" customHeight="1">
      <c r="A119" s="3053" t="s">
        <v>2320</v>
      </c>
      <c r="B119" s="3053"/>
      <c r="C119" s="3053"/>
      <c r="D119" s="3154" t="e">
        <f ca="1">NUMBERSTRING(INT(D118*10000),2)&amp;"元整"</f>
        <v>#REF!</v>
      </c>
      <c r="E119" s="3156"/>
      <c r="F119" s="3154" t="e">
        <f ca="1">NUMBERSTRING(INT(F118*10000),2)&amp;"元整"</f>
        <v>#REF!</v>
      </c>
      <c r="G119" s="3156"/>
      <c r="H119" s="3154" t="str">
        <f ca="1">NUMBERSTRING(INT(H118*10000),2)&amp;"元整"</f>
        <v>贰拾壹亿壹仟贰佰叁拾壹万元整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2" t="str">
        <f>IF(D120=0,"故，本次评估不存在"&amp;A120,"故，本次评估"&amp;A120&amp;"为人民币"&amp;D120&amp;"万元整。")</f>
        <v>故，本次评估不存在估价师知悉的法定优先受偿款</v>
      </c>
    </row>
    <row r="121" spans="1:11" ht="18.75" customHeight="1">
      <c r="A121" s="3158" t="s">
        <v>2320</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211231</v>
      </c>
      <c r="E122" s="3183"/>
      <c r="F122" s="3183"/>
      <c r="G122" s="3183"/>
      <c r="H122" s="3183"/>
      <c r="I122" s="3184"/>
    </row>
    <row r="123" spans="1:11" ht="18.75" customHeight="1">
      <c r="A123" s="3053" t="s">
        <v>2320</v>
      </c>
      <c r="B123" s="3053"/>
      <c r="C123" s="3053"/>
      <c r="D123" s="3154" t="str">
        <f ca="1">NUMBERSTRING(INT(D122*10000),2)&amp;"元整"</f>
        <v>贰拾壹亿壹仟贰佰叁拾壹万元整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3" t="s">
        <v>2320</v>
      </c>
      <c r="B125" s="3053"/>
      <c r="C125" s="3053"/>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3" t="s">
        <v>2320</v>
      </c>
      <c r="B127" s="3053"/>
      <c r="C127" s="3053"/>
      <c r="D127" s="3154" t="e">
        <f>NUMBERSTRING(INT(D126*10000),2)&amp;"元整"</f>
        <v>#VALUE!</v>
      </c>
      <c r="E127" s="3155"/>
      <c r="F127" s="3155"/>
      <c r="G127" s="3155"/>
      <c r="H127" s="3155"/>
      <c r="I127" s="3156"/>
    </row>
    <row r="128" spans="1:11" ht="21.75" customHeight="1">
      <c r="A128" s="3164" t="s">
        <v>2321</v>
      </c>
      <c r="B128" s="3164"/>
      <c r="C128" s="3164"/>
      <c r="D128" s="3164"/>
      <c r="E128" s="3164"/>
      <c r="F128" s="3164"/>
      <c r="G128" s="3164"/>
      <c r="H128" s="3164"/>
      <c r="I128" s="3164"/>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88"/>
    </row>
    <row r="135" spans="1:35" ht="21.75" customHeight="1">
      <c r="A135" s="788"/>
      <c r="B135" s="788"/>
      <c r="C135" s="788"/>
      <c r="D135" s="788"/>
      <c r="E135" s="788"/>
      <c r="F135" s="2532" t="s">
        <v>2324</v>
      </c>
      <c r="G135" s="2533"/>
      <c r="H135" s="2533"/>
      <c r="I135" s="2534" t="s">
        <v>2325</v>
      </c>
    </row>
    <row r="136" spans="1:35" ht="21.75" customHeight="1">
      <c r="A136" s="788"/>
      <c r="B136" s="2535"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3"/>
      <c r="C138" s="2533"/>
      <c r="D138" s="2533"/>
      <c r="E138" s="2533"/>
      <c r="F138" s="2533"/>
      <c r="G138" s="2533"/>
      <c r="H138" s="2533"/>
      <c r="I138" s="2534" t="s">
        <v>2327</v>
      </c>
    </row>
    <row r="139" spans="1:35" ht="21.75" customHeight="1">
      <c r="A139" s="788"/>
      <c r="B139" s="2535" t="s">
        <v>2328</v>
      </c>
      <c r="C139" s="788"/>
      <c r="D139" s="788"/>
      <c r="E139" s="788"/>
      <c r="F139" s="788"/>
      <c r="G139" s="788"/>
      <c r="H139" s="788"/>
      <c r="I139" s="788"/>
    </row>
    <row r="140" spans="1:35" ht="21.75" customHeight="1">
      <c r="A140" s="788"/>
      <c r="B140" s="2535"/>
      <c r="C140" s="788"/>
      <c r="D140" s="788"/>
      <c r="E140" s="788"/>
      <c r="F140" s="788"/>
      <c r="G140" s="788"/>
      <c r="H140" s="788"/>
      <c r="I140" s="788"/>
    </row>
    <row r="141" spans="1:35" ht="21.75" customHeight="1">
      <c r="A141" s="788"/>
      <c r="B141" s="2533"/>
      <c r="C141" s="2533"/>
      <c r="D141" s="2533"/>
      <c r="E141" s="2533"/>
      <c r="F141" s="2533"/>
      <c r="G141" s="2533"/>
      <c r="H141" s="2533"/>
      <c r="I141" s="2534" t="s">
        <v>2327</v>
      </c>
    </row>
    <row r="142" spans="1:35" ht="21.75" customHeight="1">
      <c r="A142" s="788"/>
      <c r="B142" s="2535"/>
      <c r="C142" s="2536"/>
      <c r="D142" s="2537"/>
      <c r="E142" s="2537"/>
      <c r="F142" s="2331"/>
      <c r="G142" s="788"/>
      <c r="H142" s="788"/>
      <c r="I142" s="788"/>
    </row>
    <row r="143" spans="1:35" s="132" customFormat="1" ht="21.75" customHeight="1">
      <c r="A143" s="788"/>
      <c r="B143" s="2535"/>
      <c r="C143" s="2536"/>
      <c r="D143" s="2537"/>
      <c r="E143" s="2537"/>
      <c r="F143" s="2331"/>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2"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2"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2"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2"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2"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2"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2"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2"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2"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2"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2"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2"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2"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2"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2"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2"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2"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2"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2"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2"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2"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2"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2"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2"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2"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2"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2"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2"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2"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2"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2"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2"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2"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2"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2"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2"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2"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2"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2"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2"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2"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2"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2"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2"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2"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2"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2"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2"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2"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2"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2"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2"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2"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2"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2"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2"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2"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2"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2"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2"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2"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2"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2"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2"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2"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2"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2"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2"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2"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2"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2"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2"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2"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2"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2"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2"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2"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2"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2"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2"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2"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2"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2"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2"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2"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2"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2"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2"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2"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2"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2"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2"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2"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2"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2"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2"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2"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2"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2"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2"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2"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2"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2"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2"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9" t="str">
        <f>项目基本情况!B1</f>
        <v>北京市出让国有建设用地使用权及在建建筑物房地产抵押价值预评估</v>
      </c>
      <c r="C37" s="3009"/>
      <c r="D37" s="3009"/>
      <c r="E37" s="3009"/>
      <c r="F37" s="3009"/>
      <c r="G37" s="3009"/>
      <c r="H37" s="3009"/>
      <c r="I37" s="3009"/>
    </row>
    <row r="38" spans="1:9">
      <c r="A38" s="1009"/>
      <c r="B38" s="1009"/>
    </row>
    <row r="39" spans="1:9">
      <c r="A39" s="1007" t="s">
        <v>818</v>
      </c>
      <c r="B39" s="1007" t="s">
        <v>820</v>
      </c>
    </row>
    <row r="40" spans="1:9">
      <c r="A40" s="1007"/>
      <c r="B40" s="1934">
        <f>项目基本情况!B5</f>
        <v>0</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刘梅（注册号：1120140022)、吴薇（注册号：1419970001)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9"/>
      <c r="C1" s="235"/>
      <c r="D1" s="235"/>
      <c r="E1" s="235"/>
      <c r="F1" s="235"/>
      <c r="G1" s="1372">
        <f>MATCH(B1,'数据-取费表'!A6:A16,0)+5</f>
        <v>7</v>
      </c>
    </row>
    <row r="2" spans="1:9" s="237" customFormat="1" ht="18" customHeight="1">
      <c r="A2" s="238" t="s">
        <v>2330</v>
      </c>
      <c r="B2" s="239">
        <f ca="1">IF(D2="——",C52,C52-E2)</f>
        <v>204134</v>
      </c>
      <c r="C2" s="236" t="s">
        <v>2331</v>
      </c>
      <c r="D2" s="2538" t="s">
        <v>70</v>
      </c>
      <c r="E2" s="1433" t="e">
        <f ca="1">SUMIF(INDIRECT("'"&amp;G2&amp;"'"&amp;"!A:A"),"承租人权益价值",INDIRECT("'"&amp;G2&amp;"'"&amp;"!c:c"))</f>
        <v>#REF!</v>
      </c>
      <c r="F2" s="2539" t="s">
        <v>2331</v>
      </c>
      <c r="G2" s="2540"/>
    </row>
    <row r="3" spans="1:9" s="237" customFormat="1" ht="18" customHeight="1" thickBot="1">
      <c r="A3" s="240" t="s">
        <v>2332</v>
      </c>
      <c r="B3" s="241">
        <f ca="1">ROUND(B2*10000/(IF(B1="",'数据-汇总表'!E3,INDIRECT("'数据-取费表'!k"&amp;$G$1))),0)</f>
        <v>19739</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119022</v>
      </c>
      <c r="D5" s="248" t="s">
        <v>2337</v>
      </c>
      <c r="E5" s="249" t="s">
        <v>2338</v>
      </c>
      <c r="F5" s="249" t="s">
        <v>2339</v>
      </c>
      <c r="G5" s="250"/>
    </row>
    <row r="6" spans="1:9" s="251" customFormat="1" ht="13.5" customHeight="1">
      <c r="A6" s="942" t="s">
        <v>2340</v>
      </c>
      <c r="B6" s="252" t="s">
        <v>2341</v>
      </c>
      <c r="C6" s="253">
        <f>'土地比较法-住宅、综合'!B2</f>
        <v>113492</v>
      </c>
      <c r="D6" s="254"/>
      <c r="E6" s="255"/>
      <c r="F6" s="255"/>
      <c r="G6" s="256"/>
    </row>
    <row r="7" spans="1:9" s="251" customFormat="1" ht="13.5" customHeight="1">
      <c r="A7" s="942" t="s">
        <v>2342</v>
      </c>
      <c r="B7" s="252" t="s">
        <v>2343</v>
      </c>
      <c r="C7" s="257">
        <f>ROUND(C6*F7,0)</f>
        <v>3462</v>
      </c>
      <c r="D7" s="257"/>
      <c r="E7" s="255"/>
      <c r="F7" s="258">
        <f>'数据-取费表'!B48+'数据-取费表'!B49</f>
        <v>3.0499999999999999E-2</v>
      </c>
      <c r="G7" s="256"/>
    </row>
    <row r="8" spans="1:9" s="260" customFormat="1">
      <c r="A8" s="942" t="s">
        <v>2344</v>
      </c>
      <c r="B8" s="252" t="s">
        <v>2345</v>
      </c>
      <c r="C8" s="257">
        <f>IF(G8="已包含在土地购买价格中","0",IF(B1="",'数据-取费表'!B29,IF(G9="全部缴纳",C9+C10,H9)))</f>
        <v>2068</v>
      </c>
      <c r="D8" s="259"/>
      <c r="E8" s="257"/>
      <c r="F8" s="258"/>
      <c r="G8" s="3003" t="s">
        <v>3623</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2"/>
      <c r="H9" s="1383"/>
      <c r="I9" s="2543" t="s">
        <v>2347</v>
      </c>
    </row>
    <row r="10" spans="1:9" s="251" customFormat="1" ht="13.5" customHeight="1">
      <c r="A10" s="943" t="s">
        <v>801</v>
      </c>
      <c r="B10" s="261" t="s">
        <v>2348</v>
      </c>
      <c r="C10" s="262">
        <f ca="1">ROUND(D10*E10/10000,0)</f>
        <v>2068</v>
      </c>
      <c r="D10" s="1025">
        <f ca="1">IF(B1="",'数据-汇总表'!E6,IF(INDIRECT("'数据-取费表'!c"&amp;$G$1)="住宅",INDIRECT("'数据-取费表'!s"&amp;$G$1),INDIRECT("'数据-取费表'!k"&amp;$G$1)+INDIRECT("'数据-取费表'!s"&amp;$G$1)))</f>
        <v>103416.51999999999</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103416.51999999999</v>
      </c>
      <c r="E19" s="248">
        <f>'数据-取费表'!B31</f>
        <v>200</v>
      </c>
      <c r="F19" s="268"/>
      <c r="G19" s="2541" t="s">
        <v>3493</v>
      </c>
    </row>
    <row r="20" spans="1:7" s="251" customFormat="1" ht="13.5" customHeight="1">
      <c r="A20" s="292" t="s">
        <v>2361</v>
      </c>
      <c r="B20" s="247" t="s">
        <v>2362</v>
      </c>
      <c r="C20" s="269">
        <f>ROUND((C5+C19)*F20,0)</f>
        <v>2380</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15411</v>
      </c>
      <c r="D22" s="272">
        <f ca="1">C26</f>
        <v>1.1999999999999999E-3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15263</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148</v>
      </c>
      <c r="D25" s="275"/>
      <c r="E25" s="278"/>
      <c r="F25" s="276"/>
      <c r="G25" s="279" t="s">
        <v>2378</v>
      </c>
    </row>
    <row r="26" spans="1:7" s="251" customFormat="1">
      <c r="A26" s="944" t="s">
        <v>795</v>
      </c>
      <c r="B26" s="252" t="s">
        <v>2379</v>
      </c>
      <c r="C26" s="275">
        <f ca="1">ROUND(IF('数据-取费表'!B22&lt;=1,F21*F22*'数据-取费表'!B23/2,F21*(POWER((1+F22),'数据-取费表'!B23/2)-1)),4)</f>
        <v>1.1999999999999999E-3</v>
      </c>
      <c r="D26" s="275"/>
      <c r="E26" s="278"/>
      <c r="F26" s="276"/>
      <c r="G26" s="280"/>
    </row>
    <row r="27" spans="1:7" s="251" customFormat="1" ht="24.75">
      <c r="A27" s="292" t="s">
        <v>2380</v>
      </c>
      <c r="B27" s="281" t="s">
        <v>2381</v>
      </c>
      <c r="C27" s="282">
        <f ca="1">C28</f>
        <v>19991</v>
      </c>
      <c r="D27" s="272">
        <f ca="1">C29</f>
        <v>3.3E-3</v>
      </c>
      <c r="E27" s="273" t="s">
        <v>2382</v>
      </c>
      <c r="F27" s="283">
        <f ca="1">IF(B1="",'数据-取费表'!Q16,INDIRECT("'数据-取费表'!q"&amp;$G$1))</f>
        <v>0.19</v>
      </c>
      <c r="G27" s="284" t="s">
        <v>2383</v>
      </c>
    </row>
    <row r="28" spans="1:7" s="251" customFormat="1" ht="13.5" customHeight="1">
      <c r="A28" s="944" t="s">
        <v>791</v>
      </c>
      <c r="B28" s="285" t="s">
        <v>2384</v>
      </c>
      <c r="C28" s="286">
        <f ca="1">ROUND((C5+C19+C20)*F27*'数据-取费表'!B21/'数据-取费表'!B20,0)</f>
        <v>19991</v>
      </c>
      <c r="D28" s="272"/>
      <c r="E28" s="273"/>
      <c r="F28" s="283"/>
      <c r="G28" s="284"/>
    </row>
    <row r="29" spans="1:7" s="251" customFormat="1" ht="13.5" customHeight="1">
      <c r="A29" s="944" t="s">
        <v>792</v>
      </c>
      <c r="B29" s="285" t="s">
        <v>2385</v>
      </c>
      <c r="C29" s="275">
        <f ca="1">ROUND(C21*F27*'数据-取费表'!B21/'数据-取费表'!B20,4)</f>
        <v>3.3E-3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169867</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24753</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22301</v>
      </c>
      <c r="D34" s="254"/>
      <c r="E34" s="257"/>
      <c r="F34" s="294">
        <f ca="1">IF('数据-取费表'!B24=0,1,IF(B1="",'数据-取费表'!N16,INDIRECT("'数据-取费表'!n"&amp;$G$1)))</f>
        <v>0.7</v>
      </c>
      <c r="G34" s="256" t="s">
        <v>2394</v>
      </c>
    </row>
    <row r="35" spans="1:7" ht="13.5" customHeight="1">
      <c r="A35" s="944" t="s">
        <v>796</v>
      </c>
      <c r="B35" s="252" t="s">
        <v>2395</v>
      </c>
      <c r="C35" s="257">
        <f ca="1">ROUND(C34*F35,0)</f>
        <v>669</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1448</v>
      </c>
      <c r="D37" s="254">
        <f ca="1">D19</f>
        <v>103416.51999999999</v>
      </c>
      <c r="E37" s="286">
        <f>'数据-取费表'!B35</f>
        <v>200</v>
      </c>
      <c r="F37" s="296"/>
      <c r="G37" s="298" t="s">
        <v>2400</v>
      </c>
    </row>
    <row r="38" spans="1:7" ht="13.5" customHeight="1">
      <c r="A38" s="944" t="s">
        <v>799</v>
      </c>
      <c r="B38" s="252" t="s">
        <v>2401</v>
      </c>
      <c r="C38" s="257">
        <f ca="1">ROUND(C34*F38,0)</f>
        <v>335</v>
      </c>
      <c r="D38" s="257"/>
      <c r="E38" s="257"/>
      <c r="F38" s="296">
        <f>'数据-取费表'!B36</f>
        <v>1.4999999999999999E-2</v>
      </c>
      <c r="G38" s="256" t="s">
        <v>2396</v>
      </c>
    </row>
    <row r="39" spans="1:7" s="251" customFormat="1" ht="13.5" customHeight="1">
      <c r="A39" s="292" t="s">
        <v>2402</v>
      </c>
      <c r="B39" s="247" t="s">
        <v>2403</v>
      </c>
      <c r="C39" s="269">
        <f ca="1">ROUND(C33*F20,0)</f>
        <v>495</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1570</v>
      </c>
      <c r="D41" s="272">
        <f ca="1">C44</f>
        <v>1.1999999999999999E-3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1539</v>
      </c>
      <c r="D42" s="275"/>
      <c r="E42" s="275"/>
      <c r="F42" s="276"/>
      <c r="G42" s="3196" t="s">
        <v>2412</v>
      </c>
    </row>
    <row r="43" spans="1:7" ht="13.5" customHeight="1">
      <c r="A43" s="944" t="s">
        <v>792</v>
      </c>
      <c r="B43" s="252" t="s">
        <v>2413</v>
      </c>
      <c r="C43" s="275">
        <f ca="1">ROUND(IF('数据-取费表'!B22&lt;=1,C39*F22*'数据-取费表'!B21/2,C39*(POWER((1+F22),'数据-取费表'!B21/2)-1)),0)</f>
        <v>31</v>
      </c>
      <c r="D43" s="275"/>
      <c r="E43" s="275"/>
      <c r="F43" s="276"/>
      <c r="G43" s="3197"/>
    </row>
    <row r="44" spans="1:7" ht="13.5" customHeight="1">
      <c r="A44" s="944" t="s">
        <v>793</v>
      </c>
      <c r="B44" s="252" t="s">
        <v>2414</v>
      </c>
      <c r="C44" s="275">
        <f ca="1">ROUND(IF('数据-取费表'!B22&lt;=1,C40*F22*'数据-取费表'!B21/2,C40*(POWER((1+F22),'数据-取费表'!B21/2)-1)),4)</f>
        <v>1.1999999999999999E-3</v>
      </c>
      <c r="D44" s="275"/>
      <c r="E44" s="275"/>
      <c r="F44" s="276"/>
      <c r="G44" s="3198"/>
    </row>
    <row r="45" spans="1:7" s="251" customFormat="1" ht="13.5" customHeight="1">
      <c r="A45" s="292" t="s">
        <v>2415</v>
      </c>
      <c r="B45" s="281" t="s">
        <v>2381</v>
      </c>
      <c r="C45" s="282">
        <f ca="1">C46</f>
        <v>4797</v>
      </c>
      <c r="D45" s="272">
        <f ca="1">C47</f>
        <v>3.8E-3</v>
      </c>
      <c r="E45" s="273" t="s">
        <v>2407</v>
      </c>
      <c r="F45" s="283"/>
      <c r="G45" s="284" t="s">
        <v>2416</v>
      </c>
    </row>
    <row r="46" spans="1:7" s="251" customFormat="1" ht="13.5" customHeight="1">
      <c r="A46" s="944" t="s">
        <v>791</v>
      </c>
      <c r="B46" s="285" t="s">
        <v>2417</v>
      </c>
      <c r="C46" s="286">
        <f ca="1">ROUND((C33+C39)*F27,0)</f>
        <v>4797</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1720">
        <f>ROUND(F30/(1+'数据-取费表'!C42),4)</f>
        <v>5.2400000000000002E-2</v>
      </c>
      <c r="D48" s="273" t="s">
        <v>2407</v>
      </c>
      <c r="E48" s="269"/>
      <c r="F48" s="274"/>
      <c r="G48" s="271" t="s">
        <v>2420</v>
      </c>
    </row>
    <row r="49" spans="1:7" ht="16.5" customHeight="1">
      <c r="A49" s="292" t="s">
        <v>2386</v>
      </c>
      <c r="B49" s="247" t="s">
        <v>2421</v>
      </c>
      <c r="C49" s="269">
        <f ca="1">ROUND((C33+C39+C41+C45)/(1-C40-D41-D45-C48),0)</f>
        <v>34267</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34267</v>
      </c>
      <c r="D51" s="269"/>
      <c r="E51" s="269"/>
      <c r="F51" s="301"/>
      <c r="G51" s="271" t="s">
        <v>2428</v>
      </c>
    </row>
    <row r="52" spans="1:7" s="245" customFormat="1" ht="16.5" thickBot="1">
      <c r="A52" s="302" t="s">
        <v>2429</v>
      </c>
      <c r="B52" s="303"/>
      <c r="C52" s="304">
        <f ca="1">C31+C51</f>
        <v>204134</v>
      </c>
      <c r="D52" s="303"/>
      <c r="E52" s="303"/>
      <c r="F52" s="303"/>
      <c r="G52" s="305"/>
    </row>
    <row r="55" spans="1:7" ht="15">
      <c r="B55" s="307" t="s">
        <v>2430</v>
      </c>
      <c r="C55" s="308"/>
    </row>
    <row r="56" spans="1:7">
      <c r="B56" s="310" t="s">
        <v>1514</v>
      </c>
      <c r="C56" s="312">
        <f ca="1">1-C57</f>
        <v>0.83199999999999996</v>
      </c>
    </row>
    <row r="57" spans="1:7">
      <c r="B57" s="310" t="s">
        <v>1515</v>
      </c>
      <c r="C57" s="311">
        <f ca="1">ROUND(C51/C52,3)</f>
        <v>0.16800000000000001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9"/>
      <c r="C1" s="2544" t="s">
        <v>2431</v>
      </c>
      <c r="D1" s="235"/>
      <c r="E1" s="235"/>
      <c r="F1" s="235"/>
      <c r="G1" s="1372">
        <f>MATCH(B1,'数据-取费表'!A6:A16,0)+5</f>
        <v>7</v>
      </c>
      <c r="H1" s="1275" t="str">
        <f>IF(ISERROR(FIND("住宅",B1)),"非住宅","住宅")</f>
        <v>非住宅</v>
      </c>
    </row>
    <row r="2" spans="1:8" s="237" customFormat="1" ht="18" customHeight="1">
      <c r="A2" s="238" t="s">
        <v>2330</v>
      </c>
      <c r="B2" s="239">
        <f ca="1">ROUND(IF(D2="——",C52/10000,C52/10000-E2),0)</f>
        <v>55471</v>
      </c>
      <c r="C2" s="236" t="s">
        <v>2331</v>
      </c>
      <c r="D2" s="2538" t="s">
        <v>70</v>
      </c>
      <c r="E2" s="1433" t="e">
        <f ca="1">SUMIF(INDIRECT("'"&amp;G2&amp;"'"&amp;"!A:A"),"承租人权益价值",INDIRECT("'"&amp;G2&amp;"'"&amp;"!c:c"))</f>
        <v>#REF!</v>
      </c>
      <c r="F2" s="2539" t="s">
        <v>2331</v>
      </c>
      <c r="G2" s="2540"/>
    </row>
    <row r="3" spans="1:8" s="237" customFormat="1" ht="18" customHeight="1" thickBot="1">
      <c r="A3" s="240" t="s">
        <v>2332</v>
      </c>
      <c r="B3" s="241">
        <f ca="1">ROUND(B2*10000/(IF(B1="",'数据-汇总表'!E3,INDIRECT("'数据-取费表'!k"&amp;$G$1))),0)</f>
        <v>5364</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20683304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20683304</v>
      </c>
      <c r="D8" s="259"/>
      <c r="E8" s="257"/>
      <c r="F8" s="258"/>
      <c r="G8" s="2541"/>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20683304</v>
      </c>
      <c r="D10" s="1025">
        <f ca="1">IF(B1="",'数据-汇总表'!E6,IF(INDIRECT("'数据-取费表'!c"&amp;$G$1)="住宅",INDIRECT("'数据-取费表'!s"&amp;$G$1),INDIRECT("'数据-取费表'!k"&amp;$G$1)+INDIRECT("'数据-取费表'!s"&amp;$G$1)))</f>
        <v>103416.51999999999</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20683304</v>
      </c>
      <c r="D19" s="1029">
        <f ca="1">D9+D10</f>
        <v>103416.51999999999</v>
      </c>
      <c r="E19" s="248">
        <f>'数据-取费表'!B31</f>
        <v>200</v>
      </c>
      <c r="F19" s="268"/>
      <c r="G19" s="2541"/>
    </row>
    <row r="20" spans="1:7" s="251" customFormat="1" ht="13.5" customHeight="1">
      <c r="A20" s="292" t="s">
        <v>2442</v>
      </c>
      <c r="B20" s="247" t="s">
        <v>2443</v>
      </c>
      <c r="C20" s="269">
        <f ca="1">ROUND((C5+C19)*F20,0)</f>
        <v>827332</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3">
        <f ca="1">ROUND(SUM(C23:C25),0)</f>
        <v>6238818</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4">
        <f ca="1">ROUND(IF('数据-取费表'!B22&lt;=1,C5*F22*'数据-取费表'!B22,C5*(POWER((1+F22),'数据-取费表'!B22)-1)),0)</f>
        <v>3089588</v>
      </c>
      <c r="D23" s="275"/>
      <c r="E23" s="275"/>
      <c r="F23" s="276"/>
      <c r="G23" s="277" t="s">
        <v>2452</v>
      </c>
    </row>
    <row r="24" spans="1:7" s="251" customFormat="1" ht="13.5" customHeight="1">
      <c r="A24" s="944" t="s">
        <v>2342</v>
      </c>
      <c r="B24" s="252" t="s">
        <v>2453</v>
      </c>
      <c r="C24" s="1374">
        <f ca="1">ROUND(IF('数据-取费表'!B22&lt;=1,C19*F22*('数据-取费表'!B19/2+'数据-取费表'!B20),C19*(POWER((1+F22),('数据-取费表'!B19/2+'数据-取费表'!B20))-1)),0)</f>
        <v>3089588</v>
      </c>
      <c r="D24" s="275"/>
      <c r="E24" s="275"/>
      <c r="F24" s="276"/>
      <c r="G24" s="277" t="s">
        <v>2454</v>
      </c>
    </row>
    <row r="25" spans="1:7" s="251" customFormat="1" ht="24">
      <c r="A25" s="944" t="s">
        <v>2344</v>
      </c>
      <c r="B25" s="252" t="s">
        <v>2455</v>
      </c>
      <c r="C25" s="1374">
        <f ca="1">ROUND(IF('数据-取费表'!B22&lt;=1,C20*F22*'数据-取费表'!B22/2,C20*(POWER((1+F22),'数据-取费表'!B22/2)-1)),0)</f>
        <v>59642</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8016849</v>
      </c>
      <c r="D27" s="272">
        <f ca="1">C29</f>
        <v>3.8E-3</v>
      </c>
      <c r="E27" s="273" t="s">
        <v>2382</v>
      </c>
      <c r="F27" s="283">
        <f ca="1">IF(B1="",'数据-取费表'!Q16,INDIRECT("'数据-取费表'!q"&amp;$G$1))</f>
        <v>0.19</v>
      </c>
      <c r="G27" s="284" t="s">
        <v>2383</v>
      </c>
    </row>
    <row r="28" spans="1:7" s="251" customFormat="1" ht="13.5" customHeight="1">
      <c r="A28" s="944" t="s">
        <v>791</v>
      </c>
      <c r="B28" s="285" t="s">
        <v>2384</v>
      </c>
      <c r="C28" s="286">
        <f ca="1">ROUND((C5+C19+C20)*F27,0)</f>
        <v>8016849</v>
      </c>
      <c r="D28" s="272"/>
      <c r="E28" s="273"/>
      <c r="F28" s="283"/>
      <c r="G28" s="284"/>
    </row>
    <row r="29" spans="1:7" s="251" customFormat="1" ht="13.5" customHeight="1">
      <c r="A29" s="944" t="s">
        <v>792</v>
      </c>
      <c r="B29" s="285" t="s">
        <v>2385</v>
      </c>
      <c r="C29" s="275">
        <f ca="1">ROUND(C21*F27,4)</f>
        <v>3.8E-3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61198620</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353608063</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318588286</v>
      </c>
      <c r="D34" s="254"/>
      <c r="E34" s="257"/>
      <c r="F34" s="294"/>
      <c r="G34" s="256"/>
    </row>
    <row r="35" spans="1:7" ht="13.5" customHeight="1">
      <c r="A35" s="944" t="s">
        <v>796</v>
      </c>
      <c r="B35" s="252" t="s">
        <v>2395</v>
      </c>
      <c r="C35" s="257">
        <f ca="1">ROUND(C34*F35,0)</f>
        <v>9557649</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20683304</v>
      </c>
      <c r="D37" s="254">
        <f ca="1">D19</f>
        <v>103416.51999999999</v>
      </c>
      <c r="E37" s="286">
        <f>'数据-取费表'!B35</f>
        <v>200</v>
      </c>
      <c r="F37" s="296"/>
      <c r="G37" s="298"/>
    </row>
    <row r="38" spans="1:7" ht="13.5" customHeight="1">
      <c r="A38" s="944" t="s">
        <v>799</v>
      </c>
      <c r="B38" s="252" t="s">
        <v>2401</v>
      </c>
      <c r="C38" s="257">
        <f ca="1">ROUND(C34*F38,0)</f>
        <v>4778824</v>
      </c>
      <c r="D38" s="257"/>
      <c r="E38" s="257"/>
      <c r="F38" s="296">
        <f>'数据-取费表'!B36</f>
        <v>1.4999999999999999E-2</v>
      </c>
      <c r="G38" s="256" t="s">
        <v>2396</v>
      </c>
    </row>
    <row r="39" spans="1:7" s="251" customFormat="1" ht="13.5" customHeight="1">
      <c r="A39" s="292" t="s">
        <v>2402</v>
      </c>
      <c r="B39" s="247" t="s">
        <v>2403</v>
      </c>
      <c r="C39" s="269">
        <f ca="1">ROUND(C33*F20,0)</f>
        <v>7072161</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26001262</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25491433</v>
      </c>
      <c r="D42" s="275"/>
      <c r="E42" s="275"/>
      <c r="F42" s="276"/>
      <c r="G42" s="3196" t="s">
        <v>2459</v>
      </c>
    </row>
    <row r="43" spans="1:7" ht="13.5" customHeight="1">
      <c r="A43" s="944" t="s">
        <v>792</v>
      </c>
      <c r="B43" s="252" t="s">
        <v>2413</v>
      </c>
      <c r="C43" s="275">
        <f ca="1">ROUND(IF('数据-取费表'!B22&lt;=1,C39*F22*'数据-取费表'!B20/2,C39*(POWER((1+F22),'数据-取费表'!B20/2)-1)),0)</f>
        <v>509829</v>
      </c>
      <c r="D43" s="275"/>
      <c r="E43" s="275"/>
      <c r="F43" s="276"/>
      <c r="G43" s="3197"/>
    </row>
    <row r="44" spans="1:7" ht="13.5" customHeight="1">
      <c r="A44" s="944" t="s">
        <v>793</v>
      </c>
      <c r="B44" s="252" t="s">
        <v>2414</v>
      </c>
      <c r="C44" s="275">
        <f ca="1">ROUND(IF('数据-取费表'!B22&lt;=1,C40*F22*'数据-取费表'!B20/2,C40*(POWER((1+F22),'数据-取费表'!B20/2)-1)),4)</f>
        <v>1.4E-3</v>
      </c>
      <c r="D44" s="275"/>
      <c r="E44" s="275"/>
      <c r="F44" s="276"/>
      <c r="G44" s="3198"/>
    </row>
    <row r="45" spans="1:7" s="251" customFormat="1" ht="13.5" customHeight="1">
      <c r="A45" s="292" t="s">
        <v>2415</v>
      </c>
      <c r="B45" s="281" t="s">
        <v>2381</v>
      </c>
      <c r="C45" s="282">
        <f ca="1">C46</f>
        <v>68529243</v>
      </c>
      <c r="D45" s="272">
        <f ca="1">C47</f>
        <v>3.8E-3</v>
      </c>
      <c r="E45" s="273" t="s">
        <v>2407</v>
      </c>
      <c r="F45" s="283"/>
      <c r="G45" s="284" t="s">
        <v>2416</v>
      </c>
    </row>
    <row r="46" spans="1:7" s="251" customFormat="1" ht="13.5" customHeight="1">
      <c r="A46" s="944" t="s">
        <v>791</v>
      </c>
      <c r="B46" s="285" t="s">
        <v>2417</v>
      </c>
      <c r="C46" s="286">
        <f ca="1">ROUND((C33+C39)*F27,0)</f>
        <v>68529243</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493506861</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493506861</v>
      </c>
      <c r="D51" s="269"/>
      <c r="E51" s="269"/>
      <c r="F51" s="301"/>
      <c r="G51" s="271" t="s">
        <v>2428</v>
      </c>
    </row>
    <row r="52" spans="1:7" s="245" customFormat="1" ht="16.5" thickBot="1">
      <c r="A52" s="302" t="s">
        <v>2429</v>
      </c>
      <c r="B52" s="303"/>
      <c r="C52" s="304">
        <f ca="1">C31+C51</f>
        <v>554705481</v>
      </c>
      <c r="D52" s="303"/>
      <c r="E52" s="303"/>
      <c r="F52" s="303"/>
      <c r="G52" s="305"/>
    </row>
    <row r="55" spans="1:7" ht="15">
      <c r="B55" s="307" t="s">
        <v>2430</v>
      </c>
      <c r="C55" s="308"/>
    </row>
    <row r="56" spans="1:7">
      <c r="B56" s="310" t="s">
        <v>1514</v>
      </c>
      <c r="C56" s="312">
        <f ca="1">1-C57</f>
        <v>0.10999999999999999</v>
      </c>
    </row>
    <row r="57" spans="1:7">
      <c r="B57" s="310" t="s">
        <v>1515</v>
      </c>
      <c r="C57" s="311">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39" sqref="C39"/>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113492</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10974</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30"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30" ht="46.5" customHeight="1" thickBot="1">
      <c r="A6" s="399"/>
      <c r="B6" s="400"/>
      <c r="C6" s="3231" t="s">
        <v>2546</v>
      </c>
      <c r="D6" s="3232"/>
      <c r="E6" s="3238" t="str">
        <f>土地案例!A2</f>
        <v>顺义区高丽营镇02-08-01、02-08-02地块</v>
      </c>
      <c r="F6" s="3239"/>
      <c r="G6" s="3231" t="str">
        <f>土地案例!A20</f>
        <v>通州区永顺镇0504-014地块F3其他类多功能用地</v>
      </c>
      <c r="H6" s="3232"/>
      <c r="I6" s="3231" t="str">
        <f>土地案例!A32</f>
        <v>昌平区北七家镇(未来科技城南区)CP07-0600-0005、0026地块</v>
      </c>
      <c r="J6" s="3232"/>
      <c r="K6" s="603" t="s">
        <v>2547</v>
      </c>
      <c r="L6" s="1123"/>
      <c r="M6" s="1124"/>
      <c r="N6" s="1124"/>
      <c r="O6" s="1124"/>
      <c r="P6" s="3223"/>
      <c r="Q6" s="3224"/>
      <c r="R6" s="3227"/>
      <c r="S6" s="3228"/>
      <c r="T6" s="3229"/>
      <c r="U6" s="3230"/>
      <c r="V6" s="3212"/>
      <c r="W6" s="3212"/>
      <c r="X6" s="1805"/>
      <c r="Y6" s="3229"/>
      <c r="Z6" s="3230"/>
      <c r="AA6" s="3215"/>
      <c r="AB6" s="3215"/>
      <c r="AC6" s="3215"/>
    </row>
    <row r="7" spans="1:30" s="111" customFormat="1" ht="15.75" thickBot="1">
      <c r="A7" s="401" t="s">
        <v>2548</v>
      </c>
      <c r="B7" s="402"/>
      <c r="C7" s="403">
        <f>'数据-取费表'!B2</f>
        <v>43168</v>
      </c>
      <c r="D7" s="404">
        <v>100</v>
      </c>
      <c r="E7" s="405" t="str">
        <f>土地案例!H2</f>
        <v>2017-05-05</v>
      </c>
      <c r="F7" s="406">
        <f>SUMIF(70:70,YEAR(E7)&amp;"-"&amp;INT((MONTH(E7)+2)/3),71:71)</f>
        <v>97</v>
      </c>
      <c r="G7" s="3004" t="str">
        <f>土地案例!H20</f>
        <v>2015-01-16</v>
      </c>
      <c r="H7" s="404">
        <f>SUMIF(70:70,YEAR(G7)&amp;"-"&amp;INT((MONTH(G7)+2)/3),71:71)</f>
        <v>88</v>
      </c>
      <c r="I7" s="2687" t="str">
        <f>土地案例!H32</f>
        <v>2015-11-19</v>
      </c>
      <c r="J7" s="404">
        <f>SUMIF(70:70,YEAR(I7)&amp;"-"&amp;INT((MONTH(I7)+2)/3),71:71)</f>
        <v>91</v>
      </c>
      <c r="K7" s="604"/>
      <c r="L7" s="1125"/>
      <c r="M7" s="1126"/>
      <c r="N7" s="1126"/>
      <c r="O7" s="1126"/>
      <c r="P7" s="3235" t="s">
        <v>2549</v>
      </c>
      <c r="Q7" s="3237"/>
      <c r="R7" s="763" t="s">
        <v>17</v>
      </c>
      <c r="S7" s="764">
        <f t="shared" ref="S7:S15" si="0">F7</f>
        <v>97</v>
      </c>
      <c r="T7" s="763" t="s">
        <v>17</v>
      </c>
      <c r="U7" s="764">
        <f t="shared" ref="U7:U15" si="1">H7</f>
        <v>88</v>
      </c>
      <c r="V7" s="763" t="s">
        <v>17</v>
      </c>
      <c r="W7" s="764">
        <f t="shared" ref="W7:W15" si="2">J7</f>
        <v>91</v>
      </c>
      <c r="X7" s="765"/>
      <c r="Y7" s="3235" t="s">
        <v>2549</v>
      </c>
      <c r="Z7" s="3236"/>
      <c r="AA7" s="766">
        <f>D7/F7</f>
        <v>1.0309278350515463</v>
      </c>
      <c r="AB7" s="766">
        <f>D7/H7</f>
        <v>1.1363636363636365</v>
      </c>
      <c r="AC7" s="766">
        <f>D7/J7</f>
        <v>1.098901098901099</v>
      </c>
    </row>
    <row r="8" spans="1:30" s="111" customFormat="1" ht="15.75" thickBot="1">
      <c r="A8" s="401" t="s">
        <v>2550</v>
      </c>
      <c r="B8" s="402"/>
      <c r="C8" s="407" t="s">
        <v>2551</v>
      </c>
      <c r="D8" s="404">
        <v>100</v>
      </c>
      <c r="E8" s="2935" t="s">
        <v>3151</v>
      </c>
      <c r="F8" s="406">
        <f>SUMIF(73:73,E8,74:74)-SUMIF(73:73,C8,74:74)+100</f>
        <v>100</v>
      </c>
      <c r="G8" s="2935" t="s">
        <v>3151</v>
      </c>
      <c r="H8" s="404">
        <f>SUMIF(73:73,G8,74:74)-SUMIF(73:73,C8,74:74)+100</f>
        <v>100</v>
      </c>
      <c r="I8" s="2935" t="s">
        <v>3151</v>
      </c>
      <c r="J8" s="404">
        <f>SUMIF(73:73,I8,74:74)-SUMIF(73:73,C8,74:74)+100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5" si="3">D8/F8</f>
        <v>1</v>
      </c>
      <c r="AB8" s="766">
        <f t="shared" ref="AB8:AB45" si="4">D8/H8</f>
        <v>1</v>
      </c>
      <c r="AC8" s="766">
        <f t="shared" ref="AC8:AC45" si="5">D8/J8</f>
        <v>1</v>
      </c>
    </row>
    <row r="9" spans="1:30" s="111" customFormat="1">
      <c r="A9" s="408" t="s">
        <v>2553</v>
      </c>
      <c r="B9" s="3005" t="s">
        <v>2554</v>
      </c>
      <c r="C9" s="2690" t="s">
        <v>3152</v>
      </c>
      <c r="D9" s="128">
        <v>100</v>
      </c>
      <c r="E9" s="2690" t="s">
        <v>3152</v>
      </c>
      <c r="F9" s="128">
        <f>SUMIF(75:75,E9,76:76)-SUMIF(75:75,C9,76:76)+100</f>
        <v>100</v>
      </c>
      <c r="G9" s="2690" t="s">
        <v>3152</v>
      </c>
      <c r="H9" s="128">
        <f>SUMIF(75:75,G9,76:76)-SUMIF(75:75,C9,76:76)+100</f>
        <v>100</v>
      </c>
      <c r="I9" s="2936" t="s">
        <v>3152</v>
      </c>
      <c r="J9" s="128">
        <f>SUMIF(75:75,I9,76:76)-SUMIF(75:75,C9,76:76)+100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30" s="420" customFormat="1" ht="28.5">
      <c r="A10" s="414"/>
      <c r="B10" s="415" t="s">
        <v>2557</v>
      </c>
      <c r="C10" s="425" t="s">
        <v>3165</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2.48</v>
      </c>
      <c r="D11" s="129">
        <v>100</v>
      </c>
      <c r="E11" s="422">
        <v>1.5</v>
      </c>
      <c r="F11" s="129">
        <f>LOOKUP(E11,80:80,81:81)-LOOKUP(C11,80:80,81:81)+100</f>
        <v>101</v>
      </c>
      <c r="G11" s="423">
        <v>9.5500000000000007</v>
      </c>
      <c r="H11" s="129">
        <f>LOOKUP(G11,80:80,81:81)-LOOKUP(C11,80:80,81:81)+100</f>
        <v>97</v>
      </c>
      <c r="I11" s="422">
        <v>6.38</v>
      </c>
      <c r="J11" s="129">
        <f>LOOKUP(I11,80:80,81:81)-LOOKUP(C11,80:80,81:81)+100</f>
        <v>98</v>
      </c>
      <c r="K11" s="666">
        <v>1</v>
      </c>
      <c r="L11" s="1131"/>
      <c r="M11" s="1124"/>
      <c r="N11" s="1124"/>
      <c r="O11" s="1132"/>
      <c r="P11" s="3206"/>
      <c r="Q11" s="1787" t="str">
        <f t="shared" si="6"/>
        <v>容积率</v>
      </c>
      <c r="R11" s="763" t="s">
        <v>17</v>
      </c>
      <c r="S11" s="764">
        <f t="shared" si="0"/>
        <v>101</v>
      </c>
      <c r="T11" s="763" t="s">
        <v>17</v>
      </c>
      <c r="U11" s="764">
        <f t="shared" si="1"/>
        <v>97</v>
      </c>
      <c r="V11" s="763" t="s">
        <v>17</v>
      </c>
      <c r="W11" s="764">
        <f t="shared" si="2"/>
        <v>98</v>
      </c>
      <c r="X11" s="765"/>
      <c r="Y11" s="3053"/>
      <c r="Z11" s="55" t="str">
        <f t="shared" si="7"/>
        <v>容积率</v>
      </c>
      <c r="AA11" s="766">
        <f t="shared" si="3"/>
        <v>0.99009900990099009</v>
      </c>
      <c r="AB11" s="766">
        <f t="shared" si="4"/>
        <v>1.0309278350515463</v>
      </c>
      <c r="AC11" s="766">
        <f t="shared" si="5"/>
        <v>1.0204081632653061</v>
      </c>
    </row>
    <row r="12" spans="1:30" s="111" customFormat="1" ht="15">
      <c r="A12" s="424"/>
      <c r="B12" s="2591"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06"/>
      <c r="Q12" s="1787" t="str">
        <f t="shared" si="6"/>
        <v>配建</v>
      </c>
      <c r="R12" s="763" t="s">
        <v>17</v>
      </c>
      <c r="S12" s="764">
        <f t="shared" si="0"/>
        <v>100</v>
      </c>
      <c r="T12" s="763" t="s">
        <v>17</v>
      </c>
      <c r="U12" s="764">
        <f t="shared" si="1"/>
        <v>100</v>
      </c>
      <c r="V12" s="763" t="s">
        <v>17</v>
      </c>
      <c r="W12" s="764">
        <f t="shared" si="2"/>
        <v>100</v>
      </c>
      <c r="X12" s="765"/>
      <c r="Y12" s="3053"/>
      <c r="Z12" s="55" t="str">
        <f t="shared" si="7"/>
        <v>配建</v>
      </c>
      <c r="AA12" s="766">
        <f>D12/F12</f>
        <v>1</v>
      </c>
      <c r="AB12" s="766">
        <f>D12/H12</f>
        <v>1</v>
      </c>
      <c r="AC12" s="766">
        <f>D12/J12</f>
        <v>1</v>
      </c>
    </row>
    <row r="13" spans="1:30" ht="15">
      <c r="A13" s="421"/>
      <c r="B13" s="2591" t="s">
        <v>3170</v>
      </c>
      <c r="C13" s="2945" t="s">
        <v>3171</v>
      </c>
      <c r="D13" s="428">
        <v>100</v>
      </c>
      <c r="E13" s="2946" t="s">
        <v>3172</v>
      </c>
      <c r="F13" s="129">
        <f>SUMIF(84:84,E13,85:85)-SUMIF(84:84,C13,85:85)+100</f>
        <v>95</v>
      </c>
      <c r="G13" s="2947" t="s">
        <v>3171</v>
      </c>
      <c r="H13" s="428">
        <f>SUMIF(84:84,G13,85:85)-SUMIF(84:84,C13,85:85)+100</f>
        <v>100</v>
      </c>
      <c r="I13" s="2947" t="s">
        <v>3171</v>
      </c>
      <c r="J13" s="428">
        <f>SUMIF(84:84,I13,85:85)-SUMIF(84:84,C13,85:85)+100</f>
        <v>100</v>
      </c>
      <c r="K13" s="665"/>
      <c r="L13" s="1133"/>
      <c r="M13" s="1124"/>
      <c r="N13" s="1124"/>
      <c r="O13" s="1132"/>
      <c r="P13" s="3206"/>
      <c r="Q13" s="1787" t="str">
        <f t="shared" si="6"/>
        <v>是否 有自持部分</v>
      </c>
      <c r="R13" s="763" t="s">
        <v>17</v>
      </c>
      <c r="S13" s="764">
        <f t="shared" si="0"/>
        <v>95</v>
      </c>
      <c r="T13" s="763" t="s">
        <v>17</v>
      </c>
      <c r="U13" s="764">
        <f t="shared" si="1"/>
        <v>100</v>
      </c>
      <c r="V13" s="763" t="s">
        <v>17</v>
      </c>
      <c r="W13" s="764">
        <f t="shared" si="2"/>
        <v>100</v>
      </c>
      <c r="X13" s="765"/>
      <c r="Y13" s="3053"/>
      <c r="Z13" s="55" t="str">
        <f t="shared" si="7"/>
        <v>是否 有自持部分</v>
      </c>
      <c r="AA13" s="766">
        <f>D13/F13</f>
        <v>1.0526315789473684</v>
      </c>
      <c r="AB13" s="766">
        <f>D13/H13</f>
        <v>1</v>
      </c>
      <c r="AC13" s="766">
        <f>D13/J13</f>
        <v>1</v>
      </c>
    </row>
    <row r="14" spans="1:30" ht="15.75" thickBot="1">
      <c r="A14" s="429"/>
      <c r="B14" s="2593">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D14/F14</f>
        <v>1</v>
      </c>
      <c r="AB14" s="766">
        <f>D14/H14</f>
        <v>1</v>
      </c>
      <c r="AC14" s="766">
        <f>D14/J14</f>
        <v>1</v>
      </c>
    </row>
    <row r="15" spans="1:30" ht="29.25" customHeight="1">
      <c r="A15" s="433" t="s">
        <v>2559</v>
      </c>
      <c r="B15" s="67" t="s">
        <v>2090</v>
      </c>
      <c r="C15" s="2594">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08" t="s">
        <v>2560</v>
      </c>
      <c r="Q15" s="1802" t="str">
        <f t="shared" si="6"/>
        <v>居住社区成熟度</v>
      </c>
      <c r="R15" s="767" t="s">
        <v>17</v>
      </c>
      <c r="S15" s="768">
        <f t="shared" si="0"/>
        <v>100</v>
      </c>
      <c r="T15" s="767" t="s">
        <v>17</v>
      </c>
      <c r="U15" s="768">
        <f t="shared" si="1"/>
        <v>100</v>
      </c>
      <c r="V15" s="767" t="s">
        <v>17</v>
      </c>
      <c r="W15" s="768">
        <f t="shared" si="2"/>
        <v>100</v>
      </c>
      <c r="X15" s="1805"/>
      <c r="Y15" s="3208" t="s">
        <v>2560</v>
      </c>
      <c r="Z15" s="1806" t="str">
        <f t="shared" si="7"/>
        <v>居住社区成熟度</v>
      </c>
      <c r="AA15" s="1803">
        <f t="shared" si="3"/>
        <v>1</v>
      </c>
      <c r="AB15" s="1803">
        <f t="shared" si="4"/>
        <v>1</v>
      </c>
      <c r="AC15" s="1803">
        <f t="shared" si="5"/>
        <v>1</v>
      </c>
    </row>
    <row r="16" spans="1:30" ht="21" customHeight="1">
      <c r="A16" s="421"/>
      <c r="B16" s="439"/>
      <c r="C16" s="440"/>
      <c r="D16" s="441"/>
      <c r="E16" s="2596"/>
      <c r="F16" s="441"/>
      <c r="G16" s="2596"/>
      <c r="H16" s="443"/>
      <c r="I16" s="2595"/>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92.25" customHeight="1">
      <c r="A17" s="421"/>
      <c r="B17" s="444" t="s">
        <v>2653</v>
      </c>
      <c r="C17" s="2655"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09"/>
      <c r="Q17" s="1802" t="str">
        <f>B17</f>
        <v>商业繁华度</v>
      </c>
      <c r="R17" s="767" t="s">
        <v>17</v>
      </c>
      <c r="S17" s="768">
        <f>F17</f>
        <v>100</v>
      </c>
      <c r="T17" s="767" t="s">
        <v>17</v>
      </c>
      <c r="U17" s="768">
        <f>H17</f>
        <v>100</v>
      </c>
      <c r="V17" s="767" t="s">
        <v>17</v>
      </c>
      <c r="W17" s="768">
        <f>J17</f>
        <v>100</v>
      </c>
      <c r="X17" s="1805"/>
      <c r="Y17" s="3209"/>
      <c r="Z17" s="1806" t="str">
        <f>Q17</f>
        <v>商业繁华度</v>
      </c>
      <c r="AA17" s="1803">
        <f t="shared" si="3"/>
        <v>1</v>
      </c>
      <c r="AB17" s="1803">
        <f t="shared" si="4"/>
        <v>1</v>
      </c>
      <c r="AC17" s="1803">
        <f t="shared" si="5"/>
        <v>1</v>
      </c>
    </row>
    <row r="18" spans="1:29" ht="15">
      <c r="A18" s="421"/>
      <c r="B18" s="449"/>
      <c r="C18" s="2599" t="s">
        <v>3154</v>
      </c>
      <c r="D18" s="443"/>
      <c r="E18" s="2601" t="s">
        <v>3154</v>
      </c>
      <c r="F18" s="443"/>
      <c r="G18" s="2948" t="s">
        <v>3175</v>
      </c>
      <c r="H18" s="441"/>
      <c r="I18" s="2600" t="s">
        <v>3154</v>
      </c>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98.25" customHeight="1">
      <c r="A19" s="421"/>
      <c r="B19" s="444" t="s">
        <v>2687</v>
      </c>
      <c r="C19" s="2655"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09"/>
      <c r="Q19" s="1802" t="str">
        <f>B19</f>
        <v>办公集聚程度</v>
      </c>
      <c r="R19" s="767" t="s">
        <v>17</v>
      </c>
      <c r="S19" s="768">
        <f>F19</f>
        <v>100</v>
      </c>
      <c r="T19" s="767" t="s">
        <v>17</v>
      </c>
      <c r="U19" s="768">
        <f>H19</f>
        <v>100</v>
      </c>
      <c r="V19" s="767" t="s">
        <v>17</v>
      </c>
      <c r="W19" s="768">
        <f>J19</f>
        <v>100</v>
      </c>
      <c r="X19" s="1805"/>
      <c r="Y19" s="3209"/>
      <c r="Z19" s="1806" t="str">
        <f>Q19</f>
        <v>办公集聚程度</v>
      </c>
      <c r="AA19" s="1803">
        <f t="shared" si="3"/>
        <v>1</v>
      </c>
      <c r="AB19" s="1803">
        <f t="shared" si="4"/>
        <v>1</v>
      </c>
      <c r="AC19" s="1803">
        <f t="shared" si="5"/>
        <v>1</v>
      </c>
    </row>
    <row r="20" spans="1:29" ht="15">
      <c r="A20" s="421"/>
      <c r="B20" s="449"/>
      <c r="C20" s="440" t="s">
        <v>3154</v>
      </c>
      <c r="D20" s="441"/>
      <c r="E20" s="2596" t="s">
        <v>3154</v>
      </c>
      <c r="F20" s="441"/>
      <c r="G20" s="2949" t="s">
        <v>3175</v>
      </c>
      <c r="H20" s="441"/>
      <c r="I20" s="2595" t="s">
        <v>3154</v>
      </c>
      <c r="J20" s="441"/>
      <c r="K20" s="665"/>
      <c r="L20" s="1133"/>
      <c r="M20" s="1124"/>
      <c r="N20" s="1124"/>
      <c r="O20" s="1132"/>
      <c r="P20" s="3209"/>
      <c r="Q20" s="1802"/>
      <c r="R20" s="767"/>
      <c r="S20" s="768"/>
      <c r="T20" s="767"/>
      <c r="U20" s="768"/>
      <c r="V20" s="767"/>
      <c r="W20" s="768"/>
      <c r="X20" s="1805"/>
      <c r="Y20" s="3209"/>
      <c r="Z20" s="1806"/>
      <c r="AA20" s="1803">
        <v>1</v>
      </c>
      <c r="AB20" s="1803">
        <v>1</v>
      </c>
      <c r="AC20" s="1803">
        <v>1</v>
      </c>
    </row>
    <row r="21" spans="1:29" ht="128.25" customHeight="1">
      <c r="A21" s="421"/>
      <c r="B21" s="444" t="s">
        <v>2709</v>
      </c>
      <c r="C21" s="2598"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09"/>
      <c r="Q21" s="1802" t="str">
        <f>B21</f>
        <v>交通便捷度</v>
      </c>
      <c r="R21" s="767" t="s">
        <v>17</v>
      </c>
      <c r="S21" s="768">
        <f>F21</f>
        <v>95</v>
      </c>
      <c r="T21" s="767" t="s">
        <v>17</v>
      </c>
      <c r="U21" s="768">
        <f>H21</f>
        <v>100</v>
      </c>
      <c r="V21" s="767" t="s">
        <v>17</v>
      </c>
      <c r="W21" s="768">
        <f>J21</f>
        <v>95</v>
      </c>
      <c r="X21" s="1805"/>
      <c r="Y21" s="3209"/>
      <c r="Z21" s="1806" t="str">
        <f>Q21</f>
        <v>交通便捷度</v>
      </c>
      <c r="AA21" s="1803">
        <f t="shared" si="3"/>
        <v>1.0526315789473684</v>
      </c>
      <c r="AB21" s="1803">
        <f t="shared" si="4"/>
        <v>1</v>
      </c>
      <c r="AC21" s="1803">
        <f t="shared" si="5"/>
        <v>1.0526315789473684</v>
      </c>
    </row>
    <row r="22" spans="1:29" ht="15">
      <c r="A22" s="421"/>
      <c r="B22" s="1377"/>
      <c r="C22" s="440" t="s">
        <v>3155</v>
      </c>
      <c r="D22" s="443"/>
      <c r="E22" s="2596" t="s">
        <v>3154</v>
      </c>
      <c r="F22" s="441"/>
      <c r="G22" s="2949" t="s">
        <v>3162</v>
      </c>
      <c r="H22" s="441"/>
      <c r="I22" s="2595" t="s">
        <v>3154</v>
      </c>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ht="15">
      <c r="A23" s="397"/>
      <c r="B23" s="444" t="s">
        <v>2748</v>
      </c>
      <c r="C23" s="1382">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09"/>
      <c r="Q23" s="1802" t="str">
        <f t="shared" ref="Q23:Q37" si="8">B23</f>
        <v>区域土地利用方向</v>
      </c>
      <c r="R23" s="767" t="s">
        <v>17</v>
      </c>
      <c r="S23" s="768">
        <f>F23</f>
        <v>100</v>
      </c>
      <c r="T23" s="767" t="s">
        <v>17</v>
      </c>
      <c r="U23" s="768">
        <f>H23</f>
        <v>100</v>
      </c>
      <c r="V23" s="767" t="s">
        <v>17</v>
      </c>
      <c r="W23" s="768">
        <f>J23</f>
        <v>97</v>
      </c>
      <c r="X23" s="1805"/>
      <c r="Y23" s="3209"/>
      <c r="Z23" s="1806" t="str">
        <f>Q23</f>
        <v>区域土地利用方向</v>
      </c>
      <c r="AA23" s="1803">
        <f t="shared" si="3"/>
        <v>1</v>
      </c>
      <c r="AB23" s="1803">
        <f t="shared" si="4"/>
        <v>1</v>
      </c>
      <c r="AC23" s="1803">
        <f t="shared" si="5"/>
        <v>1.0309278350515463</v>
      </c>
    </row>
    <row r="24" spans="1:29" ht="15">
      <c r="A24" s="397"/>
      <c r="B24" s="449"/>
      <c r="C24" s="609" t="s">
        <v>3155</v>
      </c>
      <c r="D24" s="441"/>
      <c r="E24" s="2596" t="s">
        <v>3155</v>
      </c>
      <c r="F24" s="441"/>
      <c r="G24" s="2950" t="s">
        <v>3155</v>
      </c>
      <c r="H24" s="441"/>
      <c r="I24" s="2595" t="s">
        <v>3154</v>
      </c>
      <c r="J24" s="441"/>
      <c r="K24" s="802"/>
      <c r="L24" s="1133"/>
      <c r="M24" s="1124"/>
      <c r="N24" s="1124"/>
      <c r="O24" s="1132"/>
      <c r="P24" s="3209"/>
      <c r="Q24" s="1802"/>
      <c r="R24" s="767"/>
      <c r="S24" s="768"/>
      <c r="T24" s="767"/>
      <c r="U24" s="768"/>
      <c r="V24" s="767"/>
      <c r="W24" s="768"/>
      <c r="X24" s="1805"/>
      <c r="Y24" s="3209"/>
      <c r="Z24" s="1806"/>
      <c r="AA24" s="1803"/>
      <c r="AB24" s="1803"/>
      <c r="AC24" s="1803"/>
    </row>
    <row r="25" spans="1:29" ht="127.5" customHeight="1">
      <c r="A25" s="397"/>
      <c r="B25" s="1377" t="s">
        <v>2749</v>
      </c>
      <c r="C25" s="2655" t="str">
        <f>估价对象房地状况!C20</f>
        <v>区域自然环境：2公里内绿化条件较好，无污染，无公园等景观；人文环境：2公里内无图书馆、剧院等设施；综合评价环境状况较差</v>
      </c>
      <c r="D25" s="443">
        <v>100</v>
      </c>
      <c r="E25" s="2942" t="s">
        <v>3168</v>
      </c>
      <c r="F25" s="443">
        <f>SUMIF(98:98,E26,99:99)-SUMIF(98:98,C26,99:99)+100</f>
        <v>100</v>
      </c>
      <c r="G25" s="2942" t="s">
        <v>3177</v>
      </c>
      <c r="H25" s="443">
        <f>SUMIF(98:98,G26,99:99)-SUMIF(98:98,C26,99:99)+100</f>
        <v>110</v>
      </c>
      <c r="I25" s="2951" t="s">
        <v>3183</v>
      </c>
      <c r="J25" s="443">
        <f>SUMIF(98:98,I26,99:99)-SUMIF(98:98,C26,99:99)+100</f>
        <v>105</v>
      </c>
      <c r="K25" s="666">
        <v>5</v>
      </c>
      <c r="L25" s="1133"/>
      <c r="M25" s="1124"/>
      <c r="N25" s="1124"/>
      <c r="O25" s="1132"/>
      <c r="P25" s="3209"/>
      <c r="Q25" s="1802" t="str">
        <f t="shared" si="8"/>
        <v>自然及人文环境状况</v>
      </c>
      <c r="R25" s="767" t="s">
        <v>17</v>
      </c>
      <c r="S25" s="768">
        <f>F25</f>
        <v>100</v>
      </c>
      <c r="T25" s="767" t="s">
        <v>17</v>
      </c>
      <c r="U25" s="768">
        <f>H25</f>
        <v>110</v>
      </c>
      <c r="V25" s="767" t="s">
        <v>17</v>
      </c>
      <c r="W25" s="768">
        <f>J25</f>
        <v>105</v>
      </c>
      <c r="X25" s="1805"/>
      <c r="Y25" s="3209"/>
      <c r="Z25" s="1806" t="str">
        <f>Q25</f>
        <v>自然及人文环境状况</v>
      </c>
      <c r="AA25" s="1803">
        <f t="shared" si="3"/>
        <v>1</v>
      </c>
      <c r="AB25" s="1803">
        <f t="shared" si="4"/>
        <v>0.90909090909090906</v>
      </c>
      <c r="AC25" s="1803">
        <f t="shared" si="5"/>
        <v>0.95238095238095233</v>
      </c>
    </row>
    <row r="26" spans="1:29" ht="15">
      <c r="A26" s="397"/>
      <c r="B26" s="449"/>
      <c r="C26" s="440" t="s">
        <v>3156</v>
      </c>
      <c r="D26" s="441"/>
      <c r="E26" s="2602" t="s">
        <v>3156</v>
      </c>
      <c r="F26" s="441"/>
      <c r="G26" s="2602" t="s">
        <v>3155</v>
      </c>
      <c r="H26" s="441"/>
      <c r="I26" s="440" t="s">
        <v>3154</v>
      </c>
      <c r="J26" s="441"/>
      <c r="K26" s="665"/>
      <c r="L26" s="1133"/>
      <c r="M26" s="1124"/>
      <c r="N26" s="1124"/>
      <c r="O26" s="1132"/>
      <c r="P26" s="3209"/>
      <c r="Q26" s="1802"/>
      <c r="R26" s="767"/>
      <c r="S26" s="768"/>
      <c r="T26" s="767"/>
      <c r="U26" s="768"/>
      <c r="V26" s="767"/>
      <c r="W26" s="768"/>
      <c r="X26" s="1805"/>
      <c r="Y26" s="3209"/>
      <c r="Z26" s="1806"/>
      <c r="AA26" s="1803">
        <v>1</v>
      </c>
      <c r="AB26" s="1803">
        <v>1</v>
      </c>
      <c r="AC26" s="1803">
        <v>1</v>
      </c>
    </row>
    <row r="27" spans="1:29" s="111" customFormat="1" ht="83.25" customHeight="1">
      <c r="A27" s="642"/>
      <c r="B27" s="1377" t="s">
        <v>2654</v>
      </c>
      <c r="C27" s="2598" t="str">
        <f>估价对象房地状况!C21</f>
        <v>估价对象所在区域公共配套设施齐备情况较好，有邮储银行、华联超市</v>
      </c>
      <c r="D27" s="443">
        <v>100</v>
      </c>
      <c r="E27" s="2942" t="s">
        <v>3176</v>
      </c>
      <c r="F27" s="443">
        <f>SUMIF(100:100,E28,101:101)-SUMIF(100:100,C28,101:101)+100</f>
        <v>95</v>
      </c>
      <c r="G27" s="2942" t="s">
        <v>3178</v>
      </c>
      <c r="H27" s="443">
        <f>SUMIF(100:100,G28,101:101)-SUMIF(100:100,C28,101:101)+100</f>
        <v>100</v>
      </c>
      <c r="I27" s="2951" t="s">
        <v>3184</v>
      </c>
      <c r="J27" s="443">
        <f>SUMIF(100:100,I28,101:101)-SUMIF(100:100,C28,101:101)+100</f>
        <v>95</v>
      </c>
      <c r="K27" s="666">
        <v>5</v>
      </c>
      <c r="L27" s="1125"/>
      <c r="M27" s="1126"/>
      <c r="N27" s="1126"/>
      <c r="O27" s="1127"/>
      <c r="P27" s="3209"/>
      <c r="Q27" s="1787" t="str">
        <f t="shared" si="8"/>
        <v>公共配套设施</v>
      </c>
      <c r="R27" s="763" t="s">
        <v>17</v>
      </c>
      <c r="S27" s="764">
        <f>F27</f>
        <v>95</v>
      </c>
      <c r="T27" s="763" t="s">
        <v>17</v>
      </c>
      <c r="U27" s="764">
        <f>H27</f>
        <v>100</v>
      </c>
      <c r="V27" s="763" t="s">
        <v>17</v>
      </c>
      <c r="W27" s="764">
        <f>J27</f>
        <v>95</v>
      </c>
      <c r="X27" s="765"/>
      <c r="Y27" s="3209"/>
      <c r="Z27" s="55" t="str">
        <f>Q27</f>
        <v>公共配套设施</v>
      </c>
      <c r="AA27" s="1803">
        <f>D27/F27</f>
        <v>1.0526315789473684</v>
      </c>
      <c r="AB27" s="1803">
        <f>D27/H27</f>
        <v>1</v>
      </c>
      <c r="AC27" s="1803">
        <f>D27/J27</f>
        <v>1.0526315789473684</v>
      </c>
    </row>
    <row r="28" spans="1:29" s="111" customFormat="1" ht="15">
      <c r="A28" s="642"/>
      <c r="B28" s="449"/>
      <c r="C28" s="2691" t="s">
        <v>3155</v>
      </c>
      <c r="D28" s="441"/>
      <c r="E28" s="2602" t="s">
        <v>3154</v>
      </c>
      <c r="F28" s="441"/>
      <c r="G28" s="2602" t="s">
        <v>3155</v>
      </c>
      <c r="H28" s="441"/>
      <c r="I28" s="440" t="s">
        <v>3154</v>
      </c>
      <c r="J28" s="441"/>
      <c r="K28" s="665"/>
      <c r="L28" s="1125"/>
      <c r="M28" s="1126"/>
      <c r="N28" s="1126"/>
      <c r="O28" s="1127"/>
      <c r="P28" s="3209"/>
      <c r="Q28" s="1787"/>
      <c r="R28" s="763"/>
      <c r="S28" s="764"/>
      <c r="T28" s="763"/>
      <c r="U28" s="764"/>
      <c r="V28" s="763"/>
      <c r="W28" s="764"/>
      <c r="X28" s="765"/>
      <c r="Y28" s="3209"/>
      <c r="Z28" s="55"/>
      <c r="AA28" s="1803">
        <v>1</v>
      </c>
      <c r="AB28" s="1803">
        <v>1</v>
      </c>
      <c r="AC28" s="1803">
        <v>1</v>
      </c>
    </row>
    <row r="29" spans="1:29" s="111" customFormat="1" ht="52.5" customHeight="1">
      <c r="A29" s="642"/>
      <c r="B29" s="1377" t="s">
        <v>2655</v>
      </c>
      <c r="C29" s="2598"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09"/>
      <c r="Q29" s="1787" t="str">
        <f t="shared" ref="Q29" si="9">B29</f>
        <v>基础设施水平</v>
      </c>
      <c r="R29" s="763" t="s">
        <v>17</v>
      </c>
      <c r="S29" s="764">
        <f>F29</f>
        <v>100</v>
      </c>
      <c r="T29" s="763" t="s">
        <v>17</v>
      </c>
      <c r="U29" s="764">
        <f>H29</f>
        <v>100</v>
      </c>
      <c r="V29" s="763" t="s">
        <v>17</v>
      </c>
      <c r="W29" s="764">
        <f>J29</f>
        <v>100</v>
      </c>
      <c r="X29" s="765"/>
      <c r="Y29" s="3209"/>
      <c r="Z29" s="55" t="str">
        <f>Q29</f>
        <v>基础设施水平</v>
      </c>
      <c r="AA29" s="1803">
        <f>D29/F29</f>
        <v>1</v>
      </c>
      <c r="AB29" s="1803">
        <f>D29/H29</f>
        <v>1</v>
      </c>
      <c r="AC29" s="1803">
        <f>D29/J29</f>
        <v>1</v>
      </c>
    </row>
    <row r="30" spans="1:29" s="111" customFormat="1" ht="15">
      <c r="A30" s="642"/>
      <c r="B30" s="449"/>
      <c r="C30" s="2691" t="s">
        <v>3157</v>
      </c>
      <c r="D30" s="441"/>
      <c r="E30" s="2692" t="s">
        <v>3157</v>
      </c>
      <c r="F30" s="441"/>
      <c r="G30" s="2692" t="s">
        <v>3157</v>
      </c>
      <c r="H30" s="441"/>
      <c r="I30" s="2692" t="s">
        <v>3157</v>
      </c>
      <c r="J30" s="441"/>
      <c r="K30" s="665"/>
      <c r="L30" s="1125"/>
      <c r="M30" s="1126"/>
      <c r="N30" s="1126"/>
      <c r="O30" s="1127"/>
      <c r="P30" s="3209"/>
      <c r="Q30" s="1787"/>
      <c r="R30" s="763"/>
      <c r="S30" s="764"/>
      <c r="T30" s="763"/>
      <c r="U30" s="764"/>
      <c r="V30" s="763"/>
      <c r="W30" s="764"/>
      <c r="X30" s="765"/>
      <c r="Y30" s="3209"/>
      <c r="Z30" s="55"/>
      <c r="AA30" s="1803">
        <v>1</v>
      </c>
      <c r="AB30" s="1803">
        <v>1</v>
      </c>
      <c r="AC30" s="1803">
        <v>1</v>
      </c>
    </row>
    <row r="31" spans="1:29" ht="15">
      <c r="A31" s="421"/>
      <c r="B31" s="449" t="s">
        <v>2656</v>
      </c>
      <c r="C31" s="609" t="s">
        <v>3158</v>
      </c>
      <c r="D31" s="428">
        <v>100</v>
      </c>
      <c r="E31" s="627" t="s">
        <v>3158</v>
      </c>
      <c r="F31" s="428">
        <f>SUMIF(104:104,E31,105:105)-SUMIF(104:104,C31,105:105)+100</f>
        <v>100</v>
      </c>
      <c r="G31" s="627" t="s">
        <v>3179</v>
      </c>
      <c r="H31" s="428">
        <f>SUMIF(104:104,G31,105:105)-SUMIF(104:104,C31,105:105)+100</f>
        <v>98</v>
      </c>
      <c r="I31" s="2944" t="s">
        <v>3182</v>
      </c>
      <c r="J31" s="428">
        <f>SUMIF(104:104,I31,105:105)-SUMIF(104:104,C31,105:105)+100</f>
        <v>99</v>
      </c>
      <c r="K31" s="666">
        <v>1</v>
      </c>
      <c r="L31" s="1133"/>
      <c r="M31" s="1124"/>
      <c r="N31" s="1124"/>
      <c r="O31" s="1132"/>
      <c r="P31" s="3209"/>
      <c r="Q31" s="1802" t="str">
        <f t="shared" si="8"/>
        <v>临街状况</v>
      </c>
      <c r="R31" s="767" t="s">
        <v>17</v>
      </c>
      <c r="S31" s="768">
        <f t="shared" ref="S31:S45" si="10">F31</f>
        <v>100</v>
      </c>
      <c r="T31" s="767" t="s">
        <v>17</v>
      </c>
      <c r="U31" s="768">
        <f t="shared" ref="U31:U45" si="11">H31</f>
        <v>98</v>
      </c>
      <c r="V31" s="767" t="s">
        <v>17</v>
      </c>
      <c r="W31" s="768">
        <f t="shared" ref="W31:W45" si="12">J31</f>
        <v>99</v>
      </c>
      <c r="X31" s="1805"/>
      <c r="Y31" s="3209"/>
      <c r="Z31" s="1806" t="str">
        <f t="shared" ref="Z31:Z45" si="13">Q31</f>
        <v>临街状况</v>
      </c>
      <c r="AA31" s="1803">
        <f t="shared" si="3"/>
        <v>1</v>
      </c>
      <c r="AB31" s="1803">
        <f t="shared" si="4"/>
        <v>1.0204081632653061</v>
      </c>
      <c r="AC31" s="1803">
        <f t="shared" si="5"/>
        <v>1.0101010101010102</v>
      </c>
    </row>
    <row r="32" spans="1:29" ht="28.5" thickBot="1">
      <c r="A32" s="421"/>
      <c r="B32" s="1377" t="s">
        <v>2691</v>
      </c>
      <c r="C32" s="2371" t="s">
        <v>3150</v>
      </c>
      <c r="D32" s="443">
        <v>100</v>
      </c>
      <c r="E32" s="445" t="s">
        <v>3169</v>
      </c>
      <c r="F32" s="443">
        <f>SUMIF(106:106,E33,107:107)-SUMIF(106:106,C33,107:107)+100</f>
        <v>100</v>
      </c>
      <c r="G32" s="445" t="s">
        <v>3180</v>
      </c>
      <c r="H32" s="443">
        <f>SUMIF(106:106,G33,107:107)-SUMIF(106:106,C33,107:107)+100</f>
        <v>100</v>
      </c>
      <c r="I32" s="447" t="s">
        <v>3185</v>
      </c>
      <c r="J32" s="443">
        <f>SUMIF(106:106,I33,107:107)-SUMIF(106:106,C33,107:107)+100</f>
        <v>102</v>
      </c>
      <c r="K32" s="666">
        <v>1</v>
      </c>
      <c r="L32" s="1133"/>
      <c r="M32" s="1124"/>
      <c r="N32" s="1124"/>
      <c r="O32" s="1132"/>
      <c r="P32" s="3209"/>
      <c r="Q32" s="1802" t="str">
        <f t="shared" si="8"/>
        <v>毗邻道路的类型与等级</v>
      </c>
      <c r="R32" s="767" t="s">
        <v>17</v>
      </c>
      <c r="S32" s="768">
        <f t="shared" si="10"/>
        <v>100</v>
      </c>
      <c r="T32" s="767" t="s">
        <v>17</v>
      </c>
      <c r="U32" s="768">
        <f t="shared" si="11"/>
        <v>100</v>
      </c>
      <c r="V32" s="767" t="s">
        <v>17</v>
      </c>
      <c r="W32" s="768">
        <f t="shared" si="12"/>
        <v>102</v>
      </c>
      <c r="X32" s="1805"/>
      <c r="Y32" s="3209"/>
      <c r="Z32" s="1806" t="str">
        <f t="shared" si="13"/>
        <v>毗邻道路的类型与等级</v>
      </c>
      <c r="AA32" s="1803">
        <f t="shared" si="3"/>
        <v>1</v>
      </c>
      <c r="AB32" s="1803">
        <f t="shared" si="4"/>
        <v>1</v>
      </c>
      <c r="AC32" s="1803">
        <f t="shared" si="5"/>
        <v>0.98039215686274506</v>
      </c>
    </row>
    <row r="33" spans="1:29" ht="15">
      <c r="A33" s="421"/>
      <c r="B33" s="449"/>
      <c r="C33" s="2941" t="s">
        <v>3164</v>
      </c>
      <c r="D33" s="441"/>
      <c r="E33" s="2943" t="s">
        <v>3164</v>
      </c>
      <c r="F33" s="441"/>
      <c r="G33" s="2943" t="s">
        <v>3164</v>
      </c>
      <c r="H33" s="441"/>
      <c r="I33" s="440" t="s">
        <v>3186</v>
      </c>
      <c r="J33" s="441"/>
      <c r="K33" s="606"/>
      <c r="L33" s="1133"/>
      <c r="M33" s="1124"/>
      <c r="N33" s="1124"/>
      <c r="O33" s="1132"/>
      <c r="P33" s="3209"/>
      <c r="Q33" s="1802"/>
      <c r="R33" s="767"/>
      <c r="S33" s="768"/>
      <c r="T33" s="767"/>
      <c r="U33" s="768"/>
      <c r="V33" s="767"/>
      <c r="W33" s="768"/>
      <c r="X33" s="1805"/>
      <c r="Y33" s="3209"/>
      <c r="Z33" s="1806"/>
      <c r="AA33" s="1803">
        <v>1</v>
      </c>
      <c r="AB33" s="1803">
        <v>1</v>
      </c>
      <c r="AC33" s="1803">
        <v>1</v>
      </c>
    </row>
    <row r="34" spans="1:29" ht="15">
      <c r="A34" s="421"/>
      <c r="B34" s="415" t="s">
        <v>2750</v>
      </c>
      <c r="C34" s="2938" t="s">
        <v>3159</v>
      </c>
      <c r="D34" s="428">
        <v>100</v>
      </c>
      <c r="E34" s="2944" t="s">
        <v>3159</v>
      </c>
      <c r="F34" s="428">
        <f>SUMIF(108:108,E34,109:109)-SUMIF(108:108,C34,109:109)+100</f>
        <v>100</v>
      </c>
      <c r="G34" s="2944" t="s">
        <v>3181</v>
      </c>
      <c r="H34" s="428">
        <f>SUMIF(108:108,G34,109:109)-SUMIF(108:108,C34,109:109)+100</f>
        <v>102</v>
      </c>
      <c r="I34" s="2938" t="s">
        <v>3187</v>
      </c>
      <c r="J34" s="428">
        <f>SUMIF(108:108,I34,109:109)-SUMIF(108:108,C34,109:109)+100</f>
        <v>101</v>
      </c>
      <c r="K34" s="605">
        <v>1</v>
      </c>
      <c r="L34" s="1133"/>
      <c r="M34" s="1124"/>
      <c r="N34" s="1124"/>
      <c r="O34" s="1132"/>
      <c r="P34" s="3209"/>
      <c r="Q34" s="1802" t="str">
        <f t="shared" si="8"/>
        <v>土地级别</v>
      </c>
      <c r="R34" s="767" t="s">
        <v>17</v>
      </c>
      <c r="S34" s="768">
        <f t="shared" si="10"/>
        <v>100</v>
      </c>
      <c r="T34" s="767" t="s">
        <v>17</v>
      </c>
      <c r="U34" s="768">
        <f t="shared" si="11"/>
        <v>102</v>
      </c>
      <c r="V34" s="767" t="s">
        <v>17</v>
      </c>
      <c r="W34" s="768">
        <f t="shared" si="12"/>
        <v>101</v>
      </c>
      <c r="X34" s="1805"/>
      <c r="Y34" s="3209"/>
      <c r="Z34" s="1806" t="str">
        <f t="shared" si="13"/>
        <v>土地级别</v>
      </c>
      <c r="AA34" s="1803">
        <f t="shared" si="3"/>
        <v>1</v>
      </c>
      <c r="AB34" s="1803">
        <f t="shared" si="4"/>
        <v>0.98039215686274506</v>
      </c>
      <c r="AC34" s="1803">
        <f t="shared" si="5"/>
        <v>0.99009900990099009</v>
      </c>
    </row>
    <row r="35" spans="1:29" ht="15">
      <c r="A35" s="397"/>
      <c r="B35" s="1379">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09"/>
      <c r="Q35" s="1802">
        <f t="shared" si="8"/>
        <v>111</v>
      </c>
      <c r="R35" s="767" t="s">
        <v>17</v>
      </c>
      <c r="S35" s="768">
        <f t="shared" si="10"/>
        <v>100</v>
      </c>
      <c r="T35" s="767" t="s">
        <v>17</v>
      </c>
      <c r="U35" s="768">
        <f t="shared" si="11"/>
        <v>100</v>
      </c>
      <c r="V35" s="767" t="s">
        <v>17</v>
      </c>
      <c r="W35" s="768">
        <f t="shared" si="12"/>
        <v>100</v>
      </c>
      <c r="X35" s="1805"/>
      <c r="Y35" s="3209"/>
      <c r="Z35" s="1806">
        <f t="shared" si="13"/>
        <v>111</v>
      </c>
      <c r="AA35" s="1803">
        <f t="shared" si="3"/>
        <v>1</v>
      </c>
      <c r="AB35" s="1803">
        <f t="shared" si="4"/>
        <v>1</v>
      </c>
      <c r="AC35" s="1803">
        <f t="shared" si="5"/>
        <v>1</v>
      </c>
    </row>
    <row r="36" spans="1:29" ht="15">
      <c r="A36" s="668"/>
      <c r="B36" s="1380">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10" t="s">
        <v>2565</v>
      </c>
      <c r="Q36" s="1802">
        <f t="shared" si="8"/>
        <v>111</v>
      </c>
      <c r="R36" s="767" t="s">
        <v>17</v>
      </c>
      <c r="S36" s="768">
        <f t="shared" si="10"/>
        <v>100</v>
      </c>
      <c r="T36" s="767" t="s">
        <v>17</v>
      </c>
      <c r="U36" s="768">
        <f t="shared" si="11"/>
        <v>100</v>
      </c>
      <c r="V36" s="767" t="s">
        <v>17</v>
      </c>
      <c r="W36" s="768">
        <f t="shared" si="12"/>
        <v>100</v>
      </c>
      <c r="X36" s="1805"/>
      <c r="Y36" s="3211" t="s">
        <v>2565</v>
      </c>
      <c r="Z36" s="1806">
        <f t="shared" si="13"/>
        <v>111</v>
      </c>
      <c r="AA36" s="1803">
        <f t="shared" si="3"/>
        <v>1</v>
      </c>
      <c r="AB36" s="1803">
        <f t="shared" si="4"/>
        <v>1</v>
      </c>
      <c r="AC36" s="1803">
        <f t="shared" si="5"/>
        <v>1</v>
      </c>
    </row>
    <row r="37" spans="1:29" s="464" customFormat="1" ht="15.75" thickBot="1">
      <c r="A37" s="669"/>
      <c r="B37" s="1381">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11"/>
      <c r="Q37" s="1802">
        <f t="shared" si="8"/>
        <v>111</v>
      </c>
      <c r="R37" s="770" t="s">
        <v>17</v>
      </c>
      <c r="S37" s="771">
        <f t="shared" si="10"/>
        <v>100</v>
      </c>
      <c r="T37" s="770" t="s">
        <v>17</v>
      </c>
      <c r="U37" s="771">
        <f t="shared" si="11"/>
        <v>100</v>
      </c>
      <c r="V37" s="770" t="s">
        <v>17</v>
      </c>
      <c r="W37" s="771">
        <f t="shared" si="12"/>
        <v>100</v>
      </c>
      <c r="X37" s="772"/>
      <c r="Y37" s="3211"/>
      <c r="Z37" s="773">
        <f t="shared" si="13"/>
        <v>111</v>
      </c>
      <c r="AA37" s="1803">
        <f t="shared" si="3"/>
        <v>1</v>
      </c>
      <c r="AB37" s="1803">
        <f t="shared" si="4"/>
        <v>1</v>
      </c>
      <c r="AC37" s="1803">
        <f t="shared" si="5"/>
        <v>1</v>
      </c>
    </row>
    <row r="38" spans="1:29" ht="15">
      <c r="A38" s="465" t="s">
        <v>2563</v>
      </c>
      <c r="B38" s="449" t="s">
        <v>2751</v>
      </c>
      <c r="C38" s="3006">
        <f>总面积!B15</f>
        <v>56144.93</v>
      </c>
      <c r="D38" s="460">
        <v>100</v>
      </c>
      <c r="E38" s="672">
        <f>土地案例!E2</f>
        <v>255301</v>
      </c>
      <c r="F38" s="460">
        <f>LOOKUP(E38,117:117,118:118)-LOOKUP(C38,117:117,118:118)+100</f>
        <v>102</v>
      </c>
      <c r="G38" s="672">
        <f>土地案例!D20</f>
        <v>47100</v>
      </c>
      <c r="H38" s="460">
        <f>LOOKUP(G38,117:117,118:118)-LOOKUP(C38,117:117,118:118)+100</f>
        <v>99.5</v>
      </c>
      <c r="I38" s="523">
        <f>土地案例!D32</f>
        <v>74500</v>
      </c>
      <c r="J38" s="460">
        <f>LOOKUP(I38,117:117,118:118)-LOOKUP(C38,117:117,118:118)+100</f>
        <v>100</v>
      </c>
      <c r="K38" s="606"/>
      <c r="L38" s="1133"/>
      <c r="M38" s="1124"/>
      <c r="N38" s="1124"/>
      <c r="O38" s="1132"/>
      <c r="P38" s="3211"/>
      <c r="Q38" s="1802" t="str">
        <f>B38</f>
        <v>宗地面积</v>
      </c>
      <c r="R38" s="767" t="s">
        <v>17</v>
      </c>
      <c r="S38" s="768">
        <f t="shared" si="10"/>
        <v>102</v>
      </c>
      <c r="T38" s="767" t="s">
        <v>17</v>
      </c>
      <c r="U38" s="768">
        <f t="shared" si="11"/>
        <v>99.5</v>
      </c>
      <c r="V38" s="767" t="s">
        <v>17</v>
      </c>
      <c r="W38" s="768">
        <f t="shared" si="12"/>
        <v>100</v>
      </c>
      <c r="X38" s="1805"/>
      <c r="Y38" s="3211"/>
      <c r="Z38" s="1806" t="str">
        <f t="shared" si="13"/>
        <v>宗地面积</v>
      </c>
      <c r="AA38" s="1803">
        <f t="shared" si="3"/>
        <v>0.98039215686274506</v>
      </c>
      <c r="AB38" s="1803">
        <f t="shared" si="4"/>
        <v>1.0050251256281406</v>
      </c>
      <c r="AC38" s="1803">
        <f t="shared" si="5"/>
        <v>1</v>
      </c>
    </row>
    <row r="39" spans="1:29" ht="15">
      <c r="A39" s="465"/>
      <c r="B39" s="415" t="s">
        <v>2752</v>
      </c>
      <c r="C39" s="3007" t="s">
        <v>3636</v>
      </c>
      <c r="D39" s="428">
        <v>100</v>
      </c>
      <c r="E39" s="2939" t="s">
        <v>3161</v>
      </c>
      <c r="F39" s="428">
        <f>SUMIF(119:119,E39,120:120)-SUMIF(119:119,C39,120:120)+100</f>
        <v>99</v>
      </c>
      <c r="G39" s="2939" t="s">
        <v>3173</v>
      </c>
      <c r="H39" s="428">
        <f>SUMIF(119:119,G39,120:120)-SUMIF(119:119,C39,120:120)+100</f>
        <v>98</v>
      </c>
      <c r="I39" s="2939" t="s">
        <v>3161</v>
      </c>
      <c r="J39" s="428">
        <f>SUMIF(119:119,I39,120:120)-SUMIF(119:119,C39,120:120)+100</f>
        <v>99</v>
      </c>
      <c r="K39" s="605">
        <v>1</v>
      </c>
      <c r="L39" s="1133"/>
      <c r="M39" s="1124"/>
      <c r="N39" s="1124"/>
      <c r="O39" s="1132"/>
      <c r="P39" s="3211"/>
      <c r="Q39" s="1802" t="str">
        <f t="shared" ref="Q39:Q45" si="14">B39</f>
        <v>宗地形状</v>
      </c>
      <c r="R39" s="767" t="s">
        <v>17</v>
      </c>
      <c r="S39" s="768">
        <f t="shared" si="10"/>
        <v>99</v>
      </c>
      <c r="T39" s="767" t="s">
        <v>17</v>
      </c>
      <c r="U39" s="768">
        <f t="shared" si="11"/>
        <v>98</v>
      </c>
      <c r="V39" s="767" t="s">
        <v>17</v>
      </c>
      <c r="W39" s="768">
        <f t="shared" si="12"/>
        <v>99</v>
      </c>
      <c r="X39" s="1805"/>
      <c r="Y39" s="3211"/>
      <c r="Z39" s="1806" t="str">
        <f t="shared" si="13"/>
        <v>宗地形状</v>
      </c>
      <c r="AA39" s="1803">
        <f t="shared" si="3"/>
        <v>1.0101010101010102</v>
      </c>
      <c r="AB39" s="1803">
        <f t="shared" si="4"/>
        <v>1.0204081632653061</v>
      </c>
      <c r="AC39" s="1803">
        <f t="shared" si="5"/>
        <v>1.0101010101010102</v>
      </c>
    </row>
    <row r="40" spans="1:29" ht="15">
      <c r="A40" s="465"/>
      <c r="B40" s="415" t="s">
        <v>2753</v>
      </c>
      <c r="C40" s="2939" t="s">
        <v>3162</v>
      </c>
      <c r="D40" s="428">
        <v>100</v>
      </c>
      <c r="E40" s="2939" t="s">
        <v>3162</v>
      </c>
      <c r="F40" s="428">
        <f>SUMIF(121:121,E40,122:122)-SUMIF(121:121,C40,122:122)+100</f>
        <v>100</v>
      </c>
      <c r="G40" s="2939" t="s">
        <v>3174</v>
      </c>
      <c r="H40" s="428">
        <f>SUMIF(121:121,G40,122:122)-SUMIF(121:121,C40,122:122)+100</f>
        <v>100</v>
      </c>
      <c r="I40" s="2939" t="s">
        <v>3162</v>
      </c>
      <c r="J40" s="428">
        <f>SUMIF(121:121,I40,122:122)-SUMIF(121:121,C40,122:122)+100</f>
        <v>100</v>
      </c>
      <c r="K40" s="605"/>
      <c r="L40" s="1133"/>
      <c r="M40" s="1124"/>
      <c r="N40" s="1124"/>
      <c r="O40" s="1132"/>
      <c r="P40" s="3211"/>
      <c r="Q40" s="1802" t="str">
        <f t="shared" si="14"/>
        <v>临街宽度及深度</v>
      </c>
      <c r="R40" s="767" t="s">
        <v>17</v>
      </c>
      <c r="S40" s="768">
        <f t="shared" si="10"/>
        <v>100</v>
      </c>
      <c r="T40" s="767" t="s">
        <v>17</v>
      </c>
      <c r="U40" s="768">
        <f t="shared" si="11"/>
        <v>100</v>
      </c>
      <c r="V40" s="767" t="s">
        <v>17</v>
      </c>
      <c r="W40" s="768">
        <f t="shared" si="12"/>
        <v>100</v>
      </c>
      <c r="X40" s="1805"/>
      <c r="Y40" s="3211"/>
      <c r="Z40" s="1806" t="str">
        <f t="shared" si="13"/>
        <v>临街宽度及深度</v>
      </c>
      <c r="AA40" s="1803">
        <f t="shared" si="3"/>
        <v>1</v>
      </c>
      <c r="AB40" s="1803">
        <f t="shared" si="4"/>
        <v>1</v>
      </c>
      <c r="AC40" s="1803">
        <f t="shared" si="5"/>
        <v>1</v>
      </c>
    </row>
    <row r="41" spans="1:29" s="111" customFormat="1" ht="15">
      <c r="A41" s="466"/>
      <c r="B41" s="415" t="s">
        <v>2754</v>
      </c>
      <c r="C41" s="2940" t="s">
        <v>3157</v>
      </c>
      <c r="D41" s="129">
        <v>100</v>
      </c>
      <c r="E41" s="2940" t="s">
        <v>3167</v>
      </c>
      <c r="F41" s="428">
        <f>SUMIF(123:123,E41,124:124)-SUMIF(123:123,C41,124:124)+100</f>
        <v>96</v>
      </c>
      <c r="G41" s="2940" t="s">
        <v>3167</v>
      </c>
      <c r="H41" s="428">
        <f>SUMIF(123:123,G41,124:124)-SUMIF(123:123,C41,124:124)+100</f>
        <v>96</v>
      </c>
      <c r="I41" s="2940" t="s">
        <v>3163</v>
      </c>
      <c r="J41" s="428">
        <f>SUMIF(123:123,I41,124:124)-SUMIF(123:123,C41,124:124)+100</f>
        <v>100</v>
      </c>
      <c r="K41" s="605">
        <v>1</v>
      </c>
      <c r="L41" s="1125"/>
      <c r="M41" s="1126"/>
      <c r="N41" s="1126"/>
      <c r="O41" s="1127"/>
      <c r="P41" s="3211"/>
      <c r="Q41" s="1802" t="str">
        <f t="shared" si="14"/>
        <v>宗地开发程度</v>
      </c>
      <c r="R41" s="763" t="s">
        <v>17</v>
      </c>
      <c r="S41" s="764">
        <f t="shared" si="10"/>
        <v>96</v>
      </c>
      <c r="T41" s="763" t="s">
        <v>17</v>
      </c>
      <c r="U41" s="764">
        <f t="shared" si="11"/>
        <v>96</v>
      </c>
      <c r="V41" s="763" t="s">
        <v>17</v>
      </c>
      <c r="W41" s="764">
        <f t="shared" si="12"/>
        <v>100</v>
      </c>
      <c r="X41" s="765"/>
      <c r="Y41" s="3211"/>
      <c r="Z41" s="55" t="str">
        <f t="shared" si="13"/>
        <v>宗地开发程度</v>
      </c>
      <c r="AA41" s="766">
        <f t="shared" si="3"/>
        <v>1.0416666666666667</v>
      </c>
      <c r="AB41" s="766">
        <f t="shared" si="4"/>
        <v>1.0416666666666667</v>
      </c>
      <c r="AC41" s="766">
        <f t="shared" si="5"/>
        <v>1</v>
      </c>
    </row>
    <row r="42" spans="1:29" ht="15">
      <c r="A42" s="465"/>
      <c r="B42" s="415" t="s">
        <v>2755</v>
      </c>
      <c r="C42" s="2939" t="s">
        <v>3162</v>
      </c>
      <c r="D42" s="428">
        <v>100</v>
      </c>
      <c r="E42" s="2939" t="s">
        <v>3162</v>
      </c>
      <c r="F42" s="428">
        <f>SUMIF(125:125,E42,126:126)-SUMIF(125:125,C42,126:126)+100</f>
        <v>100</v>
      </c>
      <c r="G42" s="2939" t="s">
        <v>3162</v>
      </c>
      <c r="H42" s="428">
        <f>SUMIF(125:125,G42,126:126)-SUMIF(125:125,C42,126:126)+100</f>
        <v>100</v>
      </c>
      <c r="I42" s="2939" t="s">
        <v>3162</v>
      </c>
      <c r="J42" s="428">
        <f>SUMIF(125:125,I42,126:126)-SUMIF(125:125,C42,126:126)+100</f>
        <v>100</v>
      </c>
      <c r="K42" s="605"/>
      <c r="L42" s="1133"/>
      <c r="M42" s="1124"/>
      <c r="N42" s="1124"/>
      <c r="O42" s="1132"/>
      <c r="P42" s="3211" t="s">
        <v>2565</v>
      </c>
      <c r="Q42" s="1802" t="str">
        <f t="shared" si="14"/>
        <v>工程地质条件</v>
      </c>
      <c r="R42" s="767" t="s">
        <v>17</v>
      </c>
      <c r="S42" s="768">
        <f t="shared" si="10"/>
        <v>100</v>
      </c>
      <c r="T42" s="767" t="s">
        <v>17</v>
      </c>
      <c r="U42" s="768">
        <f t="shared" si="11"/>
        <v>100</v>
      </c>
      <c r="V42" s="767" t="s">
        <v>17</v>
      </c>
      <c r="W42" s="768">
        <f t="shared" si="12"/>
        <v>100</v>
      </c>
      <c r="X42" s="1805"/>
      <c r="Y42" s="3211" t="s">
        <v>2565</v>
      </c>
      <c r="Z42" s="1806" t="str">
        <f t="shared" si="13"/>
        <v>工程地质条件</v>
      </c>
      <c r="AA42" s="1803">
        <f t="shared" si="3"/>
        <v>1</v>
      </c>
      <c r="AB42" s="1803">
        <f t="shared" si="4"/>
        <v>1</v>
      </c>
      <c r="AC42" s="1803">
        <f t="shared" si="5"/>
        <v>1</v>
      </c>
    </row>
    <row r="43" spans="1:29" ht="15">
      <c r="A43" s="465"/>
      <c r="B43" s="1380">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11"/>
      <c r="Q43" s="1802">
        <f t="shared" si="14"/>
        <v>111</v>
      </c>
      <c r="R43" s="767" t="s">
        <v>17</v>
      </c>
      <c r="S43" s="768">
        <f t="shared" si="10"/>
        <v>100</v>
      </c>
      <c r="T43" s="767" t="s">
        <v>17</v>
      </c>
      <c r="U43" s="768">
        <f t="shared" si="11"/>
        <v>100</v>
      </c>
      <c r="V43" s="767" t="s">
        <v>17</v>
      </c>
      <c r="W43" s="768">
        <f t="shared" si="12"/>
        <v>100</v>
      </c>
      <c r="X43" s="1805"/>
      <c r="Y43" s="3211"/>
      <c r="Z43" s="1806">
        <f t="shared" si="13"/>
        <v>111</v>
      </c>
      <c r="AA43" s="1803">
        <f t="shared" si="3"/>
        <v>1</v>
      </c>
      <c r="AB43" s="1803">
        <f t="shared" si="4"/>
        <v>1</v>
      </c>
      <c r="AC43" s="1803">
        <f t="shared" si="5"/>
        <v>1</v>
      </c>
    </row>
    <row r="44" spans="1:29" ht="15">
      <c r="A44" s="465"/>
      <c r="B44" s="1380">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11"/>
      <c r="Q44" s="1802">
        <f t="shared" si="14"/>
        <v>111</v>
      </c>
      <c r="R44" s="767" t="s">
        <v>17</v>
      </c>
      <c r="S44" s="768">
        <f t="shared" si="10"/>
        <v>100</v>
      </c>
      <c r="T44" s="767" t="s">
        <v>17</v>
      </c>
      <c r="U44" s="768">
        <f t="shared" si="11"/>
        <v>100</v>
      </c>
      <c r="V44" s="767" t="s">
        <v>17</v>
      </c>
      <c r="W44" s="768">
        <f t="shared" si="12"/>
        <v>100</v>
      </c>
      <c r="X44" s="1805"/>
      <c r="Y44" s="3211"/>
      <c r="Z44" s="1806">
        <f t="shared" si="13"/>
        <v>111</v>
      </c>
      <c r="AA44" s="1803">
        <f t="shared" si="3"/>
        <v>1</v>
      </c>
      <c r="AB44" s="1803">
        <f t="shared" si="4"/>
        <v>1</v>
      </c>
      <c r="AC44" s="1803">
        <f t="shared" si="5"/>
        <v>1</v>
      </c>
    </row>
    <row r="45" spans="1:29" s="464" customFormat="1" ht="15.75" thickBot="1">
      <c r="A45" s="461"/>
      <c r="B45" s="1380">
        <v>111</v>
      </c>
      <c r="C45" s="2694"/>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11"/>
      <c r="Q45" s="1802">
        <f t="shared" si="14"/>
        <v>111</v>
      </c>
      <c r="R45" s="770" t="s">
        <v>17</v>
      </c>
      <c r="S45" s="771">
        <f t="shared" si="10"/>
        <v>100</v>
      </c>
      <c r="T45" s="770" t="s">
        <v>17</v>
      </c>
      <c r="U45" s="771">
        <f t="shared" si="11"/>
        <v>100</v>
      </c>
      <c r="V45" s="770" t="s">
        <v>17</v>
      </c>
      <c r="W45" s="771">
        <f t="shared" si="12"/>
        <v>100</v>
      </c>
      <c r="X45" s="772"/>
      <c r="Y45" s="3211"/>
      <c r="Z45" s="773">
        <f t="shared" si="13"/>
        <v>111</v>
      </c>
      <c r="AA45" s="1803">
        <f t="shared" si="3"/>
        <v>1</v>
      </c>
      <c r="AB45" s="1803">
        <f t="shared" si="4"/>
        <v>1</v>
      </c>
      <c r="AC45" s="1803">
        <f t="shared" si="5"/>
        <v>1</v>
      </c>
    </row>
    <row r="46" spans="1:29" ht="15">
      <c r="A46" s="472" t="s">
        <v>2720</v>
      </c>
      <c r="B46" s="2695" t="s">
        <v>2756</v>
      </c>
      <c r="C46" s="675" t="s">
        <v>1</v>
      </c>
      <c r="D46" s="474"/>
      <c r="E46" s="475">
        <v>10165</v>
      </c>
      <c r="F46" s="476"/>
      <c r="G46" s="477">
        <v>11200</v>
      </c>
      <c r="H46" s="478"/>
      <c r="I46" s="475">
        <v>8830</v>
      </c>
      <c r="J46" s="478"/>
      <c r="K46" s="776"/>
      <c r="L46" s="1136"/>
      <c r="M46" s="1137"/>
      <c r="N46" s="1124"/>
      <c r="O46" s="1137"/>
      <c r="P46" s="3206" t="str">
        <f>A46</f>
        <v>成交单价</v>
      </c>
      <c r="Q46" s="3206"/>
      <c r="R46" s="3212">
        <f>E46</f>
        <v>10165</v>
      </c>
      <c r="S46" s="3212"/>
      <c r="T46" s="3212">
        <f>G46</f>
        <v>11200</v>
      </c>
      <c r="U46" s="3212"/>
      <c r="V46" s="3212">
        <f>I46</f>
        <v>8830</v>
      </c>
      <c r="W46" s="3212"/>
      <c r="X46" s="752"/>
      <c r="Y46" s="774"/>
      <c r="Z46" s="752"/>
      <c r="AA46" s="752"/>
      <c r="AB46" s="752"/>
      <c r="AC46" s="752"/>
    </row>
    <row r="47" spans="1:29" ht="15.75" thickBot="1">
      <c r="A47" s="479" t="s">
        <v>2669</v>
      </c>
      <c r="B47" s="676"/>
      <c r="C47" s="483">
        <f>R48</f>
        <v>11732</v>
      </c>
      <c r="D47" s="482"/>
      <c r="E47" s="483">
        <f>R47</f>
        <v>12239</v>
      </c>
      <c r="F47" s="484"/>
      <c r="G47" s="481">
        <f>T47</f>
        <v>12498</v>
      </c>
      <c r="H47" s="482"/>
      <c r="I47" s="483">
        <f>V47</f>
        <v>10459</v>
      </c>
      <c r="J47" s="482"/>
      <c r="K47" s="777"/>
      <c r="L47" s="1136"/>
      <c r="M47" s="1137"/>
      <c r="N47" s="1137"/>
      <c r="O47" s="1137"/>
      <c r="P47" s="3206" t="str">
        <f>A47</f>
        <v>比较价值（元/平方米）</v>
      </c>
      <c r="Q47" s="3206"/>
      <c r="R47" s="3199">
        <f>ROUND(PRODUCT(R46,AA7:AA45),0)</f>
        <v>12239</v>
      </c>
      <c r="S47" s="3199"/>
      <c r="T47" s="3199">
        <f>ROUND(PRODUCT(T46,AB7:AB45),0)</f>
        <v>12498</v>
      </c>
      <c r="U47" s="3199"/>
      <c r="V47" s="3199">
        <f>ROUND(PRODUCT(V46,AC7:AC45),0)</f>
        <v>10459</v>
      </c>
      <c r="W47" s="3199"/>
      <c r="X47" s="752"/>
      <c r="Y47" s="752"/>
      <c r="Z47" s="752"/>
      <c r="AA47" s="752"/>
      <c r="AB47" s="752"/>
      <c r="AC47" s="752"/>
    </row>
    <row r="48" spans="1:29" ht="15.75" thickBot="1">
      <c r="A48" s="485" t="s">
        <v>2757</v>
      </c>
      <c r="B48" s="486"/>
      <c r="C48" s="487">
        <f>R48</f>
        <v>11732</v>
      </c>
      <c r="D48" s="487"/>
      <c r="E48" s="487"/>
      <c r="F48" s="487"/>
      <c r="G48" s="487"/>
      <c r="H48" s="487"/>
      <c r="I48" s="487"/>
      <c r="J48" s="487"/>
      <c r="K48" s="778"/>
      <c r="L48" s="1136"/>
      <c r="M48" s="1137"/>
      <c r="N48" s="1137"/>
      <c r="O48" s="1137"/>
      <c r="P48" s="3200" t="str">
        <f>A48</f>
        <v>估价对象XX用房的比较价值（楼面单价，元/平方米）</v>
      </c>
      <c r="Q48" s="3201"/>
      <c r="R48" s="3202">
        <f>ROUND(AVERAGE(R47:V47),0)</f>
        <v>11732</v>
      </c>
      <c r="S48" s="3202"/>
      <c r="T48" s="3202"/>
      <c r="U48" s="3202"/>
      <c r="V48" s="3202"/>
      <c r="W48" s="3202"/>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0.20403344810624691</v>
      </c>
      <c r="F51" s="493" t="str">
        <f>IF(OR(E51&gt;=0.3,E51&lt;=-0.3),"超过30%","")</f>
        <v/>
      </c>
      <c r="G51" s="492">
        <f>IF(G46&lt;G47,G47/G46-1,G46/G47-1)</f>
        <v>0.11589285714285724</v>
      </c>
      <c r="H51" s="493" t="str">
        <f>IF(OR(G51&gt;=0.3,G51&lt;=-0.3),"超过30%","")</f>
        <v/>
      </c>
      <c r="I51" s="492">
        <f>IF(I46&lt;I47,I47/I46-1,I46/I47-1)</f>
        <v>0.18448471121177801</v>
      </c>
      <c r="J51" s="493" t="str">
        <f>IF(OR(I51&gt;=0.3,I51&lt;=-0.3),"超过30%","")</f>
        <v/>
      </c>
      <c r="K51" s="1098"/>
      <c r="L51" s="1099"/>
      <c r="M51" s="1137"/>
      <c r="N51" s="1137"/>
      <c r="O51" s="1137"/>
    </row>
    <row r="52" spans="1:15" ht="13.5" customHeight="1">
      <c r="A52" s="1137"/>
      <c r="B52" s="1137"/>
      <c r="C52" s="490" t="s">
        <v>2672</v>
      </c>
      <c r="D52" s="494"/>
      <c r="E52" s="492">
        <f>IF(E47&lt;G47,G47/E47-1,E47/G47-1)</f>
        <v>2.1161859629054591E-2</v>
      </c>
      <c r="F52" s="493" t="str">
        <f>IF(OR(E52&gt;=0.2,E52&lt;=-0.2),"超过20%","")</f>
        <v/>
      </c>
      <c r="G52" s="492">
        <f>IF(G47&lt;I47,I47/G47-1,G47/I47-1)</f>
        <v>0.19495171622526053</v>
      </c>
      <c r="H52" s="493" t="str">
        <f>IF(OR(G52&gt;=0.2,G52&lt;=-0.2),"超过20%","")</f>
        <v/>
      </c>
      <c r="I52" s="492">
        <f>IF(I47&lt;E47,E47/I47-1,I47/E47-1)</f>
        <v>0.17018835452720138</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6" t="s">
        <v>2760</v>
      </c>
      <c r="D55" s="2697" t="s">
        <v>2761</v>
      </c>
      <c r="E55" s="679" t="s">
        <v>2762</v>
      </c>
      <c r="F55" s="1100" t="s">
        <v>2763</v>
      </c>
      <c r="G55" s="3203" t="s">
        <v>2764</v>
      </c>
      <c r="H55" s="3204"/>
      <c r="I55" s="137" t="s">
        <v>2765</v>
      </c>
      <c r="J55" s="2698">
        <f>项目基本情况!F35</f>
        <v>0</v>
      </c>
      <c r="K55" s="2699" t="s">
        <v>2766</v>
      </c>
      <c r="L55" s="1099"/>
      <c r="M55" s="1137"/>
      <c r="N55" s="1137"/>
      <c r="O55" s="1137"/>
    </row>
    <row r="56" spans="1:15" s="685" customFormat="1">
      <c r="A56" s="681" t="s">
        <v>2767</v>
      </c>
      <c r="B56" s="682">
        <f>C48</f>
        <v>11732</v>
      </c>
      <c r="C56" s="683">
        <v>1</v>
      </c>
      <c r="D56" s="1156">
        <v>1</v>
      </c>
      <c r="E56" s="683">
        <f>'数据-汇总表'!E8+'数据-汇总表'!E9</f>
        <v>96330.540000000008</v>
      </c>
      <c r="F56" s="1096">
        <f t="shared" ref="F56:F65" si="15">ROUND(B56*E56/10000,0)</f>
        <v>113015</v>
      </c>
      <c r="G56" s="3205"/>
      <c r="H56" s="3206"/>
      <c r="I56" s="1101">
        <v>1</v>
      </c>
      <c r="J56" s="1104">
        <v>1</v>
      </c>
      <c r="K56" s="1138"/>
      <c r="L56" s="934"/>
      <c r="M56" s="934"/>
      <c r="N56" s="934"/>
      <c r="O56" s="934"/>
    </row>
    <row r="57" spans="1:15" s="685" customFormat="1">
      <c r="A57" s="686" t="s">
        <v>2768</v>
      </c>
      <c r="B57" s="255">
        <f>ROUND($C$48*C57*D57,0)</f>
        <v>1760</v>
      </c>
      <c r="C57" s="193">
        <f t="shared" ref="C57:C65" si="16">IF($C$55="北京市系数",I57,J57)</f>
        <v>0.6</v>
      </c>
      <c r="D57" s="1157">
        <v>0.25</v>
      </c>
      <c r="E57" s="687">
        <f>'数据-汇总表'!G24</f>
        <v>521.76</v>
      </c>
      <c r="F57" s="1096">
        <f t="shared" si="15"/>
        <v>92</v>
      </c>
      <c r="G57" s="3207"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880</v>
      </c>
      <c r="C58" s="193">
        <f t="shared" si="16"/>
        <v>0.3</v>
      </c>
      <c r="D58" s="1157">
        <v>0.25</v>
      </c>
      <c r="E58" s="687"/>
      <c r="F58" s="1096">
        <f t="shared" si="15"/>
        <v>0</v>
      </c>
      <c r="G58" s="3207"/>
      <c r="H58" s="1097" t="str">
        <f>项目基本情况!B37</f>
        <v>八级</v>
      </c>
      <c r="I58" s="1101">
        <f>SUMIF(修正!A45:A56,H58,修正!C45:C56)</f>
        <v>0.3</v>
      </c>
      <c r="J58" s="1105"/>
      <c r="K58" s="1138"/>
      <c r="L58" s="934"/>
      <c r="M58" s="934"/>
      <c r="N58" s="934"/>
      <c r="O58" s="934"/>
    </row>
    <row r="59" spans="1:15" s="685" customFormat="1">
      <c r="A59" s="686" t="s">
        <v>2771</v>
      </c>
      <c r="B59" s="255">
        <f t="shared" si="17"/>
        <v>587</v>
      </c>
      <c r="C59" s="193">
        <f t="shared" si="16"/>
        <v>0.2</v>
      </c>
      <c r="D59" s="1157">
        <v>0.25</v>
      </c>
      <c r="E59" s="687"/>
      <c r="F59" s="1096">
        <f t="shared" si="15"/>
        <v>0</v>
      </c>
      <c r="G59" s="3207"/>
      <c r="H59" s="1097" t="str">
        <f>项目基本情况!B37</f>
        <v>八级</v>
      </c>
      <c r="I59" s="1101">
        <f>SUMIF(修正!A45:A56,H59,修正!D45:D56)</f>
        <v>0.2</v>
      </c>
      <c r="J59" s="1105"/>
      <c r="K59" s="1137"/>
      <c r="L59" s="934"/>
      <c r="M59" s="934"/>
      <c r="N59" s="934"/>
      <c r="O59" s="934"/>
    </row>
    <row r="60" spans="1:15" s="685" customFormat="1">
      <c r="A60" s="686" t="s">
        <v>2772</v>
      </c>
      <c r="B60" s="255">
        <f t="shared" si="17"/>
        <v>587</v>
      </c>
      <c r="C60" s="193">
        <f t="shared" si="16"/>
        <v>0.2</v>
      </c>
      <c r="D60" s="1157">
        <v>0.25</v>
      </c>
      <c r="E60" s="687"/>
      <c r="F60" s="1096">
        <f t="shared" si="15"/>
        <v>0</v>
      </c>
      <c r="G60" s="3207"/>
      <c r="H60" s="1097" t="str">
        <f>项目基本情况!B37</f>
        <v>八级</v>
      </c>
      <c r="I60" s="1101">
        <f>SUMIF(修正!A45:A56,H60,修正!E45:E56)</f>
        <v>0.2</v>
      </c>
      <c r="J60" s="1105"/>
      <c r="K60" s="1138"/>
      <c r="L60" s="934"/>
      <c r="M60" s="934"/>
      <c r="N60" s="934"/>
      <c r="O60" s="934"/>
    </row>
    <row r="61" spans="1:15" s="685" customFormat="1">
      <c r="A61" s="686" t="s">
        <v>2773</v>
      </c>
      <c r="B61" s="255">
        <f t="shared" si="17"/>
        <v>587</v>
      </c>
      <c r="C61" s="193">
        <f t="shared" si="16"/>
        <v>0.2</v>
      </c>
      <c r="D61" s="1157">
        <v>0.25</v>
      </c>
      <c r="E61" s="254">
        <f>'数据-汇总表'!E11</f>
        <v>0</v>
      </c>
      <c r="F61" s="1096">
        <f t="shared" si="15"/>
        <v>0</v>
      </c>
      <c r="G61" s="2700"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587</v>
      </c>
      <c r="C62" s="193">
        <f t="shared" si="16"/>
        <v>0.2</v>
      </c>
      <c r="D62" s="1157">
        <v>0.25</v>
      </c>
      <c r="E62" s="254">
        <f>'数据-汇总表'!E12</f>
        <v>6564.2199999999993</v>
      </c>
      <c r="F62" s="1096">
        <f t="shared" si="15"/>
        <v>385</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440</v>
      </c>
      <c r="C64" s="193">
        <f t="shared" si="16"/>
        <v>0.15</v>
      </c>
      <c r="D64" s="1157">
        <v>0.25</v>
      </c>
      <c r="E64" s="254">
        <f>'数据-汇总表'!E14</f>
        <v>0</v>
      </c>
      <c r="F64" s="1096">
        <f t="shared" si="15"/>
        <v>0</v>
      </c>
      <c r="G64" s="2700"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440</v>
      </c>
      <c r="C65" s="193">
        <f t="shared" si="16"/>
        <v>0.15</v>
      </c>
      <c r="D65" s="1157">
        <v>0.25</v>
      </c>
      <c r="E65" s="254">
        <f>'数据-汇总表'!E15</f>
        <v>0</v>
      </c>
      <c r="F65" s="1096">
        <f t="shared" si="15"/>
        <v>0</v>
      </c>
      <c r="G65" s="2701"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103416.52</v>
      </c>
      <c r="F66" s="690">
        <f>IF(B46="楼面地价",SUM(F56:F65),ROUND(C48*E66/10000,0))</f>
        <v>113492</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2" t="s">
        <v>2782</v>
      </c>
      <c r="B70" s="1352"/>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0"/>
    </row>
    <row r="71" spans="1:17" s="111" customFormat="1" ht="30" customHeight="1">
      <c r="A71" s="2703" t="s">
        <v>2783</v>
      </c>
      <c r="B71" s="325" t="str">
        <f>"北京市平均增长率"&amp;TEXT(SUMIF(基准地价修正!N21:N25,A71,基准地价修正!P21:P25),"0.00%")</f>
        <v>北京市平均增长率2.55%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7" t="s">
        <v>3153</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2" t="s">
        <v>3188</v>
      </c>
      <c r="D84" s="2952" t="s">
        <v>3189</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2784</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2785</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2786</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8"/>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8"/>
      <c r="N103" s="1147"/>
      <c r="O103" s="1147"/>
      <c r="P103" s="551"/>
      <c r="Q103" s="552"/>
    </row>
    <row r="104" spans="1:17" ht="15.75" thickTop="1">
      <c r="A104" s="527"/>
      <c r="B104" s="531" t="str">
        <f>B31</f>
        <v>临街状况</v>
      </c>
      <c r="C104" s="532" t="s">
        <v>2787</v>
      </c>
      <c r="D104" s="532" t="s">
        <v>2788</v>
      </c>
      <c r="E104" s="532" t="s">
        <v>2789</v>
      </c>
      <c r="F104" s="532" t="s">
        <v>2790</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2" t="s">
        <v>3190</v>
      </c>
      <c r="D106" s="2952" t="s">
        <v>3191</v>
      </c>
      <c r="E106" s="2952" t="s">
        <v>3192</v>
      </c>
      <c r="F106" s="2952" t="s">
        <v>3193</v>
      </c>
      <c r="G106" s="2952" t="s">
        <v>3194</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5" t="s">
        <v>3486</v>
      </c>
      <c r="D108" s="2975" t="s">
        <v>3487</v>
      </c>
      <c r="E108" s="2975" t="s">
        <v>3488</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2791</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2792</v>
      </c>
      <c r="C119" s="2975" t="s">
        <v>3489</v>
      </c>
      <c r="D119" s="2975" t="s">
        <v>3490</v>
      </c>
      <c r="E119" s="2975" t="s">
        <v>3491</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2793</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2794</v>
      </c>
      <c r="C123" s="2952" t="s">
        <v>3481</v>
      </c>
      <c r="D123" s="2952" t="s">
        <v>3482</v>
      </c>
      <c r="E123" s="2952" t="s">
        <v>3483</v>
      </c>
      <c r="F123" s="2952" t="s">
        <v>3484</v>
      </c>
      <c r="G123" s="2952" t="s">
        <v>3485</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2795</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3"/>
      <c r="C1" s="1574"/>
      <c r="D1" s="1572"/>
      <c r="E1" s="313"/>
      <c r="F1" s="313"/>
      <c r="G1" s="1573"/>
      <c r="H1" s="313"/>
      <c r="I1" s="313"/>
      <c r="J1" s="313"/>
      <c r="K1" s="313">
        <f>MATCH(C1,'数据-取费表'!A6:A16,0)+5</f>
        <v>7</v>
      </c>
    </row>
    <row r="2" spans="1:33" ht="18" customHeight="1">
      <c r="A2" s="238" t="s">
        <v>2330</v>
      </c>
      <c r="B2" s="241">
        <f ca="1">C32</f>
        <v>218328</v>
      </c>
      <c r="C2" s="313" t="s">
        <v>2463</v>
      </c>
      <c r="D2" s="313"/>
      <c r="E2" s="313"/>
      <c r="F2" s="313"/>
      <c r="G2" s="313"/>
      <c r="H2" s="313"/>
      <c r="I2" s="313"/>
      <c r="J2" s="313"/>
      <c r="K2" s="313"/>
    </row>
    <row r="3" spans="1:33" ht="18" customHeight="1" thickBot="1">
      <c r="A3" s="240" t="s">
        <v>2332</v>
      </c>
      <c r="B3" s="241">
        <f ca="1">ROUND(B2*10000/IF(C1="",'数据-汇总表'!E3,INDIRECT("'数据-取费表'!K"&amp;$K$1)),0)</f>
        <v>21112</v>
      </c>
      <c r="C3" s="313" t="s">
        <v>2464</v>
      </c>
      <c r="D3" s="313"/>
      <c r="E3" s="313"/>
      <c r="F3" s="313"/>
      <c r="G3" s="313"/>
      <c r="H3" s="313"/>
      <c r="I3" s="313"/>
      <c r="J3" s="313"/>
      <c r="K3" s="313"/>
    </row>
    <row r="4" spans="1:33" s="949" customFormat="1" ht="16.5" customHeight="1">
      <c r="A4" s="946" t="s">
        <v>2465</v>
      </c>
      <c r="B4" s="947"/>
      <c r="C4" s="989">
        <f ca="1">SUM(C8:K8)</f>
        <v>263231</v>
      </c>
      <c r="D4" s="947"/>
      <c r="E4" s="947"/>
      <c r="F4" s="947"/>
      <c r="G4" s="947"/>
      <c r="H4" s="947"/>
      <c r="I4" s="947"/>
      <c r="J4" s="947"/>
      <c r="K4" s="948"/>
    </row>
    <row r="5" spans="1:33" s="953" customFormat="1" ht="25.5">
      <c r="A5" s="950" t="s">
        <v>2466</v>
      </c>
      <c r="B5" s="951" t="s">
        <v>2467</v>
      </c>
      <c r="C5" s="2545" t="s">
        <v>3462</v>
      </c>
      <c r="D5" s="2545" t="s">
        <v>3467</v>
      </c>
      <c r="E5" s="2545" t="s">
        <v>3468</v>
      </c>
      <c r="F5" s="2545" t="s">
        <v>3473</v>
      </c>
      <c r="G5" s="2545" t="s">
        <v>3478</v>
      </c>
      <c r="H5" s="2545" t="s">
        <v>3476</v>
      </c>
      <c r="I5" s="2545" t="s">
        <v>48</v>
      </c>
      <c r="J5" s="2545"/>
      <c r="K5" s="2545"/>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[1]假设开发法!$C$6</f>
        <v>26536</v>
      </c>
      <c r="D6" s="955">
        <f ca="1">C6</f>
        <v>26536</v>
      </c>
      <c r="E6" s="955"/>
      <c r="F6" s="955">
        <f>[1]假设开发法!$F$6</f>
        <v>40312</v>
      </c>
      <c r="G6" s="955">
        <f>ROUND(F6*0.6,0)</f>
        <v>24187</v>
      </c>
      <c r="H6" s="955">
        <f ca="1">[1]假设开发法!$H$6</f>
        <v>4492</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75912.28</v>
      </c>
      <c r="D7" s="314">
        <f>SUMIF('数据-汇总表'!$C19:$C33,假设开发法!D5,'数据-汇总表'!$E19:$E33)</f>
        <v>12831.44</v>
      </c>
      <c r="E7" s="314">
        <f>SUMIF('数据-汇总表'!$C19:$C33,假设开发法!E5,'数据-汇总表'!$E19:$E33)</f>
        <v>0</v>
      </c>
      <c r="F7" s="314">
        <f>SUMIF('数据-汇总表'!$C19:$C33,假设开发法!F5,'数据-汇总表'!$E19:$E33)</f>
        <v>7586.82</v>
      </c>
      <c r="G7" s="314">
        <f>SUMIF('数据-汇总表'!$C19:$C33,假设开发法!G5,'数据-汇总表'!$E19:$E33)</f>
        <v>521.76</v>
      </c>
      <c r="H7" s="314">
        <f>SUMIF('数据-汇总表'!$C19:$C33,假设开发法!H5,'数据-汇总表'!$E19:$E33)</f>
        <v>6564.2199999999993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6" t="s">
        <v>2471</v>
      </c>
      <c r="B8" s="170" t="s">
        <v>2472</v>
      </c>
      <c r="C8" s="990">
        <f ca="1">ROUND(C6*C7/10000,0)</f>
        <v>201441</v>
      </c>
      <c r="D8" s="990">
        <f ca="1">'收益法-商业LOFT（精装）'!B2</f>
        <v>26995</v>
      </c>
      <c r="E8" s="990">
        <f>ROUND(E6*E7/10000,0)</f>
        <v>0</v>
      </c>
      <c r="F8" s="990">
        <f>ROUND(F6*F7/10000,0)</f>
        <v>30584</v>
      </c>
      <c r="G8" s="991">
        <f>ROUND(G6*G7/10000,0)</f>
        <v>1262</v>
      </c>
      <c r="H8" s="991">
        <f ca="1">ROUND(H6*H7/10000,0)</f>
        <v>2949</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9558</v>
      </c>
      <c r="D11" s="966"/>
      <c r="E11" s="368"/>
      <c r="F11" s="967">
        <f ca="1">1-IF('数据-取费表'!B24=0,1,IF(C1="",'数据-取费表'!N16,INDIRECT("'数据-取费表'!n"&amp;$K$1)))</f>
        <v>0.30000000000000004</v>
      </c>
      <c r="G11" s="8"/>
      <c r="H11" s="961"/>
      <c r="I11" s="961"/>
      <c r="J11" s="961"/>
      <c r="K11" s="962"/>
    </row>
    <row r="12" spans="1:33" s="968" customFormat="1" ht="13.5" customHeight="1">
      <c r="A12" s="964" t="s">
        <v>1335</v>
      </c>
      <c r="B12" s="965" t="s">
        <v>2481</v>
      </c>
      <c r="C12" s="24">
        <f ca="1">ROUND(C11*F12,0)</f>
        <v>287</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620</v>
      </c>
      <c r="D14" s="1026">
        <f ca="1">IF(C1="",'数据-汇总表'!E3,INDIRECT("'数据-取费表'!K"&amp;$K$1)+INDIRECT("'数据-取费表'!S"&amp;$K$1))</f>
        <v>103416.51999999999</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143</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10608</v>
      </c>
      <c r="D16" s="971"/>
      <c r="E16" s="976"/>
      <c r="F16" s="977"/>
      <c r="G16" s="133"/>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103416.51999999999</v>
      </c>
      <c r="E17" s="24">
        <f>'数据-取费表'!B32</f>
        <v>0</v>
      </c>
      <c r="F17" s="971"/>
      <c r="G17" s="133" t="s">
        <v>2491</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7" t="s">
        <v>3622</v>
      </c>
      <c r="H18" s="1569"/>
      <c r="I18" s="2548"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2495</v>
      </c>
      <c r="C20" s="24">
        <f ca="1">ROUND(D20*E20/10000,0)</f>
        <v>2068</v>
      </c>
      <c r="D20" s="1026">
        <f ca="1">IF(C1="",'数据-汇总表'!E6,IF(INDIRECT("'数据-取费表'!c"&amp;$K$1)="住宅",INDIRECT("'数据-取费表'!s"&amp;$K$1),INDIRECT("'数据-取费表'!k"&amp;$K$1)+INDIRECT("'数据-取费表'!s"&amp;$K$1)))</f>
        <v>103416.51999999999</v>
      </c>
      <c r="E20" s="24">
        <f>'数据-取费表'!B28</f>
        <v>200</v>
      </c>
      <c r="F20" s="969"/>
      <c r="G20" s="15"/>
      <c r="H20" s="974"/>
      <c r="I20" s="974"/>
      <c r="J20" s="974"/>
      <c r="K20" s="975"/>
    </row>
    <row r="21" spans="1:33" s="968" customFormat="1" ht="13.5" customHeight="1">
      <c r="A21" s="954" t="s">
        <v>802</v>
      </c>
      <c r="B21" s="978" t="s">
        <v>2496</v>
      </c>
      <c r="C21" s="979">
        <f ca="1">C16+C17+C18</f>
        <v>10608</v>
      </c>
      <c r="D21" s="980"/>
      <c r="E21" s="318"/>
      <c r="F21" s="318"/>
      <c r="G21" s="133" t="s">
        <v>2497</v>
      </c>
      <c r="H21" s="972"/>
      <c r="I21" s="972"/>
      <c r="J21" s="972"/>
      <c r="K21" s="973"/>
    </row>
    <row r="22" spans="1:33" s="968" customFormat="1" ht="13.5" customHeight="1">
      <c r="A22" s="954" t="s">
        <v>2469</v>
      </c>
      <c r="B22" s="978" t="s">
        <v>2498</v>
      </c>
      <c r="C22" s="979">
        <f ca="1">ROUND(C21*F22,0)</f>
        <v>212</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1579</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1349">
        <f ca="1">C27</f>
        <v>116</v>
      </c>
      <c r="D25" s="317">
        <f ca="1">C26</f>
        <v>1.9300000000000001E-2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1.9300000000000001E-2</v>
      </c>
      <c r="D26" s="321"/>
      <c r="E26" s="322"/>
      <c r="F26" s="323"/>
      <c r="G26" s="2549"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116</v>
      </c>
      <c r="D27" s="321"/>
      <c r="E27" s="322"/>
      <c r="F27" s="323"/>
      <c r="G27" s="2549" t="str">
        <f>IF('数据-取费表'!B22&lt;=1,"（1）-（3）项×年利率×建设期÷2","（1）-（3）项×((1+年利率)^(建设期÷2)-1)")</f>
        <v>（1）-（3）项×((1+年利率)^(建设期÷2)-1)</v>
      </c>
      <c r="H27" s="972"/>
      <c r="I27" s="972"/>
      <c r="J27" s="972"/>
      <c r="K27" s="973"/>
    </row>
    <row r="28" spans="1:33" s="326" customFormat="1" ht="13.5" customHeight="1">
      <c r="A28" s="954" t="s">
        <v>2509</v>
      </c>
      <c r="B28" s="2550" t="s">
        <v>2510</v>
      </c>
      <c r="C28" s="324">
        <f ca="1">C30</f>
        <v>2356</v>
      </c>
      <c r="D28" s="317">
        <f ca="1">C29</f>
        <v>2.6100000000000002E-2</v>
      </c>
      <c r="E28" s="319" t="s">
        <v>15</v>
      </c>
      <c r="F28" s="325">
        <f ca="1">IF(C1="",'数据-取费表'!Q16,INDIRECT("'数据-取费表'!q"&amp;$K$1))</f>
        <v>0.19</v>
      </c>
      <c r="G28" s="982"/>
      <c r="H28" s="983"/>
      <c r="I28" s="983"/>
      <c r="J28" s="983"/>
      <c r="K28" s="984"/>
    </row>
    <row r="29" spans="1:33" s="328" customFormat="1" ht="13.5" customHeight="1">
      <c r="A29" s="964" t="s">
        <v>803</v>
      </c>
      <c r="B29" s="987" t="s">
        <v>2511</v>
      </c>
      <c r="C29" s="321">
        <f ca="1">ROUND((1+C24)*F28*'数据-取费表'!B24/'数据-取费表'!B20,4)</f>
        <v>2.6100000000000002E-2</v>
      </c>
      <c r="D29" s="321"/>
      <c r="E29" s="322"/>
      <c r="F29" s="327"/>
      <c r="G29" s="133" t="s">
        <v>2512</v>
      </c>
      <c r="H29" s="972"/>
      <c r="I29" s="972"/>
      <c r="J29" s="972"/>
      <c r="K29" s="973"/>
    </row>
    <row r="30" spans="1:33" s="328" customFormat="1" ht="13.5" customHeight="1">
      <c r="A30" s="964" t="s">
        <v>804</v>
      </c>
      <c r="B30" s="987" t="s">
        <v>2513</v>
      </c>
      <c r="C30" s="329">
        <f ca="1">ROUND((C21+C22+C23)*F28,0)</f>
        <v>2356</v>
      </c>
      <c r="D30" s="321"/>
      <c r="E30" s="322"/>
      <c r="F30" s="327"/>
      <c r="G30" s="133"/>
      <c r="H30" s="972"/>
      <c r="I30" s="972"/>
      <c r="J30" s="972"/>
      <c r="K30" s="973"/>
    </row>
    <row r="31" spans="1:33" s="968" customFormat="1" ht="13.5" customHeight="1" thickBot="1">
      <c r="A31" s="2551" t="s">
        <v>2514</v>
      </c>
      <c r="B31" s="998" t="s">
        <v>2515</v>
      </c>
      <c r="C31" s="999">
        <f ca="1">ROUND(C4*F31/(1+'数据-取费表'!C42),0)</f>
        <v>13788</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218328</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2686</v>
      </c>
      <c r="C1" s="1612" t="s">
        <v>2530</v>
      </c>
      <c r="D1" s="1613" t="s">
        <v>3462</v>
      </c>
      <c r="E1" s="1622"/>
      <c r="F1" s="2575" t="s">
        <v>3546</v>
      </c>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f>IF(C2="——",ROUND(C50*D3/10000,0),ROUND(C50*D3/10000,0)-D2)</f>
        <v>219622</v>
      </c>
      <c r="C2" s="2577" t="s">
        <v>70</v>
      </c>
      <c r="D2" s="1358"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28931</v>
      </c>
      <c r="C3" s="393" t="s">
        <v>2644</v>
      </c>
      <c r="D3" s="392">
        <f>IF(D1="",'数据-汇总表'!E3,SUMIF('数据-汇总表'!$C19:$C33,D1,'数据-汇总表'!$E19:$E33))</f>
        <v>75912.28</v>
      </c>
      <c r="E3" s="2654"/>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55" t="s">
        <v>2651</v>
      </c>
      <c r="Q4" s="3256"/>
      <c r="R4" s="3259" t="s">
        <v>2647</v>
      </c>
      <c r="S4" s="3260"/>
      <c r="T4" s="3259" t="s">
        <v>2648</v>
      </c>
      <c r="U4" s="3260"/>
      <c r="V4" s="3261" t="s">
        <v>2649</v>
      </c>
      <c r="W4" s="3261"/>
      <c r="X4" s="2661"/>
      <c r="Y4" s="3259" t="s">
        <v>2651</v>
      </c>
      <c r="Z4" s="3260"/>
      <c r="AA4" s="3264" t="s">
        <v>2647</v>
      </c>
      <c r="AB4" s="3264" t="s">
        <v>2648</v>
      </c>
      <c r="AC4" s="3252" t="s">
        <v>2649</v>
      </c>
    </row>
    <row r="5" spans="1:29" ht="15">
      <c r="A5" s="397"/>
      <c r="B5" s="398"/>
      <c r="C5" s="3233" t="s">
        <v>2542</v>
      </c>
      <c r="D5" s="3234"/>
      <c r="E5" s="3265" t="s">
        <v>3506</v>
      </c>
      <c r="F5" s="3241"/>
      <c r="G5" s="3262" t="s">
        <v>3520</v>
      </c>
      <c r="H5" s="3234"/>
      <c r="I5" s="3262" t="s">
        <v>3527</v>
      </c>
      <c r="J5" s="3234"/>
      <c r="K5" s="603"/>
      <c r="L5" s="1123"/>
      <c r="M5" s="1124"/>
      <c r="N5" s="1124"/>
      <c r="O5" s="1124"/>
      <c r="P5" s="3257"/>
      <c r="Q5" s="3222"/>
      <c r="R5" s="3227"/>
      <c r="S5" s="3228"/>
      <c r="T5" s="3227"/>
      <c r="U5" s="3228"/>
      <c r="V5" s="3212"/>
      <c r="W5" s="3212"/>
      <c r="X5" s="1805"/>
      <c r="Y5" s="3227"/>
      <c r="Z5" s="3228"/>
      <c r="AA5" s="3214"/>
      <c r="AB5" s="3214"/>
      <c r="AC5" s="3253"/>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58"/>
      <c r="Q6" s="3224"/>
      <c r="R6" s="3227"/>
      <c r="S6" s="3228"/>
      <c r="T6" s="3229"/>
      <c r="U6" s="3230"/>
      <c r="V6" s="3212"/>
      <c r="W6" s="3212"/>
      <c r="X6" s="1805"/>
      <c r="Y6" s="3229"/>
      <c r="Z6" s="3230"/>
      <c r="AA6" s="3215"/>
      <c r="AB6" s="3215"/>
      <c r="AC6" s="3254"/>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63"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2662">
        <f>D7/J7</f>
        <v>1</v>
      </c>
    </row>
    <row r="8" spans="1:29" s="111" customFormat="1" ht="15.75" thickBot="1">
      <c r="A8" s="401" t="s">
        <v>2550</v>
      </c>
      <c r="B8" s="402"/>
      <c r="C8" s="407" t="s">
        <v>2652</v>
      </c>
      <c r="D8" s="404">
        <v>100</v>
      </c>
      <c r="E8" s="2935" t="s">
        <v>3507</v>
      </c>
      <c r="F8" s="406">
        <f>SUMIF(62:62,E8,63:63)-SUMIF(62:62,C8,63:63)+100</f>
        <v>100</v>
      </c>
      <c r="G8" s="2935" t="s">
        <v>3507</v>
      </c>
      <c r="H8" s="404">
        <f>SUMIF(62:62,G8,63:63)-SUMIF(62:62,C8,63:63)+100</f>
        <v>100</v>
      </c>
      <c r="I8" s="2935" t="s">
        <v>3507</v>
      </c>
      <c r="J8" s="404">
        <f>SUMIF(62:62,I8,63:63)-SUMIF(62:62,C8,63:63)+100</f>
        <v>100</v>
      </c>
      <c r="K8" s="604"/>
      <c r="L8" s="1125"/>
      <c r="M8" s="1126"/>
      <c r="N8" s="1126"/>
      <c r="O8" s="1126"/>
      <c r="P8" s="3263" t="s">
        <v>2552</v>
      </c>
      <c r="Q8" s="3236"/>
      <c r="R8" s="763" t="s">
        <v>17</v>
      </c>
      <c r="S8" s="764">
        <f t="shared" si="0"/>
        <v>100</v>
      </c>
      <c r="T8" s="763" t="s">
        <v>17</v>
      </c>
      <c r="U8" s="764">
        <f t="shared" si="1"/>
        <v>100</v>
      </c>
      <c r="V8" s="763" t="s">
        <v>17</v>
      </c>
      <c r="W8" s="764">
        <f t="shared" si="2"/>
        <v>100</v>
      </c>
      <c r="X8" s="765"/>
      <c r="Y8" s="3235" t="s">
        <v>2552</v>
      </c>
      <c r="Z8" s="3236"/>
      <c r="AA8" s="766">
        <f t="shared" ref="AA8:AA47" si="3">D8/F8</f>
        <v>1</v>
      </c>
      <c r="AB8" s="766">
        <f t="shared" ref="AB8:AB47" si="4">D8/H8</f>
        <v>1</v>
      </c>
      <c r="AC8" s="2662">
        <f t="shared" ref="AC8:AC47" si="5">D8/J8</f>
        <v>1</v>
      </c>
    </row>
    <row r="9" spans="1:29" s="111" customFormat="1">
      <c r="A9" s="408" t="s">
        <v>2553</v>
      </c>
      <c r="B9" s="69" t="s">
        <v>2554</v>
      </c>
      <c r="C9" s="2976" t="s">
        <v>3496</v>
      </c>
      <c r="D9" s="128">
        <v>100</v>
      </c>
      <c r="E9" s="2979" t="s">
        <v>3496</v>
      </c>
      <c r="F9" s="128">
        <f>SUMIF(64:64,E9,65:65)-SUMIF(64:64,C9,65:65)+100</f>
        <v>100</v>
      </c>
      <c r="G9" s="2981" t="s">
        <v>3496</v>
      </c>
      <c r="H9" s="128">
        <f>SUMIF(64:64,G9,65:65)-SUMIF(64:64,C9,65:65)+100</f>
        <v>100</v>
      </c>
      <c r="I9" s="2981" t="s">
        <v>3496</v>
      </c>
      <c r="J9" s="128">
        <f>SUMIF(64:64,I9,65:65)-SUMIF(64:64,C9,65:65)+100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2662">
        <f t="shared" si="5"/>
        <v>1</v>
      </c>
    </row>
    <row r="10" spans="1:29" s="420" customFormat="1" ht="27">
      <c r="A10" s="414"/>
      <c r="B10" s="415" t="s">
        <v>2557</v>
      </c>
      <c r="C10" s="416" t="s">
        <v>3497</v>
      </c>
      <c r="D10" s="129">
        <v>100</v>
      </c>
      <c r="E10" s="416" t="s">
        <v>3497</v>
      </c>
      <c r="F10" s="129">
        <f>SUMIF(66:66,E10,67:67)-SUMIF(66:66,C10,67:67)+100</f>
        <v>100</v>
      </c>
      <c r="G10" s="417" t="s">
        <v>3497</v>
      </c>
      <c r="H10" s="129">
        <f>SUMIF(66:66,G10,67:67)-SUMIF(66:66,C10,67:67)+100</f>
        <v>100</v>
      </c>
      <c r="I10" s="416" t="s">
        <v>3497</v>
      </c>
      <c r="J10" s="129">
        <f>SUMIF(66:66,I10,67:67)-SUMIF(66:66,C10,67:67)+100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2662">
        <f t="shared" si="5"/>
        <v>1</v>
      </c>
    </row>
    <row r="11" spans="1:29" ht="15">
      <c r="A11" s="421"/>
      <c r="B11" s="415" t="s">
        <v>2558</v>
      </c>
      <c r="C11" s="422">
        <f>'数据-汇总表'!I6</f>
        <v>2.48</v>
      </c>
      <c r="D11" s="129">
        <v>100</v>
      </c>
      <c r="E11" s="422">
        <v>2.8</v>
      </c>
      <c r="F11" s="129">
        <f>LOOKUP(E11,69:69,70:70)-LOOKUP(C11,69:69,70:70)+100</f>
        <v>100</v>
      </c>
      <c r="G11" s="423">
        <v>2.54</v>
      </c>
      <c r="H11" s="129">
        <f>LOOKUP(G11,69:69,70:70)-LOOKUP(C11,69:69,70:70)+100</f>
        <v>100</v>
      </c>
      <c r="I11" s="422">
        <v>2.2999999999999998</v>
      </c>
      <c r="J11" s="129">
        <f>LOOKUP(I11,69:69,70:70)-LOOKUP(C11,69:69,70:70)+100</f>
        <v>100</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100</v>
      </c>
      <c r="X11" s="765"/>
      <c r="Y11" s="3053"/>
      <c r="Z11" s="55" t="str">
        <f t="shared" si="7"/>
        <v>容积率</v>
      </c>
      <c r="AA11" s="766">
        <f t="shared" si="3"/>
        <v>1</v>
      </c>
      <c r="AB11" s="766">
        <f t="shared" si="4"/>
        <v>1</v>
      </c>
      <c r="AC11" s="2662">
        <f t="shared" si="5"/>
        <v>1</v>
      </c>
    </row>
    <row r="12" spans="1:29" s="111" customFormat="1" ht="15">
      <c r="A12" s="424"/>
      <c r="B12" s="2591">
        <v>111</v>
      </c>
      <c r="C12" s="425"/>
      <c r="D12" s="426">
        <v>100</v>
      </c>
      <c r="E12" s="425"/>
      <c r="F12" s="129">
        <f>SUMIF(71:71,E12,72:72)-SUMIF(71:71,C12,72:72)+100</f>
        <v>100</v>
      </c>
      <c r="G12" s="2663"/>
      <c r="H12" s="129">
        <f>SUMIF(71:71,G12,72:72)-SUMIF(71:71,C12,72:72)+100</f>
        <v>100</v>
      </c>
      <c r="I12" s="425"/>
      <c r="J12" s="129">
        <f>SUMIF(71:71,I12,72:72)-SUMIF(71:71,C12,72:72)+100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2662">
        <f>D12/J12</f>
        <v>1</v>
      </c>
    </row>
    <row r="13" spans="1:29" ht="15">
      <c r="A13" s="421"/>
      <c r="B13" s="2591">
        <v>111</v>
      </c>
      <c r="C13" s="427"/>
      <c r="D13" s="428">
        <v>100</v>
      </c>
      <c r="E13" s="425"/>
      <c r="F13" s="129">
        <f>SUMIF(73:73,E13,74:74)-SUMIF(73:73,C13,74:74)+100</f>
        <v>100</v>
      </c>
      <c r="G13" s="2663"/>
      <c r="H13" s="428">
        <f>SUMIF(73:73,G13,74:74)-SUMIF(73:73,C13,74:74)+100</f>
        <v>100</v>
      </c>
      <c r="I13" s="425"/>
      <c r="J13" s="428">
        <f>SUMIF(73:73,I13,74:74)-SUMIF(73:73,C13,74:74)+100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2662">
        <f t="shared" si="5"/>
        <v>1</v>
      </c>
    </row>
    <row r="14" spans="1:29" ht="15.75" thickBot="1">
      <c r="A14" s="429"/>
      <c r="B14" s="2593">
        <v>111</v>
      </c>
      <c r="C14" s="430"/>
      <c r="D14" s="431">
        <v>100</v>
      </c>
      <c r="E14" s="621"/>
      <c r="F14" s="431">
        <f>SUMIF(75:75,E14,76:76)-SUMIF(75:75,C14,76:76)+100</f>
        <v>100</v>
      </c>
      <c r="G14" s="2663"/>
      <c r="H14" s="431">
        <f>SUMIF(75:75,G14,76:76)-SUMIF(75:75,C14,76:76)+100</f>
        <v>100</v>
      </c>
      <c r="I14" s="425"/>
      <c r="J14" s="431">
        <f>SUMIF(75:75,I14,76:76)-SUMIF(75:75,C14,76:76)+100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2662">
        <f t="shared" si="5"/>
        <v>1</v>
      </c>
    </row>
    <row r="15" spans="1:29" ht="85.5">
      <c r="A15" s="433" t="s">
        <v>2559</v>
      </c>
      <c r="B15" s="622" t="s">
        <v>2687</v>
      </c>
      <c r="C15" s="2664"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46" t="s">
        <v>2560</v>
      </c>
      <c r="Q15" s="1802" t="str">
        <f t="shared" si="6"/>
        <v>办公集聚程度</v>
      </c>
      <c r="R15" s="767" t="s">
        <v>17</v>
      </c>
      <c r="S15" s="768">
        <f t="shared" si="0"/>
        <v>100</v>
      </c>
      <c r="T15" s="767" t="s">
        <v>17</v>
      </c>
      <c r="U15" s="768">
        <f t="shared" si="1"/>
        <v>100</v>
      </c>
      <c r="V15" s="767" t="s">
        <v>17</v>
      </c>
      <c r="W15" s="768">
        <f t="shared" si="2"/>
        <v>100</v>
      </c>
      <c r="X15" s="1805"/>
      <c r="Y15" s="3208" t="s">
        <v>2560</v>
      </c>
      <c r="Z15" s="1806" t="str">
        <f t="shared" si="7"/>
        <v>办公集聚程度</v>
      </c>
      <c r="AA15" s="1803">
        <f t="shared" si="3"/>
        <v>1</v>
      </c>
      <c r="AB15" s="1803">
        <f t="shared" si="4"/>
        <v>1</v>
      </c>
      <c r="AC15" s="2665">
        <f t="shared" si="5"/>
        <v>1</v>
      </c>
    </row>
    <row r="16" spans="1:29" ht="15">
      <c r="A16" s="421"/>
      <c r="B16" s="623"/>
      <c r="C16" s="2602" t="s">
        <v>3154</v>
      </c>
      <c r="D16" s="441"/>
      <c r="E16" s="440" t="s">
        <v>3154</v>
      </c>
      <c r="F16" s="441"/>
      <c r="G16" s="2602" t="s">
        <v>3154</v>
      </c>
      <c r="H16" s="443"/>
      <c r="I16" s="440" t="s">
        <v>3154</v>
      </c>
      <c r="J16" s="441"/>
      <c r="K16" s="608"/>
      <c r="L16" s="1133"/>
      <c r="M16" s="1124"/>
      <c r="N16" s="1124"/>
      <c r="O16" s="1124"/>
      <c r="P16" s="3247"/>
      <c r="Q16" s="1802"/>
      <c r="R16" s="767"/>
      <c r="S16" s="768"/>
      <c r="T16" s="767"/>
      <c r="U16" s="768"/>
      <c r="V16" s="767"/>
      <c r="W16" s="768"/>
      <c r="X16" s="1805"/>
      <c r="Y16" s="3209"/>
      <c r="Z16" s="1806"/>
      <c r="AA16" s="1803">
        <v>1</v>
      </c>
      <c r="AB16" s="1803">
        <v>1</v>
      </c>
      <c r="AC16" s="2665">
        <v>1</v>
      </c>
    </row>
    <row r="17" spans="1:29" ht="114">
      <c r="A17" s="421"/>
      <c r="B17" s="624" t="s">
        <v>2099</v>
      </c>
      <c r="C17" s="2666"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47"/>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2665">
        <f t="shared" si="5"/>
        <v>1</v>
      </c>
    </row>
    <row r="18" spans="1:29" ht="15">
      <c r="A18" s="421"/>
      <c r="B18" s="625"/>
      <c r="C18" s="2667" t="s">
        <v>3155</v>
      </c>
      <c r="D18" s="443"/>
      <c r="E18" s="2600" t="s">
        <v>3155</v>
      </c>
      <c r="F18" s="443"/>
      <c r="G18" s="2601" t="s">
        <v>3155</v>
      </c>
      <c r="H18" s="441"/>
      <c r="I18" s="2601" t="s">
        <v>3155</v>
      </c>
      <c r="J18" s="441"/>
      <c r="K18" s="608"/>
      <c r="L18" s="1133"/>
      <c r="M18" s="1124"/>
      <c r="N18" s="1124"/>
      <c r="O18" s="1124"/>
      <c r="P18" s="3247"/>
      <c r="Q18" s="1802"/>
      <c r="R18" s="767"/>
      <c r="S18" s="768"/>
      <c r="T18" s="767"/>
      <c r="U18" s="768"/>
      <c r="V18" s="767"/>
      <c r="W18" s="768"/>
      <c r="X18" s="1805"/>
      <c r="Y18" s="3209"/>
      <c r="Z18" s="1806"/>
      <c r="AA18" s="1803">
        <v>1</v>
      </c>
      <c r="AB18" s="1803">
        <v>1</v>
      </c>
      <c r="AC18" s="2665">
        <v>1</v>
      </c>
    </row>
    <row r="19" spans="1:29" ht="71.25" customHeight="1">
      <c r="A19" s="421"/>
      <c r="B19" s="624" t="s">
        <v>2688</v>
      </c>
      <c r="C19" s="2666" t="str">
        <f>估价对象房地状况!C7</f>
        <v>估价对象所在区域公共配套设施齐备情况较好，有邮储银行、华联超市</v>
      </c>
      <c r="D19" s="448">
        <v>100</v>
      </c>
      <c r="E19" s="2980" t="s">
        <v>3509</v>
      </c>
      <c r="F19" s="448">
        <f>SUMIF(81:81,E20,82:82)-SUMIF(81:81,C20,82:82)+100</f>
        <v>105</v>
      </c>
      <c r="G19" s="2982" t="s">
        <v>3521</v>
      </c>
      <c r="H19" s="443">
        <f>SUMIF(81:81,G20,82:82)-SUMIF(81:81,C20,82:82)+100</f>
        <v>105</v>
      </c>
      <c r="I19" s="2982" t="s">
        <v>3530</v>
      </c>
      <c r="J19" s="443">
        <f>SUMIF(81:81,I20,82:82)-SUMIF(81:81,C20,82:82)+100</f>
        <v>95</v>
      </c>
      <c r="K19" s="607">
        <v>5</v>
      </c>
      <c r="L19" s="1133"/>
      <c r="M19" s="1124"/>
      <c r="N19" s="1124"/>
      <c r="O19" s="1124"/>
      <c r="P19" s="3247"/>
      <c r="Q19" s="1802" t="str">
        <f>B19</f>
        <v>公共配套设施</v>
      </c>
      <c r="R19" s="767" t="s">
        <v>17</v>
      </c>
      <c r="S19" s="768">
        <f>F19</f>
        <v>105</v>
      </c>
      <c r="T19" s="767" t="s">
        <v>17</v>
      </c>
      <c r="U19" s="768">
        <f>H19</f>
        <v>105</v>
      </c>
      <c r="V19" s="767" t="s">
        <v>17</v>
      </c>
      <c r="W19" s="768">
        <f>J19</f>
        <v>95</v>
      </c>
      <c r="X19" s="1805"/>
      <c r="Y19" s="3209"/>
      <c r="Z19" s="1806" t="str">
        <f>Q19</f>
        <v>公共配套设施</v>
      </c>
      <c r="AA19" s="1803">
        <f t="shared" si="3"/>
        <v>0.95238095238095233</v>
      </c>
      <c r="AB19" s="1803">
        <f t="shared" si="4"/>
        <v>0.95238095238095233</v>
      </c>
      <c r="AC19" s="2665">
        <f t="shared" si="5"/>
        <v>1.0526315789473684</v>
      </c>
    </row>
    <row r="20" spans="1:29" ht="15">
      <c r="A20" s="421"/>
      <c r="B20" s="625"/>
      <c r="C20" s="2602" t="s">
        <v>3155</v>
      </c>
      <c r="D20" s="441"/>
      <c r="E20" s="2595" t="s">
        <v>3508</v>
      </c>
      <c r="F20" s="441"/>
      <c r="G20" s="2596" t="s">
        <v>3508</v>
      </c>
      <c r="H20" s="441"/>
      <c r="I20" s="2596" t="s">
        <v>3154</v>
      </c>
      <c r="J20" s="441"/>
      <c r="K20" s="608"/>
      <c r="L20" s="1133"/>
      <c r="M20" s="1124"/>
      <c r="N20" s="1124"/>
      <c r="O20" s="1124"/>
      <c r="P20" s="3247"/>
      <c r="Q20" s="1802"/>
      <c r="R20" s="767"/>
      <c r="S20" s="768"/>
      <c r="T20" s="767"/>
      <c r="U20" s="768"/>
      <c r="V20" s="767"/>
      <c r="W20" s="768"/>
      <c r="X20" s="1805"/>
      <c r="Y20" s="3209"/>
      <c r="Z20" s="1806"/>
      <c r="AA20" s="1803">
        <v>1</v>
      </c>
      <c r="AB20" s="1803">
        <v>1</v>
      </c>
      <c r="AC20" s="2665">
        <v>1</v>
      </c>
    </row>
    <row r="21" spans="1:29" ht="42.75">
      <c r="A21" s="421"/>
      <c r="B21" s="626" t="s">
        <v>2689</v>
      </c>
      <c r="C21" s="2666"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2665">
        <f t="shared" ref="AC21" si="10">D21/J21</f>
        <v>1</v>
      </c>
    </row>
    <row r="22" spans="1:29" ht="15">
      <c r="A22" s="421"/>
      <c r="B22" s="626"/>
      <c r="C22" s="2667" t="s">
        <v>3157</v>
      </c>
      <c r="D22" s="441"/>
      <c r="E22" s="440" t="s">
        <v>3157</v>
      </c>
      <c r="F22" s="441"/>
      <c r="G22" s="2943" t="s">
        <v>3528</v>
      </c>
      <c r="H22" s="441"/>
      <c r="I22" s="2943" t="s">
        <v>3528</v>
      </c>
      <c r="J22" s="441"/>
      <c r="K22" s="1376"/>
      <c r="L22" s="1133"/>
      <c r="M22" s="1124"/>
      <c r="N22" s="1124"/>
      <c r="O22" s="1124"/>
      <c r="P22" s="3247"/>
      <c r="Q22" s="1802"/>
      <c r="R22" s="767"/>
      <c r="S22" s="768"/>
      <c r="T22" s="767"/>
      <c r="U22" s="768"/>
      <c r="V22" s="767"/>
      <c r="W22" s="768"/>
      <c r="X22" s="1805"/>
      <c r="Y22" s="3209"/>
      <c r="Z22" s="1806"/>
      <c r="AA22" s="1803">
        <v>1</v>
      </c>
      <c r="AB22" s="1803">
        <v>1</v>
      </c>
      <c r="AC22" s="2665">
        <v>1</v>
      </c>
    </row>
    <row r="23" spans="1:29" ht="114">
      <c r="A23" s="421"/>
      <c r="B23" s="624" t="s">
        <v>2690</v>
      </c>
      <c r="C23" s="2666" t="str">
        <f>估价对象房地状况!C9</f>
        <v>区域自然环境：2公里内绿化条件较好，无污染，无公园等景观；人文环境：2公里内无图书馆、剧院等设施；综合评价环境状况较差</v>
      </c>
      <c r="D23" s="443">
        <v>100</v>
      </c>
      <c r="E23" s="2951" t="s">
        <v>3510</v>
      </c>
      <c r="F23" s="443">
        <f>SUMIF(85:85,E24,86:86)-SUMIF(85:85,C24,86:86)+100</f>
        <v>110</v>
      </c>
      <c r="G23" s="2942" t="s">
        <v>3522</v>
      </c>
      <c r="H23" s="443">
        <f>SUMIF(85:85,G24,86:86)-SUMIF(85:85,C24,86:86)+100</f>
        <v>110</v>
      </c>
      <c r="I23" s="2942" t="s">
        <v>3529</v>
      </c>
      <c r="J23" s="443">
        <f>SUMIF(85:85,I24,86:86)-SUMIF(85:85,C24,86:86)+100</f>
        <v>110</v>
      </c>
      <c r="K23" s="607">
        <v>5</v>
      </c>
      <c r="L23" s="1133"/>
      <c r="M23" s="1124"/>
      <c r="N23" s="1124"/>
      <c r="O23" s="1124"/>
      <c r="P23" s="3247"/>
      <c r="Q23" s="1802" t="str">
        <f>B23</f>
        <v>环境质量</v>
      </c>
      <c r="R23" s="767" t="s">
        <v>17</v>
      </c>
      <c r="S23" s="768">
        <f>F23</f>
        <v>110</v>
      </c>
      <c r="T23" s="767" t="s">
        <v>17</v>
      </c>
      <c r="U23" s="768">
        <f>H23</f>
        <v>110</v>
      </c>
      <c r="V23" s="767" t="s">
        <v>17</v>
      </c>
      <c r="W23" s="768">
        <f>J23</f>
        <v>110</v>
      </c>
      <c r="X23" s="1805"/>
      <c r="Y23" s="3209"/>
      <c r="Z23" s="1806" t="str">
        <f>Q23</f>
        <v>环境质量</v>
      </c>
      <c r="AA23" s="1803">
        <f t="shared" si="3"/>
        <v>0.90909090909090906</v>
      </c>
      <c r="AB23" s="1803">
        <f t="shared" si="4"/>
        <v>0.90909090909090906</v>
      </c>
      <c r="AC23" s="2665">
        <f t="shared" si="5"/>
        <v>0.90909090909090906</v>
      </c>
    </row>
    <row r="24" spans="1:29" ht="15">
      <c r="A24" s="421"/>
      <c r="B24" s="626"/>
      <c r="C24" s="2602" t="s">
        <v>3156</v>
      </c>
      <c r="D24" s="441"/>
      <c r="E24" s="2595" t="s">
        <v>3155</v>
      </c>
      <c r="F24" s="441"/>
      <c r="G24" s="2596" t="s">
        <v>3155</v>
      </c>
      <c r="H24" s="441"/>
      <c r="I24" s="2596" t="s">
        <v>3155</v>
      </c>
      <c r="J24" s="441"/>
      <c r="K24" s="608"/>
      <c r="L24" s="1133"/>
      <c r="M24" s="1124"/>
      <c r="N24" s="1124"/>
      <c r="O24" s="1124"/>
      <c r="P24" s="3247"/>
      <c r="Q24" s="1802"/>
      <c r="R24" s="767"/>
      <c r="S24" s="768"/>
      <c r="T24" s="767"/>
      <c r="U24" s="768"/>
      <c r="V24" s="767"/>
      <c r="W24" s="768"/>
      <c r="X24" s="1805"/>
      <c r="Y24" s="3209"/>
      <c r="Z24" s="1806"/>
      <c r="AA24" s="1803">
        <v>1</v>
      </c>
      <c r="AB24" s="1803">
        <v>1</v>
      </c>
      <c r="AC24" s="2665">
        <v>1</v>
      </c>
    </row>
    <row r="25" spans="1:29" ht="28.5" thickBot="1">
      <c r="A25" s="397"/>
      <c r="B25" s="624" t="s">
        <v>2691</v>
      </c>
      <c r="C25" s="2371" t="s">
        <v>3150</v>
      </c>
      <c r="D25" s="428">
        <v>100</v>
      </c>
      <c r="E25" s="427" t="s">
        <v>3511</v>
      </c>
      <c r="F25" s="428">
        <f>SUMIF(87:87,E26,88:88)-SUMIF(87:87,C26,88:88)+100</f>
        <v>103</v>
      </c>
      <c r="G25" s="2606" t="s">
        <v>3523</v>
      </c>
      <c r="H25" s="428">
        <f>SUMIF(87:87,G26,88:88)-SUMIF(87:87,C26,88:88)+100</f>
        <v>103</v>
      </c>
      <c r="I25" s="2945" t="s">
        <v>3531</v>
      </c>
      <c r="J25" s="428">
        <f>SUMIF(87:87,I26,88:88)-SUMIF(87:87,C26,88:88)+100</f>
        <v>100</v>
      </c>
      <c r="K25" s="607">
        <v>3</v>
      </c>
      <c r="L25" s="1133"/>
      <c r="M25" s="1124"/>
      <c r="N25" s="1124"/>
      <c r="O25" s="1124"/>
      <c r="P25" s="3247"/>
      <c r="Q25" s="1802" t="str">
        <f>B25</f>
        <v>毗邻道路的类型与等级</v>
      </c>
      <c r="R25" s="767" t="s">
        <v>17</v>
      </c>
      <c r="S25" s="768">
        <f>F25</f>
        <v>103</v>
      </c>
      <c r="T25" s="767" t="s">
        <v>17</v>
      </c>
      <c r="U25" s="768">
        <f>H25</f>
        <v>103</v>
      </c>
      <c r="V25" s="767" t="s">
        <v>17</v>
      </c>
      <c r="W25" s="768">
        <f>J25</f>
        <v>100</v>
      </c>
      <c r="X25" s="1805"/>
      <c r="Y25" s="3209"/>
      <c r="Z25" s="1806" t="str">
        <f>Q25</f>
        <v>毗邻道路的类型与等级</v>
      </c>
      <c r="AA25" s="1803">
        <f t="shared" si="3"/>
        <v>0.970873786407767</v>
      </c>
      <c r="AB25" s="1803">
        <f t="shared" si="4"/>
        <v>0.970873786407767</v>
      </c>
      <c r="AC25" s="2665">
        <f t="shared" si="5"/>
        <v>1</v>
      </c>
    </row>
    <row r="26" spans="1:29" ht="15">
      <c r="A26" s="397"/>
      <c r="B26" s="625"/>
      <c r="C26" s="2944" t="s">
        <v>3512</v>
      </c>
      <c r="D26" s="428"/>
      <c r="E26" s="2938" t="s">
        <v>3513</v>
      </c>
      <c r="F26" s="428"/>
      <c r="G26" s="2944" t="s">
        <v>3524</v>
      </c>
      <c r="H26" s="428"/>
      <c r="I26" s="2938" t="s">
        <v>3531</v>
      </c>
      <c r="J26" s="428"/>
      <c r="K26" s="608"/>
      <c r="L26" s="1133"/>
      <c r="M26" s="1124"/>
      <c r="N26" s="1124"/>
      <c r="O26" s="1124"/>
      <c r="P26" s="3247"/>
      <c r="Q26" s="1802"/>
      <c r="R26" s="767"/>
      <c r="S26" s="768"/>
      <c r="T26" s="767"/>
      <c r="U26" s="768"/>
      <c r="V26" s="767"/>
      <c r="W26" s="768"/>
      <c r="X26" s="1805"/>
      <c r="Y26" s="3209"/>
      <c r="Z26" s="1806"/>
      <c r="AA26" s="1803">
        <v>1</v>
      </c>
      <c r="AB26" s="1803">
        <v>1</v>
      </c>
      <c r="AC26" s="2665">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47"/>
      <c r="Q27" s="1802" t="str">
        <f t="shared" ref="Q27:Q47" si="11">B27</f>
        <v>楼层</v>
      </c>
      <c r="R27" s="767" t="s">
        <v>17</v>
      </c>
      <c r="S27" s="768">
        <f>F27</f>
        <v>100</v>
      </c>
      <c r="T27" s="767" t="s">
        <v>17</v>
      </c>
      <c r="U27" s="768">
        <f>H27</f>
        <v>100</v>
      </c>
      <c r="V27" s="767" t="s">
        <v>17</v>
      </c>
      <c r="W27" s="768">
        <f>J27</f>
        <v>100</v>
      </c>
      <c r="X27" s="1805"/>
      <c r="Y27" s="3209"/>
      <c r="Z27" s="1806" t="str">
        <f>Q27</f>
        <v>楼层</v>
      </c>
      <c r="AA27" s="1803">
        <f t="shared" si="3"/>
        <v>1</v>
      </c>
      <c r="AB27" s="1803">
        <f t="shared" si="4"/>
        <v>1</v>
      </c>
      <c r="AC27" s="2665">
        <f t="shared" si="5"/>
        <v>1</v>
      </c>
    </row>
    <row r="28" spans="1:29" s="111" customFormat="1" ht="15">
      <c r="A28" s="424"/>
      <c r="B28" s="624" t="s">
        <v>2692</v>
      </c>
      <c r="C28" s="2668"/>
      <c r="D28" s="455">
        <v>100</v>
      </c>
      <c r="E28" s="2656"/>
      <c r="F28" s="455">
        <f>SUMIF(91:91,E28,92:92)-SUMIF(91:91,C28,92:92)+100</f>
        <v>100</v>
      </c>
      <c r="G28" s="2668"/>
      <c r="H28" s="455">
        <f>SUMIF(91:91,G28,92:92)-SUMIF(91:91,C28,92:92)+100</f>
        <v>100</v>
      </c>
      <c r="I28" s="2656"/>
      <c r="J28" s="455">
        <f>SUMIF(91:91,I28,92:92)-SUMIF(91:91,C28,92:92)+100</f>
        <v>100</v>
      </c>
      <c r="K28" s="605"/>
      <c r="L28" s="1125"/>
      <c r="M28" s="1126"/>
      <c r="N28" s="1126"/>
      <c r="O28" s="1126"/>
      <c r="P28" s="3247"/>
      <c r="Q28" s="1787" t="str">
        <f t="shared" si="11"/>
        <v>朝向</v>
      </c>
      <c r="R28" s="763" t="s">
        <v>17</v>
      </c>
      <c r="S28" s="764">
        <f>F28</f>
        <v>100</v>
      </c>
      <c r="T28" s="763" t="s">
        <v>17</v>
      </c>
      <c r="U28" s="764">
        <f>H28</f>
        <v>100</v>
      </c>
      <c r="V28" s="763" t="s">
        <v>17</v>
      </c>
      <c r="W28" s="764">
        <f>J28</f>
        <v>100</v>
      </c>
      <c r="X28" s="765"/>
      <c r="Y28" s="3209"/>
      <c r="Z28" s="55" t="str">
        <f>Q28</f>
        <v>朝向</v>
      </c>
      <c r="AA28" s="1803">
        <f>D28/F28</f>
        <v>1</v>
      </c>
      <c r="AB28" s="1803">
        <f>D28/H28</f>
        <v>1</v>
      </c>
      <c r="AC28" s="2665">
        <f>D28/J28</f>
        <v>1</v>
      </c>
    </row>
    <row r="29" spans="1:29" ht="15">
      <c r="A29" s="421"/>
      <c r="B29" s="2669">
        <v>111</v>
      </c>
      <c r="C29" s="2606"/>
      <c r="D29" s="428">
        <v>100</v>
      </c>
      <c r="E29" s="425"/>
      <c r="F29" s="428">
        <f>SUMIF(93:93,E29,94:94)-SUMIF(93:93,C29,94:94)+100</f>
        <v>100</v>
      </c>
      <c r="G29" s="2663"/>
      <c r="H29" s="428">
        <f>SUMIF(93:93,G29,94:94)-SUMIF(93:93,C29,94:94)+100</f>
        <v>100</v>
      </c>
      <c r="I29" s="425"/>
      <c r="J29" s="428">
        <f>SUMIF(93:93,I29,94:94)-SUMIF(93:93,C29,94:94)+100</f>
        <v>100</v>
      </c>
      <c r="K29" s="606"/>
      <c r="L29" s="1133"/>
      <c r="M29" s="1124"/>
      <c r="N29" s="1124"/>
      <c r="O29" s="1124"/>
      <c r="P29" s="3247"/>
      <c r="Q29" s="1802">
        <f t="shared" si="11"/>
        <v>111</v>
      </c>
      <c r="R29" s="767" t="s">
        <v>17</v>
      </c>
      <c r="S29" s="768">
        <f t="shared" ref="S29:S47" si="12">F29</f>
        <v>100</v>
      </c>
      <c r="T29" s="767" t="s">
        <v>17</v>
      </c>
      <c r="U29" s="768">
        <f t="shared" ref="U29:U47" si="13">H29</f>
        <v>100</v>
      </c>
      <c r="V29" s="767" t="s">
        <v>17</v>
      </c>
      <c r="W29" s="768">
        <f t="shared" ref="W29:W47" si="14">J29</f>
        <v>100</v>
      </c>
      <c r="X29" s="1805"/>
      <c r="Y29" s="3209"/>
      <c r="Z29" s="1806">
        <f t="shared" ref="Z29:Z47" si="15">Q29</f>
        <v>111</v>
      </c>
      <c r="AA29" s="1803">
        <f t="shared" si="3"/>
        <v>1</v>
      </c>
      <c r="AB29" s="1803">
        <f t="shared" si="4"/>
        <v>1</v>
      </c>
      <c r="AC29" s="2665">
        <f t="shared" si="5"/>
        <v>1</v>
      </c>
    </row>
    <row r="30" spans="1:29" ht="15">
      <c r="A30" s="421"/>
      <c r="B30" s="2669">
        <v>111</v>
      </c>
      <c r="C30" s="2606"/>
      <c r="D30" s="428">
        <v>100</v>
      </c>
      <c r="E30" s="425"/>
      <c r="F30" s="428">
        <f>SUMIF(95:95,E30,96:96)-SUMIF(95:95,C30,96:96)+100</f>
        <v>100</v>
      </c>
      <c r="G30" s="2663"/>
      <c r="H30" s="428">
        <f>SUMIF(95:95,G30,96:96)-SUMIF(95:95,C30,96:96)+100</f>
        <v>100</v>
      </c>
      <c r="I30" s="425"/>
      <c r="J30" s="428">
        <f>SUMIF(95:95,I30,96:96)-SUMIF(95:95,C30,96:96)+100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2665">
        <f t="shared" si="5"/>
        <v>1</v>
      </c>
    </row>
    <row r="31" spans="1:29" ht="15">
      <c r="A31" s="421"/>
      <c r="B31" s="2669">
        <v>111</v>
      </c>
      <c r="C31" s="2606"/>
      <c r="D31" s="428">
        <v>100</v>
      </c>
      <c r="E31" s="425"/>
      <c r="F31" s="428">
        <f>SUMIF(97:97,E31,98:98)-SUMIF(97:97,C31,98:98)+100</f>
        <v>100</v>
      </c>
      <c r="G31" s="2663"/>
      <c r="H31" s="428">
        <f>SUMIF(97:97,G31,98:98)-SUMIF(97:97,C31,98:98)+100</f>
        <v>100</v>
      </c>
      <c r="I31" s="425"/>
      <c r="J31" s="428">
        <f>SUMIF(97:97,I31,98:98)-SUMIF(97:97,C31,98:98)+100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2665">
        <f t="shared" si="5"/>
        <v>1</v>
      </c>
    </row>
    <row r="32" spans="1:29" ht="15.75" thickBot="1">
      <c r="A32" s="429"/>
      <c r="B32" s="628">
        <v>111</v>
      </c>
      <c r="C32" s="2607"/>
      <c r="D32" s="431">
        <v>100</v>
      </c>
      <c r="E32" s="621"/>
      <c r="F32" s="431">
        <f>SUMIF(99:99,E32,100:100)-SUMIF(99:99,C32,100:100)+100</f>
        <v>100</v>
      </c>
      <c r="G32" s="2663"/>
      <c r="H32" s="431">
        <f>SUMIF(99:99,G32,100:100)-SUMIF(99:99,C32,100:100)+100</f>
        <v>100</v>
      </c>
      <c r="I32" s="425"/>
      <c r="J32" s="431">
        <f>SUMIF(99:99,I32,100:100)-SUMIF(99:99,C32,100:100)+100</f>
        <v>100</v>
      </c>
      <c r="K32" s="606"/>
      <c r="L32" s="1133"/>
      <c r="M32" s="1124"/>
      <c r="N32" s="1124"/>
      <c r="O32" s="1124"/>
      <c r="P32" s="3247"/>
      <c r="Q32" s="1802">
        <f t="shared" si="11"/>
        <v>111</v>
      </c>
      <c r="R32" s="767" t="s">
        <v>17</v>
      </c>
      <c r="S32" s="768">
        <f t="shared" si="12"/>
        <v>100</v>
      </c>
      <c r="T32" s="767" t="s">
        <v>17</v>
      </c>
      <c r="U32" s="768">
        <f t="shared" si="13"/>
        <v>100</v>
      </c>
      <c r="V32" s="767" t="s">
        <v>17</v>
      </c>
      <c r="W32" s="768">
        <f t="shared" si="14"/>
        <v>100</v>
      </c>
      <c r="X32" s="1805"/>
      <c r="Y32" s="3209"/>
      <c r="Z32" s="1806">
        <f t="shared" si="15"/>
        <v>111</v>
      </c>
      <c r="AA32" s="1803">
        <f t="shared" si="3"/>
        <v>1</v>
      </c>
      <c r="AB32" s="1803">
        <f t="shared" si="4"/>
        <v>1</v>
      </c>
      <c r="AC32" s="2665">
        <f t="shared" si="5"/>
        <v>1</v>
      </c>
    </row>
    <row r="33" spans="1:29" ht="15">
      <c r="A33" s="433" t="s">
        <v>2563</v>
      </c>
      <c r="B33" s="69" t="s">
        <v>2693</v>
      </c>
      <c r="C33" s="2978" t="s">
        <v>3504</v>
      </c>
      <c r="D33" s="460">
        <v>100</v>
      </c>
      <c r="E33" s="2978" t="s">
        <v>3514</v>
      </c>
      <c r="F33" s="454">
        <f>SUMIF(101:101,E33,102:102)-SUMIF(101:101,C33,102:102)+100</f>
        <v>100</v>
      </c>
      <c r="G33" s="2978" t="s">
        <v>3514</v>
      </c>
      <c r="H33" s="428">
        <f>SUMIF(101:101,G33,102:102)-SUMIF(101:101,C33,102:102)+100</f>
        <v>100</v>
      </c>
      <c r="I33" s="2978" t="s">
        <v>3532</v>
      </c>
      <c r="J33" s="460">
        <f>SUMIF(101:101,I33,102:102)-SUMIF(101:101,C33,102:102)+100</f>
        <v>100</v>
      </c>
      <c r="K33" s="605">
        <v>1</v>
      </c>
      <c r="L33" s="1133"/>
      <c r="M33" s="1124"/>
      <c r="N33" s="1124"/>
      <c r="O33" s="1124"/>
      <c r="P33" s="3248" t="s">
        <v>2565</v>
      </c>
      <c r="Q33" s="1802" t="str">
        <f t="shared" si="11"/>
        <v>建筑类型</v>
      </c>
      <c r="R33" s="767" t="s">
        <v>17</v>
      </c>
      <c r="S33" s="768">
        <f t="shared" si="12"/>
        <v>100</v>
      </c>
      <c r="T33" s="767" t="s">
        <v>17</v>
      </c>
      <c r="U33" s="768">
        <f t="shared" si="13"/>
        <v>100</v>
      </c>
      <c r="V33" s="767" t="s">
        <v>17</v>
      </c>
      <c r="W33" s="768">
        <f t="shared" si="14"/>
        <v>100</v>
      </c>
      <c r="X33" s="1805"/>
      <c r="Y33" s="3211" t="s">
        <v>2565</v>
      </c>
      <c r="Z33" s="1806" t="str">
        <f t="shared" si="15"/>
        <v>建筑类型</v>
      </c>
      <c r="AA33" s="1803">
        <f t="shared" si="3"/>
        <v>1</v>
      </c>
      <c r="AB33" s="1803">
        <f t="shared" si="4"/>
        <v>1</v>
      </c>
      <c r="AC33" s="2665">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49"/>
      <c r="Q34" s="769" t="str">
        <f t="shared" si="11"/>
        <v>项目建筑规模</v>
      </c>
      <c r="R34" s="770" t="s">
        <v>17</v>
      </c>
      <c r="S34" s="771">
        <f t="shared" si="12"/>
        <v>99</v>
      </c>
      <c r="T34" s="770" t="s">
        <v>17</v>
      </c>
      <c r="U34" s="771">
        <f t="shared" si="13"/>
        <v>99</v>
      </c>
      <c r="V34" s="770" t="s">
        <v>17</v>
      </c>
      <c r="W34" s="771">
        <f t="shared" si="14"/>
        <v>104</v>
      </c>
      <c r="X34" s="772"/>
      <c r="Y34" s="3211"/>
      <c r="Z34" s="773" t="str">
        <f t="shared" si="15"/>
        <v>项目建筑规模</v>
      </c>
      <c r="AA34" s="1803">
        <f t="shared" si="3"/>
        <v>1.0101010101010102</v>
      </c>
      <c r="AB34" s="1803">
        <f t="shared" si="4"/>
        <v>1.0101010101010102</v>
      </c>
      <c r="AC34" s="2665">
        <f t="shared" si="5"/>
        <v>0.96153846153846156</v>
      </c>
    </row>
    <row r="35" spans="1:29" ht="15">
      <c r="A35" s="465"/>
      <c r="B35" s="415" t="s">
        <v>2567</v>
      </c>
      <c r="C35" s="2977" t="s">
        <v>3498</v>
      </c>
      <c r="D35" s="428">
        <v>100</v>
      </c>
      <c r="E35" s="2977" t="s">
        <v>3498</v>
      </c>
      <c r="F35" s="454">
        <f>SUMIF(106:106,E35,107:107)-SUMIF(106:106,C35,107:107)+100</f>
        <v>100</v>
      </c>
      <c r="G35" s="2977" t="s">
        <v>3498</v>
      </c>
      <c r="H35" s="428">
        <f>SUMIF(106:106,G35,107:107)-SUMIF(106:106,C35,107:107)+100</f>
        <v>100</v>
      </c>
      <c r="I35" s="2977" t="s">
        <v>3533</v>
      </c>
      <c r="J35" s="428">
        <f>SUMIF(106:106,I35,107:107)-SUMIF(106:106,C35,107:107)+100</f>
        <v>100</v>
      </c>
      <c r="K35" s="605">
        <v>1</v>
      </c>
      <c r="L35" s="1133"/>
      <c r="M35" s="1124"/>
      <c r="N35" s="1124"/>
      <c r="O35" s="1124"/>
      <c r="P35" s="3249"/>
      <c r="Q35" s="1802" t="str">
        <f t="shared" si="11"/>
        <v>建筑结构</v>
      </c>
      <c r="R35" s="767" t="s">
        <v>17</v>
      </c>
      <c r="S35" s="768">
        <f t="shared" si="12"/>
        <v>100</v>
      </c>
      <c r="T35" s="767" t="s">
        <v>17</v>
      </c>
      <c r="U35" s="768">
        <f t="shared" si="13"/>
        <v>100</v>
      </c>
      <c r="V35" s="767" t="s">
        <v>17</v>
      </c>
      <c r="W35" s="768">
        <f t="shared" si="14"/>
        <v>100</v>
      </c>
      <c r="X35" s="1805"/>
      <c r="Y35" s="3211"/>
      <c r="Z35" s="1806" t="str">
        <f t="shared" si="15"/>
        <v>建筑结构</v>
      </c>
      <c r="AA35" s="1803">
        <f t="shared" si="3"/>
        <v>1</v>
      </c>
      <c r="AB35" s="1803">
        <f t="shared" si="4"/>
        <v>1</v>
      </c>
      <c r="AC35" s="2665">
        <f t="shared" si="5"/>
        <v>1</v>
      </c>
    </row>
    <row r="36" spans="1:29" ht="15">
      <c r="A36" s="465"/>
      <c r="B36" s="415" t="s">
        <v>2661</v>
      </c>
      <c r="C36" s="2977" t="s">
        <v>3534</v>
      </c>
      <c r="D36" s="428">
        <v>100</v>
      </c>
      <c r="E36" s="2977" t="s">
        <v>3518</v>
      </c>
      <c r="F36" s="454">
        <f>SUMIF(108:108,E36,109:109)-SUMIF(108:108,C36,109:109)+100</f>
        <v>100</v>
      </c>
      <c r="G36" s="2977" t="s">
        <v>3518</v>
      </c>
      <c r="H36" s="428">
        <f>SUMIF(108:108,G36,109:109)-SUMIF(108:108,C36,109:109)+100</f>
        <v>100</v>
      </c>
      <c r="I36" s="2977" t="s">
        <v>3534</v>
      </c>
      <c r="J36" s="428">
        <f>SUMIF(108:108,I36,109:109)-SUMIF(108:108,C36,109:109)+100</f>
        <v>100</v>
      </c>
      <c r="K36" s="605">
        <v>3</v>
      </c>
      <c r="L36" s="1133"/>
      <c r="M36" s="1124"/>
      <c r="N36" s="1124"/>
      <c r="O36" s="1124"/>
      <c r="P36" s="3249"/>
      <c r="Q36" s="1802" t="str">
        <f t="shared" si="11"/>
        <v>公共部分装修</v>
      </c>
      <c r="R36" s="767" t="s">
        <v>17</v>
      </c>
      <c r="S36" s="768">
        <f t="shared" si="12"/>
        <v>100</v>
      </c>
      <c r="T36" s="767" t="s">
        <v>17</v>
      </c>
      <c r="U36" s="768">
        <f t="shared" si="13"/>
        <v>100</v>
      </c>
      <c r="V36" s="767" t="s">
        <v>17</v>
      </c>
      <c r="W36" s="768">
        <f t="shared" si="14"/>
        <v>100</v>
      </c>
      <c r="X36" s="1805"/>
      <c r="Y36" s="3211"/>
      <c r="Z36" s="1806" t="str">
        <f t="shared" si="15"/>
        <v>公共部分装修</v>
      </c>
      <c r="AA36" s="1803">
        <f t="shared" si="3"/>
        <v>1</v>
      </c>
      <c r="AB36" s="1803">
        <f t="shared" si="4"/>
        <v>1</v>
      </c>
      <c r="AC36" s="2665">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49"/>
      <c r="Q37" s="1802" t="str">
        <f t="shared" si="11"/>
        <v>成新度</v>
      </c>
      <c r="R37" s="767" t="s">
        <v>17</v>
      </c>
      <c r="S37" s="768">
        <f t="shared" si="12"/>
        <v>100</v>
      </c>
      <c r="T37" s="767" t="s">
        <v>17</v>
      </c>
      <c r="U37" s="768">
        <f t="shared" si="13"/>
        <v>100</v>
      </c>
      <c r="V37" s="767" t="s">
        <v>17</v>
      </c>
      <c r="W37" s="768">
        <f t="shared" si="14"/>
        <v>100</v>
      </c>
      <c r="X37" s="1805"/>
      <c r="Y37" s="3211"/>
      <c r="Z37" s="1806" t="str">
        <f t="shared" si="15"/>
        <v>成新度</v>
      </c>
      <c r="AA37" s="1803">
        <f t="shared" si="3"/>
        <v>1</v>
      </c>
      <c r="AB37" s="1803">
        <f t="shared" si="4"/>
        <v>1</v>
      </c>
      <c r="AC37" s="2665">
        <f t="shared" si="5"/>
        <v>1</v>
      </c>
    </row>
    <row r="38" spans="1:29" s="111" customFormat="1" ht="15">
      <c r="A38" s="466"/>
      <c r="B38" s="415" t="s">
        <v>2694</v>
      </c>
      <c r="C38" s="2977" t="s">
        <v>3500</v>
      </c>
      <c r="D38" s="129">
        <v>100</v>
      </c>
      <c r="E38" s="2977" t="s">
        <v>3500</v>
      </c>
      <c r="F38" s="454">
        <f>SUMIF(113:113,E38,114:114)-SUMIF(113:113,C38,114:114)+100</f>
        <v>100</v>
      </c>
      <c r="G38" s="2977" t="s">
        <v>3500</v>
      </c>
      <c r="H38" s="428">
        <f>SUMIF(113:113,G38,114:114)-SUMIF(113:113,C38,114:114)+100</f>
        <v>100</v>
      </c>
      <c r="I38" s="2977" t="s">
        <v>3535</v>
      </c>
      <c r="J38" s="428">
        <f>SUMIF(113:113,I38,114:114)-SUMIF(113:113,C38,114:114)+100</f>
        <v>100</v>
      </c>
      <c r="K38" s="605">
        <v>1</v>
      </c>
      <c r="L38" s="1125"/>
      <c r="M38" s="1126"/>
      <c r="N38" s="1126"/>
      <c r="O38" s="1126"/>
      <c r="P38" s="3249"/>
      <c r="Q38" s="1787" t="str">
        <f t="shared" si="11"/>
        <v>写字楼等级</v>
      </c>
      <c r="R38" s="763" t="s">
        <v>17</v>
      </c>
      <c r="S38" s="764">
        <f t="shared" si="12"/>
        <v>100</v>
      </c>
      <c r="T38" s="763" t="s">
        <v>17</v>
      </c>
      <c r="U38" s="764">
        <f t="shared" si="13"/>
        <v>100</v>
      </c>
      <c r="V38" s="763" t="s">
        <v>17</v>
      </c>
      <c r="W38" s="764">
        <f t="shared" si="14"/>
        <v>100</v>
      </c>
      <c r="X38" s="765"/>
      <c r="Y38" s="3211"/>
      <c r="Z38" s="55" t="str">
        <f t="shared" si="15"/>
        <v>写字楼等级</v>
      </c>
      <c r="AA38" s="766">
        <f t="shared" si="3"/>
        <v>1</v>
      </c>
      <c r="AB38" s="766">
        <f t="shared" si="4"/>
        <v>1</v>
      </c>
      <c r="AC38" s="2662">
        <f t="shared" si="5"/>
        <v>1</v>
      </c>
    </row>
    <row r="39" spans="1:29" ht="15">
      <c r="A39" s="465"/>
      <c r="B39" s="415" t="s">
        <v>2695</v>
      </c>
      <c r="C39" s="2977" t="s">
        <v>3501</v>
      </c>
      <c r="D39" s="428">
        <v>100</v>
      </c>
      <c r="E39" s="2977" t="s">
        <v>3515</v>
      </c>
      <c r="F39" s="454">
        <f>SUMIF(115:115,E39,116:116)-SUMIF(115:115,C39,116:116)+100</f>
        <v>100</v>
      </c>
      <c r="G39" s="2977" t="s">
        <v>3515</v>
      </c>
      <c r="H39" s="428">
        <f>SUMIF(115:115,G39,116:116)-SUMIF(115:115,C39,116:116)+100</f>
        <v>100</v>
      </c>
      <c r="I39" s="2977" t="s">
        <v>3501</v>
      </c>
      <c r="J39" s="428">
        <f>SUMIF(115:115,I39,116:116)-SUMIF(115:115,C39,116:116)+100</f>
        <v>100</v>
      </c>
      <c r="K39" s="605">
        <v>1</v>
      </c>
      <c r="L39" s="1133"/>
      <c r="M39" s="1124"/>
      <c r="N39" s="1124"/>
      <c r="O39" s="1124"/>
      <c r="P39" s="3249" t="s">
        <v>2565</v>
      </c>
      <c r="Q39" s="1802" t="str">
        <f t="shared" si="11"/>
        <v>物业管理</v>
      </c>
      <c r="R39" s="767" t="s">
        <v>17</v>
      </c>
      <c r="S39" s="768">
        <f t="shared" si="12"/>
        <v>100</v>
      </c>
      <c r="T39" s="767" t="s">
        <v>17</v>
      </c>
      <c r="U39" s="768">
        <f t="shared" si="13"/>
        <v>100</v>
      </c>
      <c r="V39" s="767" t="s">
        <v>17</v>
      </c>
      <c r="W39" s="768">
        <f t="shared" si="14"/>
        <v>100</v>
      </c>
      <c r="X39" s="1805"/>
      <c r="Y39" s="3211" t="s">
        <v>2565</v>
      </c>
      <c r="Z39" s="1806" t="str">
        <f t="shared" si="15"/>
        <v>物业管理</v>
      </c>
      <c r="AA39" s="1803">
        <f t="shared" si="3"/>
        <v>1</v>
      </c>
      <c r="AB39" s="1803">
        <f t="shared" si="4"/>
        <v>1</v>
      </c>
      <c r="AC39" s="2665">
        <f t="shared" si="5"/>
        <v>1</v>
      </c>
    </row>
    <row r="40" spans="1:29" ht="15">
      <c r="A40" s="465"/>
      <c r="B40" s="415" t="s">
        <v>2663</v>
      </c>
      <c r="C40" s="2977" t="s">
        <v>3502</v>
      </c>
      <c r="D40" s="428">
        <v>100</v>
      </c>
      <c r="E40" s="2977" t="s">
        <v>3502</v>
      </c>
      <c r="F40" s="454">
        <f>SUMIF(117:117,E40,118:118)-SUMIF(117:117,C40,118:118)+100</f>
        <v>100</v>
      </c>
      <c r="G40" s="2977" t="s">
        <v>3502</v>
      </c>
      <c r="H40" s="428">
        <f>SUMIF(117:117,G40,118:118)-SUMIF(117:117,C40,118:118)+100</f>
        <v>100</v>
      </c>
      <c r="I40" s="2977" t="s">
        <v>3536</v>
      </c>
      <c r="J40" s="428">
        <f>SUMIF(117:117,I40,118:118)-SUMIF(117:117,C40,118:118)+100</f>
        <v>100</v>
      </c>
      <c r="K40" s="605">
        <v>1</v>
      </c>
      <c r="L40" s="1133"/>
      <c r="M40" s="1124"/>
      <c r="N40" s="1124"/>
      <c r="O40" s="1124"/>
      <c r="P40" s="3249"/>
      <c r="Q40" s="1802" t="str">
        <f t="shared" si="11"/>
        <v>市政基础设施</v>
      </c>
      <c r="R40" s="767" t="s">
        <v>17</v>
      </c>
      <c r="S40" s="768">
        <f t="shared" si="12"/>
        <v>100</v>
      </c>
      <c r="T40" s="767" t="s">
        <v>17</v>
      </c>
      <c r="U40" s="768">
        <f t="shared" si="13"/>
        <v>100</v>
      </c>
      <c r="V40" s="767" t="s">
        <v>17</v>
      </c>
      <c r="W40" s="768">
        <f t="shared" si="14"/>
        <v>100</v>
      </c>
      <c r="X40" s="1805"/>
      <c r="Y40" s="3211"/>
      <c r="Z40" s="1806" t="str">
        <f t="shared" si="15"/>
        <v>市政基础设施</v>
      </c>
      <c r="AA40" s="1803">
        <f t="shared" si="3"/>
        <v>1</v>
      </c>
      <c r="AB40" s="1803">
        <f t="shared" si="4"/>
        <v>1</v>
      </c>
      <c r="AC40" s="2665">
        <f t="shared" si="5"/>
        <v>1</v>
      </c>
    </row>
    <row r="41" spans="1:29" ht="15">
      <c r="A41" s="465"/>
      <c r="B41" s="415" t="s">
        <v>2665</v>
      </c>
      <c r="C41" s="609" t="s">
        <v>3503</v>
      </c>
      <c r="D41" s="428">
        <v>100</v>
      </c>
      <c r="E41" s="2938" t="s">
        <v>3516</v>
      </c>
      <c r="F41" s="454">
        <f>SUMIF(119:119,E41,120:120)-SUMIF(119:119,C41,120:120)+100</f>
        <v>85</v>
      </c>
      <c r="G41" s="2938" t="s">
        <v>3516</v>
      </c>
      <c r="H41" s="428">
        <f>SUMIF(119:119,G41,120:120)-SUMIF(119:119,C41,120:120)+100</f>
        <v>85</v>
      </c>
      <c r="I41" s="2938" t="s">
        <v>3537</v>
      </c>
      <c r="J41" s="428">
        <f>SUMIF(119:119,I41,120:120)-SUMIF(119:119,C41,120:120)+100</f>
        <v>85</v>
      </c>
      <c r="K41" s="605">
        <v>15</v>
      </c>
      <c r="L41" s="1133"/>
      <c r="M41" s="1124"/>
      <c r="N41" s="1124"/>
      <c r="O41" s="1124"/>
      <c r="P41" s="3249"/>
      <c r="Q41" s="1802" t="str">
        <f t="shared" si="11"/>
        <v>层高</v>
      </c>
      <c r="R41" s="767" t="s">
        <v>17</v>
      </c>
      <c r="S41" s="768">
        <f t="shared" si="12"/>
        <v>85</v>
      </c>
      <c r="T41" s="767" t="s">
        <v>17</v>
      </c>
      <c r="U41" s="768">
        <f t="shared" si="13"/>
        <v>85</v>
      </c>
      <c r="V41" s="767" t="s">
        <v>17</v>
      </c>
      <c r="W41" s="768">
        <f t="shared" si="14"/>
        <v>85</v>
      </c>
      <c r="X41" s="1805"/>
      <c r="Y41" s="3211"/>
      <c r="Z41" s="1806" t="str">
        <f t="shared" si="15"/>
        <v>层高</v>
      </c>
      <c r="AA41" s="1803">
        <f t="shared" si="3"/>
        <v>1.1764705882352942</v>
      </c>
      <c r="AB41" s="1803">
        <f t="shared" si="4"/>
        <v>1.1764705882352942</v>
      </c>
      <c r="AC41" s="2665">
        <f t="shared" si="5"/>
        <v>1.1764705882352942</v>
      </c>
    </row>
    <row r="42" spans="1:29" s="464" customFormat="1" ht="15">
      <c r="A42" s="461"/>
      <c r="B42" s="1804" t="s">
        <v>2696</v>
      </c>
      <c r="C42" s="427" t="s">
        <v>3526</v>
      </c>
      <c r="D42" s="428">
        <v>100</v>
      </c>
      <c r="E42" s="427" t="s">
        <v>3517</v>
      </c>
      <c r="F42" s="454">
        <f>SUMIF(121:121,E42,122:122)-SUMIF(121:121,C42,122:122)+100</f>
        <v>96</v>
      </c>
      <c r="G42" s="427" t="s">
        <v>3525</v>
      </c>
      <c r="H42" s="428">
        <f>SUMIF(121:121,G42,122:122)-SUMIF(121:121,C42,122:122)+100</f>
        <v>98</v>
      </c>
      <c r="I42" s="427">
        <v>150</v>
      </c>
      <c r="J42" s="428">
        <f>SUMIF(121:121,I42,122:122)-SUMIF(121:121,C42,122:122)+100</f>
        <v>96</v>
      </c>
      <c r="K42" s="606"/>
      <c r="L42" s="1131"/>
      <c r="M42" s="1134"/>
      <c r="N42" s="1134"/>
      <c r="O42" s="1134"/>
      <c r="P42" s="3249"/>
      <c r="Q42" s="769" t="str">
        <f t="shared" si="11"/>
        <v>单套建筑面积</v>
      </c>
      <c r="R42" s="770" t="s">
        <v>17</v>
      </c>
      <c r="S42" s="771">
        <f t="shared" si="12"/>
        <v>96</v>
      </c>
      <c r="T42" s="770" t="s">
        <v>17</v>
      </c>
      <c r="U42" s="771">
        <f t="shared" si="13"/>
        <v>98</v>
      </c>
      <c r="V42" s="770" t="s">
        <v>17</v>
      </c>
      <c r="W42" s="771">
        <f t="shared" si="14"/>
        <v>96</v>
      </c>
      <c r="X42" s="772"/>
      <c r="Y42" s="3211"/>
      <c r="Z42" s="773" t="str">
        <f t="shared" si="15"/>
        <v>单套建筑面积</v>
      </c>
      <c r="AA42" s="1803">
        <f t="shared" si="3"/>
        <v>1.0416666666666667</v>
      </c>
      <c r="AB42" s="1803">
        <f t="shared" si="4"/>
        <v>1.0204081632653061</v>
      </c>
      <c r="AC42" s="2665">
        <f t="shared" si="5"/>
        <v>1.0416666666666667</v>
      </c>
    </row>
    <row r="43" spans="1:29" ht="15">
      <c r="A43" s="465"/>
      <c r="B43" s="415" t="s">
        <v>2668</v>
      </c>
      <c r="C43" s="2977" t="s">
        <v>3499</v>
      </c>
      <c r="D43" s="428">
        <v>100</v>
      </c>
      <c r="E43" s="2977" t="s">
        <v>3519</v>
      </c>
      <c r="F43" s="454">
        <f>SUMIF(123:123,E43,124:124)-SUMIF(123:123,C43,124:124)+100</f>
        <v>91</v>
      </c>
      <c r="G43" s="2977" t="s">
        <v>3519</v>
      </c>
      <c r="H43" s="428">
        <f>SUMIF(123:123,G43,124:124)-SUMIF(123:123,C43,124:124)+100</f>
        <v>91</v>
      </c>
      <c r="I43" s="2977" t="s">
        <v>3505</v>
      </c>
      <c r="J43" s="428">
        <f>SUMIF(123:123,I43,124:124)-SUMIF(123:123,C43,124:124)+100</f>
        <v>91</v>
      </c>
      <c r="K43" s="605">
        <v>3</v>
      </c>
      <c r="L43" s="1133"/>
      <c r="M43" s="1124"/>
      <c r="N43" s="1124"/>
      <c r="O43" s="1124"/>
      <c r="P43" s="3249"/>
      <c r="Q43" s="1802" t="str">
        <f t="shared" si="11"/>
        <v>内部装修</v>
      </c>
      <c r="R43" s="767" t="s">
        <v>17</v>
      </c>
      <c r="S43" s="768">
        <f t="shared" si="12"/>
        <v>91</v>
      </c>
      <c r="T43" s="767" t="s">
        <v>17</v>
      </c>
      <c r="U43" s="768">
        <f t="shared" si="13"/>
        <v>91</v>
      </c>
      <c r="V43" s="767" t="s">
        <v>17</v>
      </c>
      <c r="W43" s="768">
        <f t="shared" si="14"/>
        <v>91</v>
      </c>
      <c r="X43" s="1805"/>
      <c r="Y43" s="3211"/>
      <c r="Z43" s="1806" t="str">
        <f t="shared" si="15"/>
        <v>内部装修</v>
      </c>
      <c r="AA43" s="1803">
        <f t="shared" si="3"/>
        <v>1.098901098901099</v>
      </c>
      <c r="AB43" s="1803">
        <f t="shared" si="4"/>
        <v>1.098901098901099</v>
      </c>
      <c r="AC43" s="2665">
        <f t="shared" si="5"/>
        <v>1.098901098901099</v>
      </c>
    </row>
    <row r="44" spans="1:29" ht="15">
      <c r="A44" s="465"/>
      <c r="B44" s="415" t="s">
        <v>2576</v>
      </c>
      <c r="C44" s="453"/>
      <c r="D44" s="428">
        <v>100</v>
      </c>
      <c r="E44" s="2604"/>
      <c r="F44" s="454">
        <f>SUMIF(125:125,E44,126:126)-SUMIF(125:125,C44,126:126)+100</f>
        <v>100</v>
      </c>
      <c r="G44" s="2604"/>
      <c r="H44" s="428">
        <f>SUMIF(125:125,G44,126:126)-SUMIF(125:125,C44,126:126)+100</f>
        <v>100</v>
      </c>
      <c r="I44" s="2604"/>
      <c r="J44" s="428">
        <f>SUMIF(125:125,I44,126:126)-SUMIF(125:125,C44,126:126)+100</f>
        <v>100</v>
      </c>
      <c r="K44" s="605"/>
      <c r="L44" s="1133"/>
      <c r="M44" s="1124"/>
      <c r="N44" s="1124"/>
      <c r="O44" s="1124"/>
      <c r="P44" s="3249"/>
      <c r="Q44" s="1802" t="str">
        <f t="shared" si="11"/>
        <v>内部装修维护情况</v>
      </c>
      <c r="R44" s="767" t="s">
        <v>17</v>
      </c>
      <c r="S44" s="768">
        <f t="shared" si="12"/>
        <v>100</v>
      </c>
      <c r="T44" s="767" t="s">
        <v>17</v>
      </c>
      <c r="U44" s="768">
        <f t="shared" si="13"/>
        <v>100</v>
      </c>
      <c r="V44" s="767" t="s">
        <v>17</v>
      </c>
      <c r="W44" s="768">
        <f t="shared" si="14"/>
        <v>100</v>
      </c>
      <c r="X44" s="1805"/>
      <c r="Y44" s="3211"/>
      <c r="Z44" s="1806" t="str">
        <f t="shared" si="15"/>
        <v>内部装修维护情况</v>
      </c>
      <c r="AA44" s="1803">
        <f t="shared" si="3"/>
        <v>1</v>
      </c>
      <c r="AB44" s="1803">
        <f t="shared" si="4"/>
        <v>1</v>
      </c>
      <c r="AC44" s="2665">
        <f t="shared" si="5"/>
        <v>1</v>
      </c>
    </row>
    <row r="45" spans="1:29" s="111" customFormat="1" ht="15">
      <c r="A45" s="466"/>
      <c r="B45" s="1379">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49"/>
      <c r="Q45" s="1787">
        <f t="shared" si="11"/>
        <v>111</v>
      </c>
      <c r="R45" s="763" t="s">
        <v>17</v>
      </c>
      <c r="S45" s="764">
        <f t="shared" si="12"/>
        <v>100</v>
      </c>
      <c r="T45" s="763" t="s">
        <v>17</v>
      </c>
      <c r="U45" s="764">
        <f t="shared" si="13"/>
        <v>100</v>
      </c>
      <c r="V45" s="763" t="s">
        <v>17</v>
      </c>
      <c r="W45" s="764">
        <f t="shared" si="14"/>
        <v>100</v>
      </c>
      <c r="X45" s="765"/>
      <c r="Y45" s="3211"/>
      <c r="Z45" s="55">
        <f t="shared" si="15"/>
        <v>111</v>
      </c>
      <c r="AA45" s="766">
        <f t="shared" si="3"/>
        <v>1</v>
      </c>
      <c r="AB45" s="766">
        <f t="shared" si="4"/>
        <v>1</v>
      </c>
      <c r="AC45" s="2662">
        <f t="shared" si="5"/>
        <v>1</v>
      </c>
    </row>
    <row r="46" spans="1:29" ht="15">
      <c r="A46" s="465"/>
      <c r="B46" s="1379">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49"/>
      <c r="Q46" s="1802">
        <f t="shared" si="11"/>
        <v>111</v>
      </c>
      <c r="R46" s="767" t="s">
        <v>17</v>
      </c>
      <c r="S46" s="768">
        <f t="shared" si="12"/>
        <v>100</v>
      </c>
      <c r="T46" s="767" t="s">
        <v>17</v>
      </c>
      <c r="U46" s="768">
        <f t="shared" si="13"/>
        <v>100</v>
      </c>
      <c r="V46" s="767" t="s">
        <v>17</v>
      </c>
      <c r="W46" s="768">
        <f t="shared" si="14"/>
        <v>100</v>
      </c>
      <c r="X46" s="1805"/>
      <c r="Y46" s="3211"/>
      <c r="Z46" s="1806">
        <f t="shared" si="15"/>
        <v>111</v>
      </c>
      <c r="AA46" s="1803">
        <f t="shared" si="3"/>
        <v>1</v>
      </c>
      <c r="AB46" s="1803">
        <f t="shared" si="4"/>
        <v>1</v>
      </c>
      <c r="AC46" s="2665">
        <f t="shared" si="5"/>
        <v>1</v>
      </c>
    </row>
    <row r="47" spans="1:29" ht="15.75" thickBot="1">
      <c r="A47" s="471"/>
      <c r="B47" s="2593">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50"/>
      <c r="Q47" s="1802">
        <f t="shared" si="11"/>
        <v>111</v>
      </c>
      <c r="R47" s="767" t="s">
        <v>17</v>
      </c>
      <c r="S47" s="768">
        <f t="shared" si="12"/>
        <v>100</v>
      </c>
      <c r="T47" s="767" t="s">
        <v>17</v>
      </c>
      <c r="U47" s="768">
        <f t="shared" si="13"/>
        <v>100</v>
      </c>
      <c r="V47" s="767" t="s">
        <v>17</v>
      </c>
      <c r="W47" s="768">
        <f t="shared" si="14"/>
        <v>100</v>
      </c>
      <c r="X47" s="1805"/>
      <c r="Y47" s="3251"/>
      <c r="Z47" s="1806">
        <f t="shared" si="15"/>
        <v>111</v>
      </c>
      <c r="AA47" s="1803">
        <f t="shared" si="3"/>
        <v>1</v>
      </c>
      <c r="AB47" s="1803">
        <f t="shared" si="4"/>
        <v>1</v>
      </c>
      <c r="AC47" s="2665">
        <f t="shared" si="5"/>
        <v>1</v>
      </c>
    </row>
    <row r="48" spans="1:29" ht="15">
      <c r="A48" s="472" t="s">
        <v>2577</v>
      </c>
      <c r="B48" s="473"/>
      <c r="C48" s="1400" t="s">
        <v>1</v>
      </c>
      <c r="D48" s="1401"/>
      <c r="E48" s="1402">
        <v>25000</v>
      </c>
      <c r="F48" s="1403"/>
      <c r="G48" s="1404">
        <v>27758</v>
      </c>
      <c r="H48" s="1405"/>
      <c r="I48" s="1402">
        <v>21883</v>
      </c>
      <c r="J48" s="478"/>
      <c r="K48" s="776"/>
      <c r="L48" s="1136"/>
      <c r="M48" s="1124"/>
      <c r="N48" s="1124"/>
      <c r="O48" s="1124"/>
      <c r="P48" s="3205" t="str">
        <f>A48</f>
        <v>成交单价（元/平方米）</v>
      </c>
      <c r="Q48" s="3206"/>
      <c r="R48" s="3242">
        <f>E48</f>
        <v>25000</v>
      </c>
      <c r="S48" s="3242"/>
      <c r="T48" s="3242">
        <f>G48</f>
        <v>27758</v>
      </c>
      <c r="U48" s="3242"/>
      <c r="V48" s="3242">
        <f>I48</f>
        <v>21883</v>
      </c>
      <c r="W48" s="3242"/>
      <c r="X48" s="439"/>
      <c r="Y48" s="774"/>
      <c r="Z48" s="439"/>
      <c r="AA48" s="439"/>
      <c r="AB48" s="439"/>
      <c r="AC48" s="623"/>
    </row>
    <row r="49" spans="1:29" ht="15.75" thickBot="1">
      <c r="A49" s="479" t="s">
        <v>2669</v>
      </c>
      <c r="B49" s="480"/>
      <c r="C49" s="1406">
        <f>R50</f>
        <v>28931</v>
      </c>
      <c r="D49" s="1407"/>
      <c r="E49" s="1408">
        <f>R49</f>
        <v>28586</v>
      </c>
      <c r="F49" s="1408"/>
      <c r="G49" s="1406">
        <f>T49</f>
        <v>31092</v>
      </c>
      <c r="H49" s="1407"/>
      <c r="I49" s="1408">
        <f>V49</f>
        <v>27116</v>
      </c>
      <c r="J49" s="482"/>
      <c r="K49" s="777"/>
      <c r="L49" s="1136"/>
      <c r="M49" s="1124"/>
      <c r="N49" s="1124"/>
      <c r="O49" s="1124"/>
      <c r="P49" s="3205" t="str">
        <f>A49</f>
        <v>比较价值（元/平方米）</v>
      </c>
      <c r="Q49" s="3206"/>
      <c r="R49" s="3242">
        <f>IF(F1="售价",ROUND(PRODUCT(R48,AA7:AA47),0),ROUND(PRODUCT(R48,AA7:AA47),1))</f>
        <v>28586</v>
      </c>
      <c r="S49" s="3242"/>
      <c r="T49" s="3242">
        <f>IF(F1="售价",ROUND(PRODUCT(T48,AB7:AB47),0),ROUND(PRODUCT(T48,AB7:AB47),1))</f>
        <v>31092</v>
      </c>
      <c r="U49" s="3242"/>
      <c r="V49" s="3242">
        <f>IF(F1="售价",ROUND(PRODUCT(V48,AC7:AC47),0),ROUND(PRODUCT(V48,AC7:AC47),1))</f>
        <v>27116</v>
      </c>
      <c r="W49" s="3242"/>
      <c r="X49" s="439"/>
      <c r="Y49" s="439"/>
      <c r="Z49" s="439"/>
      <c r="AA49" s="439"/>
      <c r="AB49" s="439"/>
      <c r="AC49" s="623"/>
    </row>
    <row r="50" spans="1:29" ht="15.75" thickBot="1">
      <c r="A50" s="485" t="s">
        <v>2670</v>
      </c>
      <c r="B50" s="486"/>
      <c r="C50" s="1410">
        <f>R50</f>
        <v>28931</v>
      </c>
      <c r="D50" s="1410"/>
      <c r="E50" s="1410"/>
      <c r="F50" s="1410"/>
      <c r="G50" s="1410"/>
      <c r="H50" s="1410"/>
      <c r="I50" s="1410"/>
      <c r="J50" s="487"/>
      <c r="K50" s="778"/>
      <c r="L50" s="1136"/>
      <c r="M50" s="1124"/>
      <c r="N50" s="1124"/>
      <c r="O50" s="1124"/>
      <c r="P50" s="3243" t="str">
        <f>A50</f>
        <v>估价对象XX用房的比较价值（楼面单价，元/平方米）</v>
      </c>
      <c r="Q50" s="3244"/>
      <c r="R50" s="3245">
        <f>IF(F1="售价",ROUND(AVERAGE(R49:V49),0),ROUND(AVERAGE(R49:V49),1))</f>
        <v>28931</v>
      </c>
      <c r="S50" s="3245"/>
      <c r="T50" s="3245"/>
      <c r="U50" s="3245"/>
      <c r="V50" s="3245"/>
      <c r="W50" s="3245"/>
      <c r="X50" s="2645"/>
      <c r="Y50" s="2645"/>
      <c r="Z50" s="2645"/>
      <c r="AA50" s="2645"/>
      <c r="AB50" s="2645"/>
      <c r="AC50" s="2646"/>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0.14344000000000001</v>
      </c>
      <c r="F53" s="493" t="str">
        <f>IF(OR(E53&gt;=0.3,E53&lt;=-0.3),"超过30%","")</f>
        <v/>
      </c>
      <c r="G53" s="492">
        <f>IF(G48&lt;G49,G49/G48-1,G48/G49-1)</f>
        <v>0.12010951797679947</v>
      </c>
      <c r="H53" s="493" t="str">
        <f>IF(OR(G53&gt;=0.3,G53&lt;=-0.3),"超过30%","")</f>
        <v/>
      </c>
      <c r="I53" s="492">
        <f>IF(I48&lt;I49,I49/I48-1,I48/I49-1)</f>
        <v>0.23913540191015858</v>
      </c>
      <c r="J53" s="493" t="str">
        <f>IF(OR(I53&gt;=0.3,I53&lt;=-0.3),"超过30%","")</f>
        <v/>
      </c>
      <c r="K53" s="1098"/>
      <c r="L53" s="1099"/>
      <c r="M53" s="1137"/>
      <c r="N53" s="1137"/>
      <c r="O53" s="1137"/>
    </row>
    <row r="54" spans="1:29" ht="13.5" customHeight="1">
      <c r="A54" s="1137"/>
      <c r="B54" s="1137"/>
      <c r="C54" s="490" t="s">
        <v>2672</v>
      </c>
      <c r="D54" s="494"/>
      <c r="E54" s="492">
        <f>IF(E49&lt;G49,G49/E49-1,E49/G49-1)</f>
        <v>8.7665290701742116E-2</v>
      </c>
      <c r="F54" s="493" t="str">
        <f>IF(OR(E54&gt;=0.2,E54&lt;=-0.2),"超过20%","")</f>
        <v/>
      </c>
      <c r="G54" s="492">
        <f>IF(G49&lt;I49,I49/G49-1,G49/I49-1)</f>
        <v>0.14662929635639466</v>
      </c>
      <c r="H54" s="493" t="str">
        <f>IF(OR(G54&gt;=0.2,G54&lt;=-0.2),"超过20%","")</f>
        <v/>
      </c>
      <c r="I54" s="492">
        <f>IF(I49&lt;E49,E49/I49-1,I49/E49-1)</f>
        <v>5.4211535624723473E-2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1"/>
    </row>
    <row r="56" spans="1:29" s="495" customFormat="1">
      <c r="A56" s="1138"/>
      <c r="B56" s="1139"/>
      <c r="C56" s="1143"/>
      <c r="D56" s="1138"/>
      <c r="E56" s="1138"/>
      <c r="F56" s="1138"/>
      <c r="G56" s="1138"/>
      <c r="H56" s="1138"/>
      <c r="I56" s="1138"/>
      <c r="J56" s="1138"/>
      <c r="K56" s="1141"/>
      <c r="L56" s="1142"/>
      <c r="M56" s="1138"/>
      <c r="N56" s="1138"/>
      <c r="O56" s="1138"/>
      <c r="P56" s="2671"/>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2"/>
      <c r="Q58" s="497"/>
    </row>
    <row r="59" spans="1:29" s="501" customFormat="1" ht="15">
      <c r="A59" s="498" t="s">
        <v>2548</v>
      </c>
      <c r="B59" s="499"/>
      <c r="C59" s="1566" t="str">
        <f>YEAR(C7)&amp;"-"&amp;MONTH(C7)</f>
        <v>2018-3</v>
      </c>
      <c r="D59" s="1567">
        <f>EDATE(C59,-1)</f>
        <v>43132</v>
      </c>
      <c r="E59" s="1567">
        <f>EDATE(D59,-1)</f>
        <v>43101</v>
      </c>
      <c r="F59" s="1567">
        <f t="shared" ref="F59:O59" si="16">EDATE(E59,-1)</f>
        <v>43070</v>
      </c>
      <c r="G59" s="1567">
        <f t="shared" si="16"/>
        <v>43040</v>
      </c>
      <c r="H59" s="1567">
        <f t="shared" si="16"/>
        <v>43009</v>
      </c>
      <c r="I59" s="1567">
        <f t="shared" si="16"/>
        <v>42979</v>
      </c>
      <c r="J59" s="1567">
        <f t="shared" si="16"/>
        <v>42948</v>
      </c>
      <c r="K59" s="1567">
        <f t="shared" si="16"/>
        <v>42917</v>
      </c>
      <c r="L59" s="1567">
        <f t="shared" si="16"/>
        <v>42887</v>
      </c>
      <c r="M59" s="1567">
        <f t="shared" si="16"/>
        <v>42856</v>
      </c>
      <c r="N59" s="1567">
        <f t="shared" si="16"/>
        <v>42826</v>
      </c>
      <c r="O59" s="1567">
        <f t="shared" si="16"/>
        <v>42795</v>
      </c>
      <c r="P59" s="1563"/>
    </row>
    <row r="60" spans="1:29" s="111" customFormat="1" ht="15">
      <c r="A60" s="502"/>
      <c r="B60" s="503"/>
      <c r="C60" s="1565">
        <v>100</v>
      </c>
      <c r="D60" s="505">
        <v>100</v>
      </c>
      <c r="E60" s="505">
        <v>100</v>
      </c>
      <c r="F60" s="505">
        <v>100</v>
      </c>
      <c r="G60" s="505">
        <v>100</v>
      </c>
      <c r="H60" s="505">
        <v>100</v>
      </c>
      <c r="I60" s="505"/>
      <c r="J60" s="505"/>
      <c r="K60" s="505"/>
      <c r="L60" s="505"/>
      <c r="M60" s="506"/>
      <c r="N60" s="505"/>
      <c r="O60" s="506"/>
      <c r="P60" s="2673"/>
    </row>
    <row r="61" spans="1:29" s="111" customFormat="1" ht="15.75" thickBot="1">
      <c r="A61" s="508" t="s">
        <v>2585</v>
      </c>
      <c r="B61" s="509"/>
      <c r="C61" s="510"/>
      <c r="D61" s="511"/>
      <c r="E61" s="511"/>
      <c r="F61" s="511"/>
      <c r="G61" s="511"/>
      <c r="H61" s="511"/>
      <c r="I61" s="511"/>
      <c r="J61" s="511"/>
      <c r="K61" s="511"/>
      <c r="L61" s="511"/>
      <c r="M61" s="512"/>
      <c r="N61" s="511"/>
      <c r="O61" s="512"/>
      <c r="P61" s="2673"/>
      <c r="Q61" s="497"/>
    </row>
    <row r="62" spans="1:29" s="111" customFormat="1" ht="15">
      <c r="A62" s="514" t="s">
        <v>2550</v>
      </c>
      <c r="B62" s="503"/>
      <c r="C62" s="515" t="s">
        <v>2652</v>
      </c>
      <c r="D62" s="516"/>
      <c r="E62" s="516"/>
      <c r="F62" s="516"/>
      <c r="G62" s="516"/>
      <c r="H62" s="516"/>
      <c r="I62" s="516"/>
      <c r="J62" s="516"/>
      <c r="K62" s="516"/>
      <c r="L62" s="517"/>
      <c r="M62" s="518"/>
      <c r="N62" s="1144"/>
      <c r="O62" s="1144"/>
      <c r="P62" s="2674"/>
      <c r="Q62" s="497"/>
    </row>
    <row r="63" spans="1:29" s="111" customFormat="1" ht="15.75" thickBot="1">
      <c r="A63" s="514"/>
      <c r="B63" s="503"/>
      <c r="C63" s="504">
        <v>100</v>
      </c>
      <c r="D63" s="505"/>
      <c r="E63" s="505"/>
      <c r="F63" s="505"/>
      <c r="G63" s="505"/>
      <c r="H63" s="505"/>
      <c r="I63" s="505"/>
      <c r="J63" s="505"/>
      <c r="K63" s="505"/>
      <c r="L63" s="505"/>
      <c r="M63" s="507"/>
      <c r="N63" s="1144"/>
      <c r="O63" s="1144"/>
      <c r="P63" s="2673"/>
      <c r="Q63" s="497"/>
    </row>
    <row r="64" spans="1:29">
      <c r="A64" s="520" t="s">
        <v>2588</v>
      </c>
      <c r="B64" s="521" t="s">
        <v>2554</v>
      </c>
      <c r="C64" s="522" t="str">
        <f>C9</f>
        <v>办公</v>
      </c>
      <c r="D64" s="523"/>
      <c r="E64" s="523"/>
      <c r="F64" s="523"/>
      <c r="G64" s="523"/>
      <c r="H64" s="523"/>
      <c r="I64" s="523"/>
      <c r="J64" s="523"/>
      <c r="K64" s="524"/>
      <c r="L64" s="525"/>
      <c r="M64" s="526"/>
      <c r="N64" s="1145"/>
      <c r="O64" s="1145"/>
      <c r="P64" s="2675"/>
      <c r="Q64" s="497"/>
    </row>
    <row r="65" spans="1:17" ht="15.75" thickBot="1">
      <c r="A65" s="527"/>
      <c r="B65" s="528"/>
      <c r="C65" s="529">
        <v>100</v>
      </c>
      <c r="D65" s="529"/>
      <c r="E65" s="529"/>
      <c r="F65" s="529"/>
      <c r="G65" s="529"/>
      <c r="H65" s="529"/>
      <c r="I65" s="529"/>
      <c r="J65" s="529"/>
      <c r="K65" s="529"/>
      <c r="L65" s="529"/>
      <c r="M65" s="530"/>
      <c r="N65" s="1146"/>
      <c r="O65" s="1146"/>
      <c r="P65" s="2675"/>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5"/>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5"/>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5"/>
      <c r="Q68" s="497"/>
    </row>
    <row r="69" spans="1:17" ht="15">
      <c r="A69" s="527"/>
      <c r="B69" s="541"/>
      <c r="C69" s="542">
        <v>0</v>
      </c>
      <c r="D69" s="542">
        <v>1</v>
      </c>
      <c r="E69" s="542">
        <v>2</v>
      </c>
      <c r="F69" s="542">
        <v>3</v>
      </c>
      <c r="G69" s="542">
        <v>4</v>
      </c>
      <c r="H69" s="542">
        <v>5</v>
      </c>
      <c r="I69" s="542"/>
      <c r="J69" s="542"/>
      <c r="K69" s="543"/>
      <c r="L69" s="544"/>
      <c r="M69" s="545"/>
      <c r="N69" s="1145"/>
      <c r="O69" s="1145"/>
      <c r="P69" s="2675"/>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5"/>
      <c r="Q70" s="497"/>
    </row>
    <row r="71" spans="1:17" s="464" customFormat="1" ht="15.75" thickTop="1">
      <c r="A71" s="546"/>
      <c r="B71" s="531">
        <f>B12</f>
        <v>111</v>
      </c>
      <c r="C71" s="547"/>
      <c r="D71" s="547"/>
      <c r="E71" s="547"/>
      <c r="F71" s="547"/>
      <c r="G71" s="547"/>
      <c r="H71" s="548"/>
      <c r="I71" s="548"/>
      <c r="J71" s="548"/>
      <c r="K71" s="548"/>
      <c r="L71" s="549"/>
      <c r="M71" s="550"/>
      <c r="N71" s="1147"/>
      <c r="O71" s="1147"/>
      <c r="P71" s="2676"/>
      <c r="Q71" s="552"/>
    </row>
    <row r="72" spans="1:17" s="464" customFormat="1" ht="15.75" thickBot="1">
      <c r="A72" s="546"/>
      <c r="B72" s="536"/>
      <c r="C72" s="553"/>
      <c r="D72" s="529"/>
      <c r="E72" s="529"/>
      <c r="F72" s="529"/>
      <c r="G72" s="529"/>
      <c r="H72" s="529"/>
      <c r="I72" s="529"/>
      <c r="J72" s="529"/>
      <c r="K72" s="529"/>
      <c r="L72" s="529"/>
      <c r="M72" s="530"/>
      <c r="N72" s="1146"/>
      <c r="O72" s="1146"/>
      <c r="P72" s="2676"/>
      <c r="Q72" s="552"/>
    </row>
    <row r="73" spans="1:17" s="464" customFormat="1" ht="15.75" thickTop="1">
      <c r="A73" s="546"/>
      <c r="B73" s="531">
        <f>B13</f>
        <v>111</v>
      </c>
      <c r="C73" s="547"/>
      <c r="D73" s="547"/>
      <c r="E73" s="547"/>
      <c r="F73" s="547"/>
      <c r="G73" s="547"/>
      <c r="H73" s="548"/>
      <c r="I73" s="548"/>
      <c r="J73" s="548"/>
      <c r="K73" s="548"/>
      <c r="L73" s="549"/>
      <c r="M73" s="550"/>
      <c r="N73" s="1147"/>
      <c r="O73" s="1147"/>
      <c r="P73" s="2677"/>
      <c r="Q73" s="554"/>
    </row>
    <row r="74" spans="1:17" s="464" customFormat="1" ht="15.75" thickBot="1">
      <c r="A74" s="546"/>
      <c r="B74" s="536"/>
      <c r="C74" s="553"/>
      <c r="D74" s="553"/>
      <c r="E74" s="553"/>
      <c r="F74" s="553"/>
      <c r="G74" s="553"/>
      <c r="H74" s="555"/>
      <c r="I74" s="555"/>
      <c r="J74" s="555"/>
      <c r="K74" s="555"/>
      <c r="L74" s="555"/>
      <c r="M74" s="556"/>
      <c r="N74" s="1147"/>
      <c r="O74" s="1147"/>
      <c r="P74" s="2676"/>
      <c r="Q74" s="552"/>
    </row>
    <row r="75" spans="1:17" s="464" customFormat="1" ht="15.75" thickTop="1">
      <c r="A75" s="546"/>
      <c r="B75" s="539">
        <f>B14</f>
        <v>111</v>
      </c>
      <c r="C75" s="516"/>
      <c r="D75" s="516"/>
      <c r="E75" s="516"/>
      <c r="F75" s="516"/>
      <c r="G75" s="516"/>
      <c r="H75" s="557"/>
      <c r="I75" s="557"/>
      <c r="J75" s="557"/>
      <c r="K75" s="557"/>
      <c r="L75" s="558"/>
      <c r="M75" s="559"/>
      <c r="N75" s="1147"/>
      <c r="O75" s="1147"/>
      <c r="P75" s="2678"/>
      <c r="Q75" s="552"/>
    </row>
    <row r="76" spans="1:17" s="464" customFormat="1" ht="15.75" thickBot="1">
      <c r="A76" s="561"/>
      <c r="B76" s="562"/>
      <c r="C76" s="563"/>
      <c r="D76" s="563"/>
      <c r="E76" s="563"/>
      <c r="F76" s="563"/>
      <c r="G76" s="563"/>
      <c r="H76" s="564"/>
      <c r="I76" s="564"/>
      <c r="J76" s="564"/>
      <c r="K76" s="564"/>
      <c r="L76" s="564"/>
      <c r="M76" s="565"/>
      <c r="N76" s="1147"/>
      <c r="O76" s="1147"/>
      <c r="P76" s="2676"/>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9"/>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5"/>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5"/>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5"/>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5"/>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5"/>
      <c r="Q82" s="497"/>
    </row>
    <row r="83" spans="1:17" ht="15.75" thickTop="1">
      <c r="A83" s="527"/>
      <c r="B83" s="539" t="s">
        <v>2689</v>
      </c>
      <c r="C83" s="653" t="s">
        <v>2675</v>
      </c>
      <c r="D83" s="653" t="s">
        <v>2676</v>
      </c>
      <c r="E83" s="653" t="s">
        <v>2677</v>
      </c>
      <c r="F83" s="653" t="s">
        <v>2678</v>
      </c>
      <c r="G83" s="653" t="s">
        <v>2679</v>
      </c>
      <c r="H83" s="532"/>
      <c r="I83" s="532"/>
      <c r="J83" s="532"/>
      <c r="K83" s="532"/>
      <c r="L83" s="532"/>
      <c r="M83" s="1375"/>
      <c r="N83" s="1146"/>
      <c r="O83" s="1146"/>
      <c r="P83" s="2675"/>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5"/>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5"/>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5"/>
      <c r="Q86" s="497"/>
    </row>
    <row r="87" spans="1:17" s="111" customFormat="1" ht="27.75" thickTop="1">
      <c r="A87" s="572"/>
      <c r="B87" s="531" t="s">
        <v>2699</v>
      </c>
      <c r="C87" s="2952" t="s">
        <v>3538</v>
      </c>
      <c r="D87" s="2952" t="s">
        <v>3539</v>
      </c>
      <c r="E87" s="2952" t="s">
        <v>3540</v>
      </c>
      <c r="F87" s="2952" t="s">
        <v>3541</v>
      </c>
      <c r="G87" s="2952" t="s">
        <v>3531</v>
      </c>
      <c r="H87" s="547"/>
      <c r="I87" s="547"/>
      <c r="J87" s="547"/>
      <c r="K87" s="547"/>
      <c r="L87" s="573"/>
      <c r="M87" s="574"/>
      <c r="N87" s="1144"/>
      <c r="O87" s="1144"/>
      <c r="P87" s="2675"/>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5"/>
      <c r="Q88" s="497"/>
    </row>
    <row r="89" spans="1:17" s="111" customFormat="1" ht="15.75" thickTop="1">
      <c r="A89" s="572"/>
      <c r="B89" s="531" t="str">
        <f>B27</f>
        <v>楼层</v>
      </c>
      <c r="C89" s="547"/>
      <c r="D89" s="547"/>
      <c r="E89" s="547"/>
      <c r="F89" s="2626"/>
      <c r="G89" s="547"/>
      <c r="H89" s="547"/>
      <c r="I89" s="547"/>
      <c r="J89" s="547"/>
      <c r="K89" s="547"/>
      <c r="L89" s="547"/>
      <c r="M89" s="574"/>
      <c r="N89" s="1144"/>
      <c r="O89" s="1144"/>
      <c r="P89" s="2675"/>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5"/>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6"/>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6"/>
      <c r="Q92" s="552"/>
    </row>
    <row r="93" spans="1:17" ht="15.75" thickTop="1">
      <c r="A93" s="527"/>
      <c r="B93" s="531">
        <f>B29</f>
        <v>111</v>
      </c>
      <c r="C93" s="547"/>
      <c r="D93" s="547"/>
      <c r="E93" s="547"/>
      <c r="F93" s="547"/>
      <c r="G93" s="547"/>
      <c r="H93" s="547"/>
      <c r="I93" s="547"/>
      <c r="J93" s="547"/>
      <c r="K93" s="547"/>
      <c r="L93" s="573"/>
      <c r="M93" s="574"/>
      <c r="N93" s="1145"/>
      <c r="O93" s="1145"/>
      <c r="P93" s="2675"/>
      <c r="Q93" s="497"/>
    </row>
    <row r="94" spans="1:17" ht="15.75" thickBot="1">
      <c r="A94" s="527"/>
      <c r="B94" s="536"/>
      <c r="C94" s="553"/>
      <c r="D94" s="529"/>
      <c r="E94" s="529"/>
      <c r="F94" s="529"/>
      <c r="G94" s="529"/>
      <c r="H94" s="529"/>
      <c r="I94" s="529"/>
      <c r="J94" s="529"/>
      <c r="K94" s="529"/>
      <c r="L94" s="529"/>
      <c r="M94" s="530"/>
      <c r="N94" s="1146"/>
      <c r="O94" s="1146"/>
      <c r="P94" s="2675"/>
      <c r="Q94" s="497"/>
    </row>
    <row r="95" spans="1:17" ht="15.75" thickTop="1">
      <c r="A95" s="527"/>
      <c r="B95" s="531">
        <f>B30</f>
        <v>111</v>
      </c>
      <c r="C95" s="547"/>
      <c r="D95" s="547"/>
      <c r="E95" s="547"/>
      <c r="F95" s="547"/>
      <c r="G95" s="576"/>
      <c r="H95" s="576"/>
      <c r="I95" s="576"/>
      <c r="J95" s="576"/>
      <c r="K95" s="577"/>
      <c r="L95" s="578"/>
      <c r="M95" s="579"/>
      <c r="N95" s="1145"/>
      <c r="O95" s="1145"/>
      <c r="P95" s="2675"/>
      <c r="Q95" s="497"/>
    </row>
    <row r="96" spans="1:17" ht="15.75" thickBot="1">
      <c r="A96" s="527"/>
      <c r="B96" s="536"/>
      <c r="C96" s="553"/>
      <c r="D96" s="553"/>
      <c r="E96" s="553"/>
      <c r="F96" s="553"/>
      <c r="G96" s="529"/>
      <c r="H96" s="529"/>
      <c r="I96" s="529"/>
      <c r="J96" s="529"/>
      <c r="K96" s="529"/>
      <c r="L96" s="529"/>
      <c r="M96" s="530"/>
      <c r="N96" s="1146"/>
      <c r="O96" s="1146"/>
      <c r="P96" s="2675"/>
      <c r="Q96" s="497"/>
    </row>
    <row r="97" spans="1:17" ht="15.75" thickTop="1">
      <c r="A97" s="527"/>
      <c r="B97" s="531">
        <f>B31</f>
        <v>111</v>
      </c>
      <c r="C97" s="547"/>
      <c r="D97" s="547"/>
      <c r="E97" s="547"/>
      <c r="F97" s="547"/>
      <c r="G97" s="576"/>
      <c r="H97" s="576"/>
      <c r="I97" s="576"/>
      <c r="J97" s="576"/>
      <c r="K97" s="577"/>
      <c r="L97" s="578"/>
      <c r="M97" s="579"/>
      <c r="N97" s="1145"/>
      <c r="O97" s="1145"/>
      <c r="P97" s="2675"/>
      <c r="Q97" s="497"/>
    </row>
    <row r="98" spans="1:17" ht="15.75" thickBot="1">
      <c r="A98" s="527"/>
      <c r="B98" s="536"/>
      <c r="C98" s="553"/>
      <c r="D98" s="529"/>
      <c r="E98" s="529"/>
      <c r="F98" s="529"/>
      <c r="G98" s="529"/>
      <c r="H98" s="529"/>
      <c r="I98" s="529"/>
      <c r="J98" s="529"/>
      <c r="K98" s="529"/>
      <c r="L98" s="529"/>
      <c r="M98" s="530"/>
      <c r="N98" s="1146"/>
      <c r="O98" s="1146"/>
      <c r="P98" s="2675"/>
      <c r="Q98" s="497"/>
    </row>
    <row r="99" spans="1:17" ht="15.75" thickTop="1">
      <c r="A99" s="527"/>
      <c r="B99" s="539">
        <f>B32</f>
        <v>111</v>
      </c>
      <c r="C99" s="516"/>
      <c r="D99" s="516"/>
      <c r="E99" s="516"/>
      <c r="F99" s="516"/>
      <c r="G99" s="580"/>
      <c r="H99" s="580"/>
      <c r="I99" s="580"/>
      <c r="J99" s="580"/>
      <c r="K99" s="581"/>
      <c r="L99" s="582"/>
      <c r="M99" s="583"/>
      <c r="N99" s="1145"/>
      <c r="O99" s="1145"/>
      <c r="P99" s="2675"/>
      <c r="Q99" s="497"/>
    </row>
    <row r="100" spans="1:17" ht="15.75" thickBot="1">
      <c r="A100" s="2627"/>
      <c r="B100" s="562"/>
      <c r="C100" s="563"/>
      <c r="D100" s="563"/>
      <c r="E100" s="563"/>
      <c r="F100" s="563"/>
      <c r="G100" s="584"/>
      <c r="H100" s="584"/>
      <c r="I100" s="584"/>
      <c r="J100" s="584"/>
      <c r="K100" s="584"/>
      <c r="L100" s="584"/>
      <c r="M100" s="585"/>
      <c r="N100" s="1146"/>
      <c r="O100" s="1146"/>
      <c r="P100" s="2675"/>
      <c r="Q100" s="497"/>
    </row>
    <row r="101" spans="1:17">
      <c r="A101" s="520" t="s">
        <v>2563</v>
      </c>
      <c r="B101" s="521" t="s">
        <v>2612</v>
      </c>
      <c r="C101" s="523"/>
      <c r="D101" s="523"/>
      <c r="E101" s="523"/>
      <c r="F101" s="523"/>
      <c r="G101" s="523"/>
      <c r="H101" s="523"/>
      <c r="I101" s="523"/>
      <c r="J101" s="523"/>
      <c r="K101" s="524"/>
      <c r="L101" s="525"/>
      <c r="M101" s="526"/>
      <c r="N101" s="1145"/>
      <c r="O101" s="1145"/>
      <c r="P101" s="2675"/>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5"/>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5"/>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6"/>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6"/>
      <c r="Q105" s="552"/>
    </row>
    <row r="106" spans="1:17" ht="15" thickTop="1">
      <c r="A106" s="592"/>
      <c r="B106" s="531" t="s">
        <v>2614</v>
      </c>
      <c r="C106" s="547"/>
      <c r="D106" s="547"/>
      <c r="E106" s="576"/>
      <c r="F106" s="576"/>
      <c r="G106" s="576"/>
      <c r="H106" s="576"/>
      <c r="I106" s="576"/>
      <c r="J106" s="576"/>
      <c r="K106" s="577"/>
      <c r="L106" s="578"/>
      <c r="M106" s="579"/>
      <c r="N106" s="1145"/>
      <c r="O106" s="1145"/>
      <c r="P106" s="2675"/>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5"/>
      <c r="Q107" s="497"/>
    </row>
    <row r="108" spans="1:17" ht="15" thickTop="1">
      <c r="A108" s="592"/>
      <c r="B108" s="531" t="s">
        <v>2616</v>
      </c>
      <c r="C108" s="2952" t="s">
        <v>3542</v>
      </c>
      <c r="D108" s="2952" t="s">
        <v>3543</v>
      </c>
      <c r="E108" s="2952" t="s">
        <v>3534</v>
      </c>
      <c r="F108" s="576"/>
      <c r="G108" s="576"/>
      <c r="H108" s="576"/>
      <c r="I108" s="576"/>
      <c r="J108" s="576"/>
      <c r="K108" s="577"/>
      <c r="L108" s="578"/>
      <c r="M108" s="579"/>
      <c r="N108" s="1145"/>
      <c r="O108" s="1145"/>
      <c r="P108" s="2675"/>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5"/>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5"/>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5"/>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5"/>
      <c r="Q112" s="497"/>
    </row>
    <row r="113" spans="1:17" s="464" customFormat="1" ht="15" thickTop="1">
      <c r="A113" s="586"/>
      <c r="B113" s="531" t="s">
        <v>2700</v>
      </c>
      <c r="C113" s="2952" t="s">
        <v>3500</v>
      </c>
      <c r="D113" s="2952" t="s">
        <v>3544</v>
      </c>
      <c r="E113" s="547"/>
      <c r="F113" s="547"/>
      <c r="G113" s="547"/>
      <c r="H113" s="576"/>
      <c r="I113" s="576"/>
      <c r="J113" s="576"/>
      <c r="K113" s="577"/>
      <c r="L113" s="578"/>
      <c r="M113" s="579"/>
      <c r="N113" s="1147"/>
      <c r="O113" s="1147"/>
      <c r="P113" s="2676"/>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6"/>
      <c r="Q114" s="552"/>
    </row>
    <row r="115" spans="1:17" ht="15" thickTop="1">
      <c r="A115" s="592"/>
      <c r="B115" s="531" t="s">
        <v>2617</v>
      </c>
      <c r="C115" s="547"/>
      <c r="D115" s="547"/>
      <c r="E115" s="576"/>
      <c r="F115" s="576"/>
      <c r="G115" s="576"/>
      <c r="H115" s="576"/>
      <c r="I115" s="576"/>
      <c r="J115" s="576"/>
      <c r="K115" s="577"/>
      <c r="L115" s="578"/>
      <c r="M115" s="579"/>
      <c r="N115" s="1145"/>
      <c r="O115" s="1145"/>
      <c r="P115" s="2675"/>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5"/>
      <c r="Q116" s="497"/>
    </row>
    <row r="117" spans="1:17" ht="15" thickTop="1">
      <c r="A117" s="592"/>
      <c r="B117" s="531" t="s">
        <v>2618</v>
      </c>
      <c r="C117" s="547"/>
      <c r="D117" s="547"/>
      <c r="E117" s="547"/>
      <c r="F117" s="547"/>
      <c r="G117" s="547"/>
      <c r="H117" s="576"/>
      <c r="I117" s="576"/>
      <c r="J117" s="576"/>
      <c r="K117" s="577"/>
      <c r="L117" s="578"/>
      <c r="M117" s="579"/>
      <c r="N117" s="1145"/>
      <c r="O117" s="1145"/>
      <c r="P117" s="2675"/>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5"/>
      <c r="Q118" s="497"/>
    </row>
    <row r="119" spans="1:17" ht="15" thickTop="1">
      <c r="A119" s="592"/>
      <c r="B119" s="629" t="s">
        <v>2701</v>
      </c>
      <c r="C119" s="576" t="s">
        <v>3545</v>
      </c>
      <c r="D119" s="2975" t="s">
        <v>3537</v>
      </c>
      <c r="E119" s="576"/>
      <c r="F119" s="576"/>
      <c r="G119" s="576"/>
      <c r="H119" s="576"/>
      <c r="I119" s="576"/>
      <c r="J119" s="576"/>
      <c r="K119" s="576"/>
      <c r="L119" s="2680"/>
      <c r="M119" s="2681"/>
      <c r="N119" s="1146"/>
      <c r="O119" s="1146"/>
      <c r="P119" s="2682"/>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5"/>
      <c r="Q120" s="497"/>
    </row>
    <row r="121" spans="1:17" s="464" customFormat="1" ht="15" thickTop="1">
      <c r="A121" s="586"/>
      <c r="B121" s="531" t="s">
        <v>2684</v>
      </c>
      <c r="C121" s="427" t="s">
        <v>3526</v>
      </c>
      <c r="D121" s="427" t="s">
        <v>3517</v>
      </c>
      <c r="E121" s="427" t="s">
        <v>3525</v>
      </c>
      <c r="F121" s="427">
        <v>150</v>
      </c>
      <c r="G121" s="548"/>
      <c r="H121" s="548"/>
      <c r="I121" s="548"/>
      <c r="J121" s="548"/>
      <c r="K121" s="548"/>
      <c r="L121" s="549"/>
      <c r="M121" s="550"/>
      <c r="N121" s="1147"/>
      <c r="O121" s="1147"/>
      <c r="P121" s="2676"/>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6"/>
      <c r="Q122" s="552"/>
    </row>
    <row r="123" spans="1:17" ht="15" thickTop="1">
      <c r="A123" s="592"/>
      <c r="B123" s="531" t="s">
        <v>2620</v>
      </c>
      <c r="C123" s="2952" t="s">
        <v>3542</v>
      </c>
      <c r="D123" s="2952" t="s">
        <v>3543</v>
      </c>
      <c r="E123" s="2952" t="s">
        <v>3534</v>
      </c>
      <c r="F123" s="2975" t="s">
        <v>3505</v>
      </c>
      <c r="G123" s="576"/>
      <c r="H123" s="576"/>
      <c r="I123" s="576"/>
      <c r="J123" s="576"/>
      <c r="K123" s="577"/>
      <c r="L123" s="578"/>
      <c r="M123" s="579"/>
      <c r="N123" s="1145"/>
      <c r="O123" s="1145"/>
      <c r="P123" s="2675"/>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5"/>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6"/>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5"/>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6"/>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6"/>
      <c r="Q128" s="552"/>
    </row>
    <row r="129" spans="1:17" ht="15" thickTop="1">
      <c r="A129" s="592"/>
      <c r="B129" s="531">
        <f>B46</f>
        <v>111</v>
      </c>
      <c r="C129" s="547"/>
      <c r="D129" s="547"/>
      <c r="E129" s="547"/>
      <c r="F129" s="547"/>
      <c r="G129" s="576"/>
      <c r="H129" s="576"/>
      <c r="I129" s="576"/>
      <c r="J129" s="576"/>
      <c r="K129" s="577"/>
      <c r="L129" s="578"/>
      <c r="M129" s="579"/>
      <c r="N129" s="1145"/>
      <c r="O129" s="1145"/>
      <c r="P129" s="2675"/>
      <c r="Q129" s="497"/>
    </row>
    <row r="130" spans="1:17" ht="15.75" thickBot="1">
      <c r="A130" s="527"/>
      <c r="B130" s="536"/>
      <c r="C130" s="553"/>
      <c r="D130" s="553"/>
      <c r="E130" s="553"/>
      <c r="F130" s="553"/>
      <c r="G130" s="529"/>
      <c r="H130" s="529"/>
      <c r="I130" s="529"/>
      <c r="J130" s="529"/>
      <c r="K130" s="529"/>
      <c r="L130" s="529"/>
      <c r="M130" s="530"/>
      <c r="N130" s="1146"/>
      <c r="O130" s="1146"/>
      <c r="P130" s="2675"/>
      <c r="Q130" s="497"/>
    </row>
    <row r="131" spans="1:17" ht="15" thickTop="1">
      <c r="A131" s="592"/>
      <c r="B131" s="539">
        <f>B47</f>
        <v>111</v>
      </c>
      <c r="C131" s="516"/>
      <c r="D131" s="516"/>
      <c r="E131" s="516"/>
      <c r="F131" s="516"/>
      <c r="G131" s="580"/>
      <c r="H131" s="580"/>
      <c r="I131" s="580"/>
      <c r="J131" s="580"/>
      <c r="K131" s="516"/>
      <c r="L131" s="517"/>
      <c r="M131" s="583"/>
      <c r="N131" s="1145"/>
      <c r="O131" s="1145"/>
      <c r="P131" s="2675"/>
      <c r="Q131" s="497"/>
    </row>
    <row r="132" spans="1:17" ht="15.75" thickBot="1">
      <c r="A132" s="2627"/>
      <c r="B132" s="562"/>
      <c r="C132" s="563"/>
      <c r="D132" s="563"/>
      <c r="E132" s="563"/>
      <c r="F132" s="563"/>
      <c r="G132" s="584"/>
      <c r="H132" s="584"/>
      <c r="I132" s="584"/>
      <c r="J132" s="584"/>
      <c r="K132" s="584"/>
      <c r="L132" s="584"/>
      <c r="M132" s="585"/>
      <c r="N132" s="1146"/>
      <c r="O132" s="1146"/>
      <c r="P132" s="2675"/>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44" sqref="F44"/>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2642</v>
      </c>
      <c r="C1" s="1626" t="s">
        <v>2530</v>
      </c>
      <c r="D1" s="1613" t="s">
        <v>3473</v>
      </c>
      <c r="E1" s="2648"/>
      <c r="F1" s="2575" t="s">
        <v>3546</v>
      </c>
      <c r="G1" s="1623" t="s">
        <v>2643</v>
      </c>
      <c r="H1" s="1622"/>
      <c r="I1" s="1622"/>
      <c r="J1" s="1622"/>
      <c r="K1" s="1624"/>
      <c r="L1" s="1625"/>
      <c r="M1" s="1626"/>
      <c r="N1" s="1626"/>
      <c r="O1" s="1626"/>
      <c r="P1" s="2649"/>
      <c r="Q1" s="2650"/>
      <c r="R1" s="2650"/>
      <c r="S1" s="2650"/>
      <c r="T1" s="2650"/>
      <c r="U1" s="2650"/>
      <c r="V1" s="2650"/>
      <c r="W1" s="2650"/>
      <c r="X1" s="2650"/>
      <c r="Y1" s="2650"/>
      <c r="Z1" s="2650"/>
      <c r="AA1" s="2650"/>
      <c r="AB1" s="2650"/>
      <c r="AC1" s="2651"/>
    </row>
    <row r="2" spans="1:29" s="391" customFormat="1" ht="28.5" customHeight="1" thickTop="1">
      <c r="A2" s="1609" t="s">
        <v>2330</v>
      </c>
      <c r="B2" s="1411">
        <f>IF(C2="——",ROUND(C49*D3/10000,0),ROUND(C49*D3/10000,0)-D2)</f>
        <v>29152</v>
      </c>
      <c r="C2" s="2577" t="s">
        <v>70</v>
      </c>
      <c r="D2" s="1358" t="e">
        <f ca="1">SUMIF(INDIRECT("'"&amp;F2&amp;"'"&amp;"!A:A"),"承租人权益价值",INDIRECT("'"&amp;F2&amp;"'"&amp;"!c:c"))</f>
        <v>#REF!</v>
      </c>
      <c r="E2" s="2578" t="s">
        <v>2331</v>
      </c>
      <c r="F2" s="2579"/>
      <c r="G2" s="1118"/>
      <c r="H2" s="1118"/>
      <c r="I2" s="1118"/>
      <c r="J2" s="1118"/>
      <c r="K2" s="1118"/>
      <c r="L2" s="1121"/>
      <c r="M2" s="1122"/>
      <c r="N2" s="1122"/>
      <c r="O2" s="1122"/>
      <c r="P2" s="2652"/>
      <c r="Q2" s="1122"/>
      <c r="R2" s="1122"/>
      <c r="S2" s="1122"/>
      <c r="T2" s="1122"/>
      <c r="U2" s="1122"/>
      <c r="V2" s="1122"/>
      <c r="W2" s="1122"/>
      <c r="X2" s="1122"/>
      <c r="Y2" s="1122"/>
      <c r="Z2" s="1122"/>
      <c r="AA2" s="1122"/>
      <c r="AB2" s="1122"/>
      <c r="AC2" s="2653"/>
    </row>
    <row r="3" spans="1:29" s="391" customFormat="1" ht="28.5" customHeight="1" thickBot="1">
      <c r="A3" s="240" t="s">
        <v>2332</v>
      </c>
      <c r="B3" s="602">
        <f>IF(C2="——",C49,ROUND(B2*10000/D3,0))</f>
        <v>38425</v>
      </c>
      <c r="C3" s="393" t="s">
        <v>2644</v>
      </c>
      <c r="D3" s="392">
        <f>IF(D1="",'数据-汇总表'!E3,SUMIF('数据-汇总表'!$C19:$C33,D1,'数据-汇总表'!$E19:$E33))</f>
        <v>7586.82</v>
      </c>
      <c r="E3" s="2654"/>
      <c r="F3" s="1119"/>
      <c r="G3" s="1118"/>
      <c r="H3" s="1118"/>
      <c r="I3" s="1118"/>
      <c r="J3" s="1118"/>
      <c r="K3" s="1120"/>
      <c r="L3" s="1121"/>
      <c r="M3" s="1122"/>
      <c r="N3" s="1122"/>
      <c r="O3" s="1122"/>
      <c r="P3" s="2652"/>
      <c r="Q3" s="1122"/>
      <c r="R3" s="1122"/>
      <c r="S3" s="1122"/>
      <c r="T3" s="1122"/>
      <c r="U3" s="1122"/>
      <c r="V3" s="1122"/>
      <c r="W3" s="1122"/>
      <c r="X3" s="1122"/>
      <c r="Y3" s="1122"/>
      <c r="Z3" s="1122"/>
      <c r="AA3" s="1122"/>
      <c r="AB3" s="1122"/>
      <c r="AC3" s="2654"/>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2" t="s">
        <v>2648</v>
      </c>
      <c r="AC4" s="3213" t="s">
        <v>2649</v>
      </c>
    </row>
    <row r="5" spans="1:29" ht="15">
      <c r="A5" s="397"/>
      <c r="B5" s="398"/>
      <c r="C5" s="3233" t="s">
        <v>2542</v>
      </c>
      <c r="D5" s="3234"/>
      <c r="E5" s="3265" t="s">
        <v>3563</v>
      </c>
      <c r="F5" s="3241"/>
      <c r="G5" s="3262" t="s">
        <v>3569</v>
      </c>
      <c r="H5" s="3234"/>
      <c r="I5" s="3262" t="s">
        <v>3573</v>
      </c>
      <c r="J5" s="3234"/>
      <c r="K5" s="603"/>
      <c r="L5" s="1123"/>
      <c r="M5" s="1124"/>
      <c r="N5" s="1124"/>
      <c r="O5" s="1124"/>
      <c r="P5" s="3221"/>
      <c r="Q5" s="3222"/>
      <c r="R5" s="3227"/>
      <c r="S5" s="3228"/>
      <c r="T5" s="3227"/>
      <c r="U5" s="3228"/>
      <c r="V5" s="3212"/>
      <c r="W5" s="3212"/>
      <c r="X5" s="1805"/>
      <c r="Y5" s="3227"/>
      <c r="Z5" s="3228"/>
      <c r="AA5" s="3214"/>
      <c r="AB5" s="3212"/>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2"/>
      <c r="AC6" s="3215"/>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235"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766">
        <f>D7/J7</f>
        <v>1</v>
      </c>
    </row>
    <row r="8" spans="1:29" s="111" customFormat="1" ht="15.75" thickBot="1">
      <c r="A8" s="401" t="s">
        <v>2550</v>
      </c>
      <c r="B8" s="402"/>
      <c r="C8" s="407" t="s">
        <v>2652</v>
      </c>
      <c r="D8" s="404">
        <v>100</v>
      </c>
      <c r="E8" s="2935" t="s">
        <v>3555</v>
      </c>
      <c r="F8" s="406">
        <f>SUMIF(61:61,E8,62:62)-SUMIF(61:61,C8,62:62)+100</f>
        <v>100</v>
      </c>
      <c r="G8" s="2935" t="s">
        <v>3555</v>
      </c>
      <c r="H8" s="404">
        <f>SUMIF(61:61,G8,62:62)-SUMIF(61:61,C8,62:62)+100</f>
        <v>100</v>
      </c>
      <c r="I8" s="2935" t="s">
        <v>3555</v>
      </c>
      <c r="J8" s="404">
        <f>SUMIF(61:61,I8,62:62)-SUMIF(61:61,C8,62:62)+100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6" si="3">D8/F8</f>
        <v>1</v>
      </c>
      <c r="AB8" s="766">
        <f t="shared" ref="AB8:AB46" si="4">D8/H8</f>
        <v>1</v>
      </c>
      <c r="AC8" s="766">
        <f t="shared" ref="AC8:AC46" si="5">D8/J8</f>
        <v>1</v>
      </c>
    </row>
    <row r="9" spans="1:29" s="111" customFormat="1">
      <c r="A9" s="408" t="s">
        <v>2553</v>
      </c>
      <c r="B9" s="69" t="s">
        <v>2554</v>
      </c>
      <c r="C9" s="2976" t="s">
        <v>3547</v>
      </c>
      <c r="D9" s="128">
        <v>100</v>
      </c>
      <c r="E9" s="2981" t="s">
        <v>3556</v>
      </c>
      <c r="F9" s="411">
        <f>SUMIF(63:63,E9,64:64)-SUMIF(63:63,C9,64:64)+100</f>
        <v>100</v>
      </c>
      <c r="G9" s="2981" t="s">
        <v>3547</v>
      </c>
      <c r="H9" s="128">
        <f>SUMIF(63:63,G9,64:64)-SUMIF(63:63,C9,64:64)+100</f>
        <v>100</v>
      </c>
      <c r="I9" s="2981" t="s">
        <v>3547</v>
      </c>
      <c r="J9" s="128">
        <f>SUMIF(63:63,I9,64:64)-SUMIF(63:63,C9,64:64)+100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t="s">
        <v>3548</v>
      </c>
      <c r="D10" s="129">
        <v>100</v>
      </c>
      <c r="E10" s="417" t="s">
        <v>3548</v>
      </c>
      <c r="F10" s="418">
        <f>SUMIF(65:65,E10,66:66)-SUMIF(65:65,C10,66:66)+100</f>
        <v>100</v>
      </c>
      <c r="G10" s="416" t="s">
        <v>3548</v>
      </c>
      <c r="H10" s="129">
        <f>SUMIF(65:65,G10,66:66)-SUMIF(65:65,C10,66:66)+100</f>
        <v>100</v>
      </c>
      <c r="I10" s="416" t="s">
        <v>3548</v>
      </c>
      <c r="J10" s="129">
        <f>SUMIF(65:65,I10,66:66)-SUMIF(65:65,C10,66:66)+100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f>'数据-汇总表'!I6</f>
        <v>2.48</v>
      </c>
      <c r="D11" s="129">
        <v>100</v>
      </c>
      <c r="E11" s="423">
        <v>2.17</v>
      </c>
      <c r="F11" s="418">
        <f>LOOKUP(E11,68:68,69:69)-LOOKUP(C11,68:68,69:69)+100</f>
        <v>100</v>
      </c>
      <c r="G11" s="422">
        <v>2.2000000000000002</v>
      </c>
      <c r="H11" s="129">
        <f>LOOKUP(G11,68:68,69:69)-LOOKUP(C11,68:68,69:69)+100</f>
        <v>100</v>
      </c>
      <c r="I11" s="422">
        <v>3</v>
      </c>
      <c r="J11" s="129">
        <f>LOOKUP(I11,68:68,69:69)-LOOKUP(C11,68:68,69:69)+100</f>
        <v>99</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99</v>
      </c>
      <c r="X11" s="765"/>
      <c r="Y11" s="3053"/>
      <c r="Z11" s="55" t="str">
        <f t="shared" si="7"/>
        <v>容积率</v>
      </c>
      <c r="AA11" s="766">
        <f t="shared" si="3"/>
        <v>1</v>
      </c>
      <c r="AB11" s="766">
        <f t="shared" si="4"/>
        <v>1</v>
      </c>
      <c r="AC11" s="766">
        <f t="shared" si="5"/>
        <v>1.0101010101010102</v>
      </c>
    </row>
    <row r="12" spans="1:29" s="111" customFormat="1" ht="15">
      <c r="A12" s="424"/>
      <c r="B12" s="2591">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85.5">
      <c r="A15" s="433" t="s">
        <v>2559</v>
      </c>
      <c r="B15" s="67" t="s">
        <v>2653</v>
      </c>
      <c r="C15" s="2594"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46" t="s">
        <v>2560</v>
      </c>
      <c r="Q15" s="1802" t="str">
        <f t="shared" si="6"/>
        <v>商业繁华度</v>
      </c>
      <c r="R15" s="767" t="s">
        <v>17</v>
      </c>
      <c r="S15" s="768">
        <f t="shared" si="0"/>
        <v>100</v>
      </c>
      <c r="T15" s="767" t="s">
        <v>17</v>
      </c>
      <c r="U15" s="768">
        <f t="shared" si="1"/>
        <v>100</v>
      </c>
      <c r="V15" s="767" t="s">
        <v>17</v>
      </c>
      <c r="W15" s="768">
        <f t="shared" si="2"/>
        <v>100</v>
      </c>
      <c r="X15" s="1805"/>
      <c r="Y15" s="3208" t="s">
        <v>2560</v>
      </c>
      <c r="Z15" s="1806" t="str">
        <f t="shared" si="7"/>
        <v>商业繁华度</v>
      </c>
      <c r="AA15" s="1803">
        <f t="shared" si="3"/>
        <v>1</v>
      </c>
      <c r="AB15" s="1803">
        <f t="shared" si="4"/>
        <v>1</v>
      </c>
      <c r="AC15" s="1803">
        <f t="shared" si="5"/>
        <v>1</v>
      </c>
    </row>
    <row r="16" spans="1:29" ht="15">
      <c r="A16" s="421"/>
      <c r="B16" s="439"/>
      <c r="C16" s="440" t="s">
        <v>3154</v>
      </c>
      <c r="D16" s="441"/>
      <c r="E16" s="440" t="s">
        <v>3154</v>
      </c>
      <c r="F16" s="442"/>
      <c r="G16" s="440" t="s">
        <v>3154</v>
      </c>
      <c r="H16" s="443"/>
      <c r="I16" s="2941" t="s">
        <v>3559</v>
      </c>
      <c r="J16" s="441"/>
      <c r="K16" s="608"/>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47"/>
      <c r="Q17" s="1802" t="str">
        <f>B17</f>
        <v>交通便捷度</v>
      </c>
      <c r="R17" s="767" t="s">
        <v>17</v>
      </c>
      <c r="S17" s="768">
        <f>F17</f>
        <v>98</v>
      </c>
      <c r="T17" s="767" t="s">
        <v>17</v>
      </c>
      <c r="U17" s="768">
        <f>H17</f>
        <v>100</v>
      </c>
      <c r="V17" s="767" t="s">
        <v>17</v>
      </c>
      <c r="W17" s="768">
        <f>J17</f>
        <v>100</v>
      </c>
      <c r="X17" s="1805"/>
      <c r="Y17" s="3209"/>
      <c r="Z17" s="1806" t="str">
        <f>Q17</f>
        <v>交通便捷度</v>
      </c>
      <c r="AA17" s="1803">
        <f t="shared" si="3"/>
        <v>1.0204081632653061</v>
      </c>
      <c r="AB17" s="1803">
        <f t="shared" si="4"/>
        <v>1</v>
      </c>
      <c r="AC17" s="1803">
        <f t="shared" si="5"/>
        <v>1</v>
      </c>
    </row>
    <row r="18" spans="1:29" ht="15">
      <c r="A18" s="421"/>
      <c r="B18" s="449"/>
      <c r="C18" s="2599" t="s">
        <v>3155</v>
      </c>
      <c r="D18" s="443"/>
      <c r="E18" s="2601" t="s">
        <v>3154</v>
      </c>
      <c r="F18" s="446"/>
      <c r="G18" s="2600" t="s">
        <v>3155</v>
      </c>
      <c r="H18" s="441"/>
      <c r="I18" s="2948" t="s">
        <v>3558</v>
      </c>
      <c r="J18" s="441"/>
      <c r="K18" s="608"/>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2654</v>
      </c>
      <c r="C19" s="2598" t="str">
        <f>估价对象房地状况!C7</f>
        <v>估价对象所在区域公共配套设施齐备情况较好，有邮储银行、华联超市</v>
      </c>
      <c r="D19" s="448">
        <v>100</v>
      </c>
      <c r="E19" s="2982" t="s">
        <v>3564</v>
      </c>
      <c r="F19" s="451">
        <f>SUMIF(80:80,E20,81:81)-SUMIF(80:80,C20,81:81)+100</f>
        <v>98</v>
      </c>
      <c r="G19" s="2980" t="s">
        <v>3570</v>
      </c>
      <c r="H19" s="443">
        <f>SUMIF(80:80,G20,81:81)-SUMIF(80:80,C20,81:81)+100</f>
        <v>100</v>
      </c>
      <c r="I19" s="450"/>
      <c r="J19" s="443">
        <f>SUMIF(80:80,I20,81:81)-SUMIF(80:80,C20,81:81)+100</f>
        <v>100</v>
      </c>
      <c r="K19" s="607">
        <v>2</v>
      </c>
      <c r="L19" s="1133"/>
      <c r="M19" s="1124"/>
      <c r="N19" s="1124"/>
      <c r="O19" s="1124"/>
      <c r="P19" s="3247"/>
      <c r="Q19" s="1802" t="str">
        <f>B19</f>
        <v>公共配套设施</v>
      </c>
      <c r="R19" s="767" t="s">
        <v>17</v>
      </c>
      <c r="S19" s="768">
        <f>F19</f>
        <v>98</v>
      </c>
      <c r="T19" s="767" t="s">
        <v>17</v>
      </c>
      <c r="U19" s="768">
        <f>H19</f>
        <v>100</v>
      </c>
      <c r="V19" s="767" t="s">
        <v>17</v>
      </c>
      <c r="W19" s="768">
        <f>J19</f>
        <v>100</v>
      </c>
      <c r="X19" s="1805"/>
      <c r="Y19" s="3209"/>
      <c r="Z19" s="1806" t="str">
        <f>Q19</f>
        <v>公共配套设施</v>
      </c>
      <c r="AA19" s="1803">
        <f t="shared" si="3"/>
        <v>1.0204081632653061</v>
      </c>
      <c r="AB19" s="1803">
        <f t="shared" si="4"/>
        <v>1</v>
      </c>
      <c r="AC19" s="1803">
        <f t="shared" si="5"/>
        <v>1</v>
      </c>
    </row>
    <row r="20" spans="1:29" ht="15">
      <c r="A20" s="421"/>
      <c r="B20" s="449"/>
      <c r="C20" s="440" t="s">
        <v>3155</v>
      </c>
      <c r="D20" s="441"/>
      <c r="E20" s="2596" t="s">
        <v>3154</v>
      </c>
      <c r="F20" s="442"/>
      <c r="G20" s="2595" t="s">
        <v>3155</v>
      </c>
      <c r="H20" s="441"/>
      <c r="I20" s="2949" t="s">
        <v>3558</v>
      </c>
      <c r="J20" s="441"/>
      <c r="K20" s="608"/>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2655</v>
      </c>
      <c r="C21" s="2598"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t="s">
        <v>3157</v>
      </c>
      <c r="D22" s="441"/>
      <c r="E22" s="440" t="s">
        <v>3157</v>
      </c>
      <c r="F22" s="442"/>
      <c r="G22" s="440" t="s">
        <v>3157</v>
      </c>
      <c r="H22" s="441"/>
      <c r="I22" s="2941" t="s">
        <v>3574</v>
      </c>
      <c r="J22" s="441"/>
      <c r="K22" s="1376"/>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655" t="str">
        <f>估价对象房地状况!C9</f>
        <v>区域自然环境：2公里内绿化条件较好，无污染，无公园等景观；人文环境：2公里内无图书馆、剧院等设施；综合评价环境状况较差</v>
      </c>
      <c r="D23" s="443">
        <v>100</v>
      </c>
      <c r="E23" s="2942" t="s">
        <v>3565</v>
      </c>
      <c r="F23" s="446">
        <f>SUMIF(84:84,E24,85:85)-SUMIF(84:84,C24,85:85)+100</f>
        <v>102</v>
      </c>
      <c r="G23" s="2951" t="s">
        <v>3571</v>
      </c>
      <c r="H23" s="443">
        <f>SUMIF(84:84,G24,85:85)-SUMIF(84:84,C24,85:85)+100</f>
        <v>100</v>
      </c>
      <c r="I23" s="445"/>
      <c r="J23" s="443">
        <f>SUMIF(84:84,I24,85:85)-SUMIF(84:84,C24,85:85)+100</f>
        <v>100</v>
      </c>
      <c r="K23" s="607">
        <v>2</v>
      </c>
      <c r="L23" s="1133"/>
      <c r="M23" s="1124"/>
      <c r="N23" s="1124"/>
      <c r="O23" s="1124"/>
      <c r="P23" s="3247"/>
      <c r="Q23" s="1802" t="str">
        <f>B23</f>
        <v>自然及人文环境</v>
      </c>
      <c r="R23" s="767" t="s">
        <v>17</v>
      </c>
      <c r="S23" s="768">
        <f>F23</f>
        <v>102</v>
      </c>
      <c r="T23" s="767" t="s">
        <v>17</v>
      </c>
      <c r="U23" s="768">
        <f>H23</f>
        <v>100</v>
      </c>
      <c r="V23" s="767" t="s">
        <v>17</v>
      </c>
      <c r="W23" s="768">
        <f>J23</f>
        <v>100</v>
      </c>
      <c r="X23" s="1805"/>
      <c r="Y23" s="3209"/>
      <c r="Z23" s="1806" t="str">
        <f>Q23</f>
        <v>自然及人文环境</v>
      </c>
      <c r="AA23" s="1803">
        <f t="shared" si="3"/>
        <v>0.98039215686274506</v>
      </c>
      <c r="AB23" s="1803">
        <f t="shared" si="4"/>
        <v>1</v>
      </c>
      <c r="AC23" s="1803">
        <f t="shared" si="5"/>
        <v>1</v>
      </c>
    </row>
    <row r="24" spans="1:29" ht="15">
      <c r="A24" s="421"/>
      <c r="B24" s="449"/>
      <c r="C24" s="440" t="s">
        <v>3156</v>
      </c>
      <c r="D24" s="441"/>
      <c r="E24" s="2596" t="s">
        <v>3154</v>
      </c>
      <c r="F24" s="442"/>
      <c r="G24" s="2595" t="s">
        <v>3156</v>
      </c>
      <c r="H24" s="441"/>
      <c r="I24" s="2949" t="s">
        <v>3575</v>
      </c>
      <c r="J24" s="441"/>
      <c r="K24" s="608"/>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2656</v>
      </c>
      <c r="C25" s="2938" t="s">
        <v>3557</v>
      </c>
      <c r="D25" s="428">
        <v>100</v>
      </c>
      <c r="E25" s="2938" t="s">
        <v>3566</v>
      </c>
      <c r="F25" s="454">
        <f>SUMIF(86:86,E25,87:87)-SUMIF(86:86,C25,87:87)+100</f>
        <v>100</v>
      </c>
      <c r="G25" s="2938" t="s">
        <v>3572</v>
      </c>
      <c r="H25" s="428">
        <f>SUMIF(86:86,G25,87:87)-SUMIF(86:86,C25,87:87)+100</f>
        <v>100</v>
      </c>
      <c r="I25" s="2938" t="s">
        <v>3572</v>
      </c>
      <c r="J25" s="428">
        <f>SUMIF(86:86,I25,87:87)-SUMIF(86:86,C25,87:87)+100</f>
        <v>100</v>
      </c>
      <c r="K25" s="605">
        <v>2</v>
      </c>
      <c r="L25" s="1133"/>
      <c r="M25" s="1124"/>
      <c r="N25" s="1124"/>
      <c r="O25" s="1124"/>
      <c r="P25" s="3247"/>
      <c r="Q25" s="1802" t="str">
        <f t="shared" ref="Q25:Q46" si="11">B25</f>
        <v>临街状况</v>
      </c>
      <c r="R25" s="767" t="s">
        <v>17</v>
      </c>
      <c r="S25" s="768">
        <f>F25</f>
        <v>100</v>
      </c>
      <c r="T25" s="767" t="s">
        <v>17</v>
      </c>
      <c r="U25" s="768">
        <f>H25</f>
        <v>100</v>
      </c>
      <c r="V25" s="767" t="s">
        <v>17</v>
      </c>
      <c r="W25" s="768">
        <f>J25</f>
        <v>100</v>
      </c>
      <c r="X25" s="1805"/>
      <c r="Y25" s="3209"/>
      <c r="Z25" s="1806" t="str">
        <f>Q25</f>
        <v>临街状况</v>
      </c>
      <c r="AA25" s="1803">
        <f t="shared" si="3"/>
        <v>1</v>
      </c>
      <c r="AB25" s="1803">
        <f t="shared" si="4"/>
        <v>1</v>
      </c>
      <c r="AC25" s="1803">
        <f t="shared" si="5"/>
        <v>1</v>
      </c>
    </row>
    <row r="26" spans="1:29" ht="15">
      <c r="A26" s="421"/>
      <c r="B26" s="1379" t="s">
        <v>2657</v>
      </c>
      <c r="C26" s="2945" t="s">
        <v>3558</v>
      </c>
      <c r="D26" s="428">
        <v>100</v>
      </c>
      <c r="E26" s="2945" t="s">
        <v>3558</v>
      </c>
      <c r="F26" s="454">
        <f>SUMIF(88:88,E26,89:89)-SUMIF(88:88,C26,89:89)+100</f>
        <v>100</v>
      </c>
      <c r="G26" s="2945" t="s">
        <v>3558</v>
      </c>
      <c r="H26" s="428">
        <f>SUMIF(88:88,G26,89:89)-SUMIF(88:88,C26,89:89)+100</f>
        <v>100</v>
      </c>
      <c r="I26" s="2945" t="s">
        <v>3558</v>
      </c>
      <c r="J26" s="428">
        <f>SUMIF(88:88,I26,89:89)-SUMIF(88:88,C26,89:89)+100</f>
        <v>100</v>
      </c>
      <c r="K26" s="606"/>
      <c r="L26" s="1133"/>
      <c r="M26" s="1124"/>
      <c r="N26" s="1124"/>
      <c r="O26" s="1124"/>
      <c r="P26" s="3247"/>
      <c r="Q26" s="1802" t="str">
        <f t="shared" si="11"/>
        <v>平面位置/可视性</v>
      </c>
      <c r="R26" s="767" t="s">
        <v>17</v>
      </c>
      <c r="S26" s="768">
        <f>F26</f>
        <v>100</v>
      </c>
      <c r="T26" s="767" t="s">
        <v>17</v>
      </c>
      <c r="U26" s="768">
        <f>H26</f>
        <v>100</v>
      </c>
      <c r="V26" s="767" t="s">
        <v>17</v>
      </c>
      <c r="W26" s="768">
        <f>J26</f>
        <v>100</v>
      </c>
      <c r="X26" s="1805"/>
      <c r="Y26" s="3209"/>
      <c r="Z26" s="1806" t="str">
        <f>Q26</f>
        <v>平面位置/可视性</v>
      </c>
      <c r="AA26" s="1803">
        <f t="shared" si="3"/>
        <v>1</v>
      </c>
      <c r="AB26" s="1803">
        <f t="shared" si="4"/>
        <v>1</v>
      </c>
      <c r="AC26" s="1803">
        <f t="shared" si="5"/>
        <v>1</v>
      </c>
    </row>
    <row r="27" spans="1:29" s="111" customFormat="1" ht="15">
      <c r="A27" s="424"/>
      <c r="B27" s="444" t="s">
        <v>2658</v>
      </c>
      <c r="C27" s="2984" t="s">
        <v>3559</v>
      </c>
      <c r="D27" s="455">
        <v>100</v>
      </c>
      <c r="E27" s="2984" t="s">
        <v>3559</v>
      </c>
      <c r="F27" s="457">
        <f>SUMIF(90:90,E27,91:91)-SUMIF(90:90,C27,91:91)+100</f>
        <v>100</v>
      </c>
      <c r="G27" s="2984" t="s">
        <v>3559</v>
      </c>
      <c r="H27" s="455">
        <f>SUMIF(90:90,G27,91:91)-SUMIF(90:90,C27,91:91)+100</f>
        <v>100</v>
      </c>
      <c r="I27" s="2984" t="s">
        <v>3559</v>
      </c>
      <c r="J27" s="455">
        <f>SUMIF(90:90,I27,91:91)-SUMIF(90:90,C27,91:91)+100</f>
        <v>100</v>
      </c>
      <c r="K27" s="605">
        <v>2</v>
      </c>
      <c r="L27" s="1125"/>
      <c r="M27" s="1126"/>
      <c r="N27" s="1126"/>
      <c r="O27" s="1126"/>
      <c r="P27" s="3247"/>
      <c r="Q27" s="1787" t="str">
        <f t="shared" si="11"/>
        <v>人流量</v>
      </c>
      <c r="R27" s="763" t="s">
        <v>17</v>
      </c>
      <c r="S27" s="764">
        <f>F27</f>
        <v>100</v>
      </c>
      <c r="T27" s="763" t="s">
        <v>17</v>
      </c>
      <c r="U27" s="764">
        <f>H27</f>
        <v>100</v>
      </c>
      <c r="V27" s="763" t="s">
        <v>17</v>
      </c>
      <c r="W27" s="764">
        <f>J27</f>
        <v>100</v>
      </c>
      <c r="X27" s="765"/>
      <c r="Y27" s="3209"/>
      <c r="Z27" s="55" t="str">
        <f>Q27</f>
        <v>人流量</v>
      </c>
      <c r="AA27" s="1803">
        <f>D27/F27</f>
        <v>1</v>
      </c>
      <c r="AB27" s="1803">
        <f>D27/H27</f>
        <v>1</v>
      </c>
      <c r="AC27" s="1803">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47"/>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09"/>
      <c r="Z28" s="1806" t="str">
        <f t="shared" ref="Z28:Z46" si="15">Q28</f>
        <v>楼层</v>
      </c>
      <c r="AA28" s="1803">
        <f t="shared" si="3"/>
        <v>1</v>
      </c>
      <c r="AB28" s="1803">
        <f t="shared" si="4"/>
        <v>1</v>
      </c>
      <c r="AC28" s="1803">
        <f t="shared" si="5"/>
        <v>1</v>
      </c>
    </row>
    <row r="29" spans="1:29" ht="15">
      <c r="A29" s="421"/>
      <c r="B29" s="1379">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47"/>
      <c r="Q29" s="1802">
        <f t="shared" si="11"/>
        <v>111</v>
      </c>
      <c r="R29" s="767" t="s">
        <v>17</v>
      </c>
      <c r="S29" s="768">
        <f t="shared" si="12"/>
        <v>100</v>
      </c>
      <c r="T29" s="767" t="s">
        <v>17</v>
      </c>
      <c r="U29" s="768">
        <f t="shared" si="13"/>
        <v>100</v>
      </c>
      <c r="V29" s="767" t="s">
        <v>17</v>
      </c>
      <c r="W29" s="768">
        <f t="shared" si="14"/>
        <v>100</v>
      </c>
      <c r="X29" s="1805"/>
      <c r="Y29" s="3209"/>
      <c r="Z29" s="1806">
        <f t="shared" si="15"/>
        <v>111</v>
      </c>
      <c r="AA29" s="1803">
        <f t="shared" si="3"/>
        <v>1</v>
      </c>
      <c r="AB29" s="1803">
        <f t="shared" si="4"/>
        <v>1</v>
      </c>
      <c r="AC29" s="1803">
        <f t="shared" si="5"/>
        <v>1</v>
      </c>
    </row>
    <row r="30" spans="1:29" ht="15">
      <c r="A30" s="421"/>
      <c r="B30" s="1379">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1803">
        <f t="shared" si="5"/>
        <v>1</v>
      </c>
    </row>
    <row r="31" spans="1:29" ht="15.75" thickBot="1">
      <c r="A31" s="429"/>
      <c r="B31" s="1379">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1803">
        <f t="shared" si="5"/>
        <v>1</v>
      </c>
    </row>
    <row r="32" spans="1:29" ht="15">
      <c r="A32" s="433" t="s">
        <v>2563</v>
      </c>
      <c r="B32" s="69" t="s">
        <v>2660</v>
      </c>
      <c r="C32" s="2985" t="s">
        <v>3560</v>
      </c>
      <c r="D32" s="460">
        <v>100</v>
      </c>
      <c r="E32" s="2985" t="s">
        <v>3567</v>
      </c>
      <c r="F32" s="454">
        <f>SUMIF(100:100,E32,101:101)-SUMIF(100:100,C32,101:101)+100</f>
        <v>102</v>
      </c>
      <c r="G32" s="2985" t="s">
        <v>3567</v>
      </c>
      <c r="H32" s="428">
        <f>SUMIF(100:100,G32,101:101)-SUMIF(100:100,C32,101:101)+100</f>
        <v>102</v>
      </c>
      <c r="I32" s="2985" t="s">
        <v>3576</v>
      </c>
      <c r="J32" s="460">
        <f>SUMIF(100:100,I32,101:101)-SUMIF(100:100,C32,101:101)+100</f>
        <v>100</v>
      </c>
      <c r="K32" s="605">
        <v>2</v>
      </c>
      <c r="L32" s="1133"/>
      <c r="M32" s="1124"/>
      <c r="N32" s="1124"/>
      <c r="O32" s="1124"/>
      <c r="P32" s="3248" t="s">
        <v>2565</v>
      </c>
      <c r="Q32" s="1802" t="str">
        <f t="shared" si="11"/>
        <v>商业类型</v>
      </c>
      <c r="R32" s="767" t="s">
        <v>17</v>
      </c>
      <c r="S32" s="768">
        <f t="shared" si="12"/>
        <v>102</v>
      </c>
      <c r="T32" s="767" t="s">
        <v>17</v>
      </c>
      <c r="U32" s="768">
        <f t="shared" si="13"/>
        <v>102</v>
      </c>
      <c r="V32" s="767" t="s">
        <v>17</v>
      </c>
      <c r="W32" s="768">
        <f t="shared" si="14"/>
        <v>100</v>
      </c>
      <c r="X32" s="1805"/>
      <c r="Y32" s="3211" t="s">
        <v>2565</v>
      </c>
      <c r="Z32" s="1806" t="str">
        <f t="shared" si="15"/>
        <v>商业类型</v>
      </c>
      <c r="AA32" s="1803">
        <f t="shared" si="3"/>
        <v>0.98039215686274506</v>
      </c>
      <c r="AB32" s="1803">
        <f t="shared" si="4"/>
        <v>0.98039215686274506</v>
      </c>
      <c r="AC32" s="1803">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49"/>
      <c r="Q33" s="769" t="str">
        <f t="shared" si="11"/>
        <v>项目建筑规模</v>
      </c>
      <c r="R33" s="770" t="s">
        <v>17</v>
      </c>
      <c r="S33" s="771">
        <f t="shared" si="12"/>
        <v>105</v>
      </c>
      <c r="T33" s="770" t="s">
        <v>17</v>
      </c>
      <c r="U33" s="771">
        <f t="shared" si="13"/>
        <v>99</v>
      </c>
      <c r="V33" s="770" t="s">
        <v>17</v>
      </c>
      <c r="W33" s="771">
        <f t="shared" si="14"/>
        <v>100</v>
      </c>
      <c r="X33" s="772"/>
      <c r="Y33" s="3211"/>
      <c r="Z33" s="773" t="str">
        <f t="shared" si="15"/>
        <v>项目建筑规模</v>
      </c>
      <c r="AA33" s="1803">
        <f t="shared" si="3"/>
        <v>0.95238095238095233</v>
      </c>
      <c r="AB33" s="1803">
        <f t="shared" si="4"/>
        <v>1.0101010101010102</v>
      </c>
      <c r="AC33" s="1803">
        <f t="shared" si="5"/>
        <v>1</v>
      </c>
    </row>
    <row r="34" spans="1:29" ht="15">
      <c r="A34" s="465"/>
      <c r="B34" s="415" t="s">
        <v>2567</v>
      </c>
      <c r="C34" s="2986" t="s">
        <v>3561</v>
      </c>
      <c r="D34" s="428">
        <v>100</v>
      </c>
      <c r="E34" s="2986" t="s">
        <v>3561</v>
      </c>
      <c r="F34" s="454">
        <f>SUMIF(105:105,E34,106:106)-SUMIF(105:105,C34,106:106)+100</f>
        <v>100</v>
      </c>
      <c r="G34" s="2986" t="s">
        <v>3561</v>
      </c>
      <c r="H34" s="428">
        <f>SUMIF(105:105,G34,106:106)-SUMIF(105:105,C34,106:106)+100</f>
        <v>100</v>
      </c>
      <c r="I34" s="2986" t="s">
        <v>3561</v>
      </c>
      <c r="J34" s="428">
        <f>SUMIF(105:105,I34,106:106)-SUMIF(105:105,C34,106:106)+100</f>
        <v>100</v>
      </c>
      <c r="K34" s="605"/>
      <c r="L34" s="1133"/>
      <c r="M34" s="1124"/>
      <c r="N34" s="1124"/>
      <c r="O34" s="1124"/>
      <c r="P34" s="3249"/>
      <c r="Q34" s="1802" t="str">
        <f t="shared" si="11"/>
        <v>建筑结构</v>
      </c>
      <c r="R34" s="767" t="s">
        <v>17</v>
      </c>
      <c r="S34" s="768">
        <f t="shared" si="12"/>
        <v>100</v>
      </c>
      <c r="T34" s="767" t="s">
        <v>17</v>
      </c>
      <c r="U34" s="768">
        <f t="shared" si="13"/>
        <v>100</v>
      </c>
      <c r="V34" s="767" t="s">
        <v>17</v>
      </c>
      <c r="W34" s="768">
        <f t="shared" si="14"/>
        <v>100</v>
      </c>
      <c r="X34" s="1805"/>
      <c r="Y34" s="3211"/>
      <c r="Z34" s="1806" t="str">
        <f t="shared" si="15"/>
        <v>建筑结构</v>
      </c>
      <c r="AA34" s="1803">
        <f t="shared" si="3"/>
        <v>1</v>
      </c>
      <c r="AB34" s="1803">
        <f t="shared" si="4"/>
        <v>1</v>
      </c>
      <c r="AC34" s="1803">
        <f t="shared" si="5"/>
        <v>1</v>
      </c>
    </row>
    <row r="35" spans="1:29" ht="15">
      <c r="A35" s="465"/>
      <c r="B35" s="415" t="s">
        <v>2661</v>
      </c>
      <c r="C35" s="2604"/>
      <c r="D35" s="428">
        <v>100</v>
      </c>
      <c r="E35" s="2604"/>
      <c r="F35" s="454">
        <f>SUMIF(107:107,E35,108:108)-SUMIF(107:107,C35,108:108)+100</f>
        <v>100</v>
      </c>
      <c r="G35" s="2604"/>
      <c r="H35" s="428">
        <f>SUMIF(107:107,G35,108:108)-SUMIF(107:107,C35,108:108)+100</f>
        <v>100</v>
      </c>
      <c r="I35" s="2604"/>
      <c r="J35" s="428">
        <f>SUMIF(107:107,I35,108:108)-SUMIF(107:107,C35,108:108)+100</f>
        <v>100</v>
      </c>
      <c r="K35" s="605"/>
      <c r="L35" s="1133"/>
      <c r="M35" s="1124"/>
      <c r="N35" s="1124"/>
      <c r="O35" s="1124"/>
      <c r="P35" s="3249"/>
      <c r="Q35" s="1802" t="str">
        <f t="shared" si="11"/>
        <v>公共部分装修</v>
      </c>
      <c r="R35" s="767" t="s">
        <v>17</v>
      </c>
      <c r="S35" s="768">
        <f t="shared" si="12"/>
        <v>100</v>
      </c>
      <c r="T35" s="767" t="s">
        <v>17</v>
      </c>
      <c r="U35" s="768">
        <f t="shared" si="13"/>
        <v>100</v>
      </c>
      <c r="V35" s="767" t="s">
        <v>17</v>
      </c>
      <c r="W35" s="768">
        <f t="shared" si="14"/>
        <v>100</v>
      </c>
      <c r="X35" s="1805"/>
      <c r="Y35" s="3211"/>
      <c r="Z35" s="1806" t="str">
        <f t="shared" si="15"/>
        <v>公共部分装修</v>
      </c>
      <c r="AA35" s="1803">
        <f t="shared" si="3"/>
        <v>1</v>
      </c>
      <c r="AB35" s="1803">
        <f t="shared" si="4"/>
        <v>1</v>
      </c>
      <c r="AC35" s="1803">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49"/>
      <c r="Q36" s="1802" t="str">
        <f t="shared" si="11"/>
        <v>成新度</v>
      </c>
      <c r="R36" s="767" t="s">
        <v>17</v>
      </c>
      <c r="S36" s="768">
        <f t="shared" si="12"/>
        <v>100</v>
      </c>
      <c r="T36" s="767" t="s">
        <v>17</v>
      </c>
      <c r="U36" s="768">
        <f t="shared" si="13"/>
        <v>100</v>
      </c>
      <c r="V36" s="767" t="s">
        <v>17</v>
      </c>
      <c r="W36" s="768">
        <f t="shared" si="14"/>
        <v>100</v>
      </c>
      <c r="X36" s="1805"/>
      <c r="Y36" s="3211"/>
      <c r="Z36" s="1806" t="str">
        <f t="shared" si="15"/>
        <v>成新度</v>
      </c>
      <c r="AA36" s="1803">
        <f t="shared" si="3"/>
        <v>1</v>
      </c>
      <c r="AB36" s="1803">
        <f t="shared" si="4"/>
        <v>1</v>
      </c>
      <c r="AC36" s="1803">
        <f t="shared" si="5"/>
        <v>1</v>
      </c>
    </row>
    <row r="37" spans="1:29" s="111" customFormat="1" ht="15">
      <c r="A37" s="466"/>
      <c r="B37" s="415" t="s">
        <v>2663</v>
      </c>
      <c r="C37" s="2939" t="s">
        <v>3624</v>
      </c>
      <c r="D37" s="129">
        <v>100</v>
      </c>
      <c r="E37" s="2939" t="s">
        <v>3624</v>
      </c>
      <c r="F37" s="454">
        <f>SUMIF(112:112,E37,113:113)-SUMIF(112:112,C37,113:113)+100</f>
        <v>100</v>
      </c>
      <c r="G37" s="2939" t="s">
        <v>3624</v>
      </c>
      <c r="H37" s="428">
        <f>SUMIF(112:112,G37,113:113)-SUMIF(112:112,C37,113:113)+100</f>
        <v>100</v>
      </c>
      <c r="I37" s="2939" t="s">
        <v>3624</v>
      </c>
      <c r="J37" s="428">
        <f>SUMIF(112:112,I37,113:113)-SUMIF(112:112,C37,113:113)+100</f>
        <v>100</v>
      </c>
      <c r="K37" s="605"/>
      <c r="L37" s="1125"/>
      <c r="M37" s="1126"/>
      <c r="N37" s="1126"/>
      <c r="O37" s="1126"/>
      <c r="P37" s="3249"/>
      <c r="Q37" s="1787" t="str">
        <f t="shared" si="11"/>
        <v>市政基础设施</v>
      </c>
      <c r="R37" s="763" t="s">
        <v>17</v>
      </c>
      <c r="S37" s="764">
        <f t="shared" si="12"/>
        <v>100</v>
      </c>
      <c r="T37" s="763" t="s">
        <v>17</v>
      </c>
      <c r="U37" s="764">
        <f t="shared" si="13"/>
        <v>100</v>
      </c>
      <c r="V37" s="763" t="s">
        <v>17</v>
      </c>
      <c r="W37" s="764">
        <f t="shared" si="14"/>
        <v>100</v>
      </c>
      <c r="X37" s="765"/>
      <c r="Y37" s="3211"/>
      <c r="Z37" s="55" t="str">
        <f t="shared" si="15"/>
        <v>市政基础设施</v>
      </c>
      <c r="AA37" s="766">
        <f t="shared" si="3"/>
        <v>1</v>
      </c>
      <c r="AB37" s="766">
        <f t="shared" si="4"/>
        <v>1</v>
      </c>
      <c r="AC37" s="766">
        <f t="shared" si="5"/>
        <v>1</v>
      </c>
    </row>
    <row r="38" spans="1:29" ht="15">
      <c r="A38" s="465"/>
      <c r="B38" s="415" t="s">
        <v>2664</v>
      </c>
      <c r="C38" s="2939" t="s">
        <v>3581</v>
      </c>
      <c r="D38" s="428">
        <v>100</v>
      </c>
      <c r="E38" s="2939" t="s">
        <v>3568</v>
      </c>
      <c r="F38" s="454">
        <f>SUMIF(114:114,E38,115:115)-SUMIF(114:114,C38,115:115)+100</f>
        <v>102</v>
      </c>
      <c r="G38" s="2939" t="s">
        <v>3568</v>
      </c>
      <c r="H38" s="428">
        <f>SUMIF(114:114,G38,115:115)-SUMIF(114:114,C38,115:115)+100</f>
        <v>102</v>
      </c>
      <c r="I38" s="2939" t="s">
        <v>3577</v>
      </c>
      <c r="J38" s="428">
        <f>SUMIF(114:114,I38,115:115)-SUMIF(114:114,C38,115:115)+100</f>
        <v>100</v>
      </c>
      <c r="K38" s="605">
        <v>2</v>
      </c>
      <c r="L38" s="1133"/>
      <c r="M38" s="1124"/>
      <c r="N38" s="1124"/>
      <c r="O38" s="1124"/>
      <c r="P38" s="3249" t="s">
        <v>2565</v>
      </c>
      <c r="Q38" s="1802" t="str">
        <f t="shared" si="11"/>
        <v>业态</v>
      </c>
      <c r="R38" s="767" t="s">
        <v>17</v>
      </c>
      <c r="S38" s="768">
        <f t="shared" si="12"/>
        <v>102</v>
      </c>
      <c r="T38" s="767" t="s">
        <v>17</v>
      </c>
      <c r="U38" s="768">
        <f t="shared" si="13"/>
        <v>102</v>
      </c>
      <c r="V38" s="767" t="s">
        <v>17</v>
      </c>
      <c r="W38" s="768">
        <f t="shared" si="14"/>
        <v>100</v>
      </c>
      <c r="X38" s="1805"/>
      <c r="Y38" s="3211" t="s">
        <v>2565</v>
      </c>
      <c r="Z38" s="1806" t="str">
        <f t="shared" si="15"/>
        <v>业态</v>
      </c>
      <c r="AA38" s="1803">
        <f t="shared" si="3"/>
        <v>0.98039215686274506</v>
      </c>
      <c r="AB38" s="1803">
        <f t="shared" si="4"/>
        <v>0.98039215686274506</v>
      </c>
      <c r="AC38" s="1803">
        <f t="shared" si="5"/>
        <v>1</v>
      </c>
    </row>
    <row r="39" spans="1:29" ht="15">
      <c r="A39" s="465"/>
      <c r="B39" s="415" t="s">
        <v>2665</v>
      </c>
      <c r="C39" s="2604"/>
      <c r="D39" s="428">
        <v>100</v>
      </c>
      <c r="E39" s="2604"/>
      <c r="F39" s="454">
        <f>SUMIF(116:116,E39,117:117)-SUMIF(116:116,C39,117:117)+100</f>
        <v>100</v>
      </c>
      <c r="G39" s="2604"/>
      <c r="H39" s="428">
        <f>SUMIF(116:116,G39,117:117)-SUMIF(116:116,C39,117:117)+100</f>
        <v>100</v>
      </c>
      <c r="I39" s="2604"/>
      <c r="J39" s="428">
        <f>SUMIF(116:116,I39,117:117)-SUMIF(116:116,C39,117:117)+100</f>
        <v>100</v>
      </c>
      <c r="K39" s="605"/>
      <c r="L39" s="1133"/>
      <c r="M39" s="1124"/>
      <c r="N39" s="1124"/>
      <c r="O39" s="1124"/>
      <c r="P39" s="3249"/>
      <c r="Q39" s="1802" t="str">
        <f t="shared" si="11"/>
        <v>层高</v>
      </c>
      <c r="R39" s="767" t="s">
        <v>17</v>
      </c>
      <c r="S39" s="768">
        <f t="shared" si="12"/>
        <v>100</v>
      </c>
      <c r="T39" s="767" t="s">
        <v>17</v>
      </c>
      <c r="U39" s="768">
        <f t="shared" si="13"/>
        <v>100</v>
      </c>
      <c r="V39" s="767" t="s">
        <v>17</v>
      </c>
      <c r="W39" s="768">
        <f t="shared" si="14"/>
        <v>100</v>
      </c>
      <c r="X39" s="1805"/>
      <c r="Y39" s="3211"/>
      <c r="Z39" s="1806" t="str">
        <f t="shared" si="15"/>
        <v>层高</v>
      </c>
      <c r="AA39" s="1803">
        <f t="shared" si="3"/>
        <v>1</v>
      </c>
      <c r="AB39" s="1803">
        <f t="shared" si="4"/>
        <v>1</v>
      </c>
      <c r="AC39" s="1803">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49"/>
      <c r="Q40" s="1802" t="str">
        <f t="shared" si="11"/>
        <v>单套建筑面积</v>
      </c>
      <c r="R40" s="767" t="s">
        <v>17</v>
      </c>
      <c r="S40" s="768">
        <f t="shared" si="12"/>
        <v>100</v>
      </c>
      <c r="T40" s="767" t="s">
        <v>17</v>
      </c>
      <c r="U40" s="768">
        <f t="shared" si="13"/>
        <v>100</v>
      </c>
      <c r="V40" s="767" t="s">
        <v>17</v>
      </c>
      <c r="W40" s="768">
        <f t="shared" si="14"/>
        <v>100</v>
      </c>
      <c r="X40" s="1805"/>
      <c r="Y40" s="3211"/>
      <c r="Z40" s="1806" t="str">
        <f t="shared" si="15"/>
        <v>单套建筑面积</v>
      </c>
      <c r="AA40" s="1803">
        <f t="shared" si="3"/>
        <v>1</v>
      </c>
      <c r="AB40" s="1803">
        <f t="shared" si="4"/>
        <v>1</v>
      </c>
      <c r="AC40" s="1803">
        <f t="shared" si="5"/>
        <v>1</v>
      </c>
    </row>
    <row r="41" spans="1:29" s="464" customFormat="1" ht="15">
      <c r="A41" s="461"/>
      <c r="B41" s="1804" t="s">
        <v>2667</v>
      </c>
      <c r="C41" s="2938" t="s">
        <v>3558</v>
      </c>
      <c r="D41" s="428">
        <v>100</v>
      </c>
      <c r="E41" s="2938" t="s">
        <v>3558</v>
      </c>
      <c r="F41" s="454">
        <f>SUMIF(120:120,E41,121:121)-SUMIF(120:120,C41,121:121)+100</f>
        <v>100</v>
      </c>
      <c r="G41" s="2938" t="s">
        <v>3558</v>
      </c>
      <c r="H41" s="428">
        <f>SUMIF(120:120,G41,121:121)-SUMIF(120:120,C41,121:121)+100</f>
        <v>100</v>
      </c>
      <c r="I41" s="2938" t="s">
        <v>3558</v>
      </c>
      <c r="J41" s="428">
        <f>SUMIF(120:120,I41,121:121)-SUMIF(120:120,C41,121:121)+100</f>
        <v>100</v>
      </c>
      <c r="K41" s="605"/>
      <c r="L41" s="1131"/>
      <c r="M41" s="1134"/>
      <c r="N41" s="1134"/>
      <c r="O41" s="1134"/>
      <c r="P41" s="3249"/>
      <c r="Q41" s="769" t="str">
        <f t="shared" si="11"/>
        <v>进深比</v>
      </c>
      <c r="R41" s="770" t="s">
        <v>17</v>
      </c>
      <c r="S41" s="771">
        <f t="shared" si="12"/>
        <v>100</v>
      </c>
      <c r="T41" s="770" t="s">
        <v>17</v>
      </c>
      <c r="U41" s="771">
        <f t="shared" si="13"/>
        <v>100</v>
      </c>
      <c r="V41" s="770" t="s">
        <v>17</v>
      </c>
      <c r="W41" s="771">
        <f t="shared" si="14"/>
        <v>100</v>
      </c>
      <c r="X41" s="772"/>
      <c r="Y41" s="3211"/>
      <c r="Z41" s="773" t="str">
        <f t="shared" si="15"/>
        <v>进深比</v>
      </c>
      <c r="AA41" s="1803">
        <f t="shared" si="3"/>
        <v>1</v>
      </c>
      <c r="AB41" s="1803">
        <f t="shared" si="4"/>
        <v>1</v>
      </c>
      <c r="AC41" s="1803">
        <f t="shared" si="5"/>
        <v>1</v>
      </c>
    </row>
    <row r="42" spans="1:29" ht="15">
      <c r="A42" s="465"/>
      <c r="B42" s="415" t="s">
        <v>2668</v>
      </c>
      <c r="C42" s="2939" t="s">
        <v>3562</v>
      </c>
      <c r="D42" s="428">
        <v>100</v>
      </c>
      <c r="E42" s="2939" t="s">
        <v>3562</v>
      </c>
      <c r="F42" s="454">
        <f>SUMIF(122:122,E42,123:123)-SUMIF(122:122,C42,123:123)+100</f>
        <v>100</v>
      </c>
      <c r="G42" s="2939" t="s">
        <v>3562</v>
      </c>
      <c r="H42" s="428">
        <f>SUMIF(122:122,G42,123:123)-SUMIF(122:122,C42,123:123)+100</f>
        <v>100</v>
      </c>
      <c r="I42" s="2939" t="s">
        <v>3562</v>
      </c>
      <c r="J42" s="428">
        <f>SUMIF(122:122,I42,123:123)-SUMIF(122:122,C42,123:123)+100</f>
        <v>100</v>
      </c>
      <c r="K42" s="605"/>
      <c r="L42" s="1133"/>
      <c r="M42" s="1124"/>
      <c r="N42" s="1124"/>
      <c r="O42" s="1124"/>
      <c r="P42" s="3249"/>
      <c r="Q42" s="1802" t="str">
        <f t="shared" si="11"/>
        <v>内部装修</v>
      </c>
      <c r="R42" s="767" t="s">
        <v>17</v>
      </c>
      <c r="S42" s="768">
        <f t="shared" si="12"/>
        <v>100</v>
      </c>
      <c r="T42" s="767" t="s">
        <v>17</v>
      </c>
      <c r="U42" s="768">
        <f t="shared" si="13"/>
        <v>100</v>
      </c>
      <c r="V42" s="767" t="s">
        <v>17</v>
      </c>
      <c r="W42" s="768">
        <f t="shared" si="14"/>
        <v>100</v>
      </c>
      <c r="X42" s="1805"/>
      <c r="Y42" s="3211"/>
      <c r="Z42" s="1806" t="str">
        <f t="shared" si="15"/>
        <v>内部装修</v>
      </c>
      <c r="AA42" s="1803">
        <f t="shared" si="3"/>
        <v>1</v>
      </c>
      <c r="AB42" s="1803">
        <f t="shared" si="4"/>
        <v>1</v>
      </c>
      <c r="AC42" s="1803">
        <f t="shared" si="5"/>
        <v>1</v>
      </c>
    </row>
    <row r="43" spans="1:29" ht="15">
      <c r="A43" s="465"/>
      <c r="B43" s="415" t="s">
        <v>2576</v>
      </c>
      <c r="C43" s="2604"/>
      <c r="D43" s="428">
        <v>100</v>
      </c>
      <c r="E43" s="2604"/>
      <c r="F43" s="454">
        <f>SUMIF(124:124,E43,125:125)-SUMIF(124:124,C43,125:125)+100</f>
        <v>100</v>
      </c>
      <c r="G43" s="2604"/>
      <c r="H43" s="428">
        <f>SUMIF(124:124,G43,125:125)-SUMIF(124:124,C43,125:125)+100</f>
        <v>100</v>
      </c>
      <c r="I43" s="2604"/>
      <c r="J43" s="428">
        <f>SUMIF(124:124,I43,125:125)-SUMIF(124:124,C43,125:125)+100</f>
        <v>100</v>
      </c>
      <c r="K43" s="605"/>
      <c r="L43" s="1133"/>
      <c r="M43" s="1124"/>
      <c r="N43" s="1124"/>
      <c r="O43" s="1124"/>
      <c r="P43" s="3249"/>
      <c r="Q43" s="1802" t="str">
        <f t="shared" si="11"/>
        <v>内部装修维护情况</v>
      </c>
      <c r="R43" s="767" t="s">
        <v>17</v>
      </c>
      <c r="S43" s="768">
        <f t="shared" si="12"/>
        <v>100</v>
      </c>
      <c r="T43" s="767" t="s">
        <v>17</v>
      </c>
      <c r="U43" s="768">
        <f t="shared" si="13"/>
        <v>100</v>
      </c>
      <c r="V43" s="767" t="s">
        <v>17</v>
      </c>
      <c r="W43" s="768">
        <f t="shared" si="14"/>
        <v>100</v>
      </c>
      <c r="X43" s="1805"/>
      <c r="Y43" s="3211"/>
      <c r="Z43" s="1806" t="str">
        <f t="shared" si="15"/>
        <v>内部装修维护情况</v>
      </c>
      <c r="AA43" s="1803">
        <f t="shared" si="3"/>
        <v>1</v>
      </c>
      <c r="AB43" s="1803">
        <f t="shared" si="4"/>
        <v>1</v>
      </c>
      <c r="AC43" s="1803">
        <f t="shared" si="5"/>
        <v>1</v>
      </c>
    </row>
    <row r="44" spans="1:29" s="111" customFormat="1" ht="15">
      <c r="A44" s="466"/>
      <c r="B44" s="1379">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49"/>
      <c r="Q44" s="1787">
        <f t="shared" si="11"/>
        <v>111</v>
      </c>
      <c r="R44" s="763" t="s">
        <v>17</v>
      </c>
      <c r="S44" s="764">
        <f t="shared" si="12"/>
        <v>100</v>
      </c>
      <c r="T44" s="763" t="s">
        <v>17</v>
      </c>
      <c r="U44" s="764">
        <f t="shared" si="13"/>
        <v>100</v>
      </c>
      <c r="V44" s="763" t="s">
        <v>17</v>
      </c>
      <c r="W44" s="764">
        <f t="shared" si="14"/>
        <v>100</v>
      </c>
      <c r="X44" s="765"/>
      <c r="Y44" s="3211"/>
      <c r="Z44" s="55">
        <f t="shared" si="15"/>
        <v>111</v>
      </c>
      <c r="AA44" s="766">
        <f t="shared" si="3"/>
        <v>1</v>
      </c>
      <c r="AB44" s="766">
        <f t="shared" si="4"/>
        <v>1</v>
      </c>
      <c r="AC44" s="766">
        <f t="shared" si="5"/>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49"/>
      <c r="Q45" s="1802">
        <f t="shared" si="11"/>
        <v>111</v>
      </c>
      <c r="R45" s="767" t="s">
        <v>17</v>
      </c>
      <c r="S45" s="768">
        <f t="shared" si="12"/>
        <v>100</v>
      </c>
      <c r="T45" s="767" t="s">
        <v>17</v>
      </c>
      <c r="U45" s="768">
        <f t="shared" si="13"/>
        <v>100</v>
      </c>
      <c r="V45" s="767" t="s">
        <v>17</v>
      </c>
      <c r="W45" s="768">
        <f t="shared" si="14"/>
        <v>100</v>
      </c>
      <c r="X45" s="1805"/>
      <c r="Y45" s="3211"/>
      <c r="Z45" s="1806">
        <f t="shared" si="15"/>
        <v>111</v>
      </c>
      <c r="AA45" s="1803">
        <f t="shared" si="3"/>
        <v>1</v>
      </c>
      <c r="AB45" s="1803">
        <f t="shared" si="4"/>
        <v>1</v>
      </c>
      <c r="AC45" s="1803">
        <f t="shared" si="5"/>
        <v>1</v>
      </c>
    </row>
    <row r="46" spans="1:29" ht="15.75" thickBot="1">
      <c r="A46" s="471"/>
      <c r="B46" s="2593">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50"/>
      <c r="Q46" s="1802">
        <f t="shared" si="11"/>
        <v>111</v>
      </c>
      <c r="R46" s="767" t="s">
        <v>17</v>
      </c>
      <c r="S46" s="768">
        <f t="shared" si="12"/>
        <v>100</v>
      </c>
      <c r="T46" s="767" t="s">
        <v>17</v>
      </c>
      <c r="U46" s="768">
        <f t="shared" si="13"/>
        <v>100</v>
      </c>
      <c r="V46" s="767" t="s">
        <v>17</v>
      </c>
      <c r="W46" s="768">
        <f t="shared" si="14"/>
        <v>100</v>
      </c>
      <c r="X46" s="1805"/>
      <c r="Y46" s="3251"/>
      <c r="Z46" s="1806">
        <f t="shared" si="15"/>
        <v>111</v>
      </c>
      <c r="AA46" s="1803">
        <f t="shared" si="3"/>
        <v>1</v>
      </c>
      <c r="AB46" s="1803">
        <f t="shared" si="4"/>
        <v>1</v>
      </c>
      <c r="AC46" s="1803">
        <f t="shared" si="5"/>
        <v>1</v>
      </c>
    </row>
    <row r="47" spans="1:29" ht="15">
      <c r="A47" s="472" t="s">
        <v>2577</v>
      </c>
      <c r="B47" s="473"/>
      <c r="C47" s="1400" t="s">
        <v>1</v>
      </c>
      <c r="D47" s="1401"/>
      <c r="E47" s="1402">
        <v>41064</v>
      </c>
      <c r="F47" s="1403"/>
      <c r="G47" s="1404">
        <v>42795</v>
      </c>
      <c r="H47" s="1405"/>
      <c r="I47" s="1402">
        <v>35000</v>
      </c>
      <c r="J47" s="1405"/>
      <c r="K47" s="776"/>
      <c r="L47" s="1136"/>
      <c r="M47" s="1137"/>
      <c r="N47" s="1124"/>
      <c r="O47" s="1137"/>
      <c r="P47" s="3206" t="str">
        <f>A47</f>
        <v>成交单价（元/平方米）</v>
      </c>
      <c r="Q47" s="3206"/>
      <c r="R47" s="3212">
        <f>E47</f>
        <v>41064</v>
      </c>
      <c r="S47" s="3212"/>
      <c r="T47" s="3212">
        <f>G47</f>
        <v>42795</v>
      </c>
      <c r="U47" s="3212"/>
      <c r="V47" s="3212">
        <f>I47</f>
        <v>35000</v>
      </c>
      <c r="W47" s="3212"/>
      <c r="X47" s="752"/>
      <c r="Y47" s="774"/>
      <c r="Z47" s="752"/>
      <c r="AA47" s="752"/>
      <c r="AB47" s="752"/>
      <c r="AC47" s="752"/>
    </row>
    <row r="48" spans="1:29" ht="15.75" thickBot="1">
      <c r="A48" s="479" t="s">
        <v>2669</v>
      </c>
      <c r="B48" s="480"/>
      <c r="C48" s="1406">
        <f>R49</f>
        <v>38425</v>
      </c>
      <c r="D48" s="1407"/>
      <c r="E48" s="1408">
        <f>R48</f>
        <v>38372</v>
      </c>
      <c r="F48" s="1408"/>
      <c r="G48" s="1406">
        <f>T48</f>
        <v>41549</v>
      </c>
      <c r="H48" s="1407"/>
      <c r="I48" s="1408">
        <f>V48</f>
        <v>35354</v>
      </c>
      <c r="J48" s="1407"/>
      <c r="K48" s="777"/>
      <c r="L48" s="1136"/>
      <c r="M48" s="1137"/>
      <c r="N48" s="1124"/>
      <c r="O48" s="1137"/>
      <c r="P48" s="3206" t="str">
        <f>A48</f>
        <v>比较价值（元/平方米）</v>
      </c>
      <c r="Q48" s="3206"/>
      <c r="R48" s="3242">
        <f>IF(F1="售价",ROUND(PRODUCT(R47,AA7:AA46),0),ROUND(PRODUCT(R47,AA7:AA46),1))</f>
        <v>38372</v>
      </c>
      <c r="S48" s="3242"/>
      <c r="T48" s="3242">
        <f>IF(F1="售价",ROUND(PRODUCT(T47,AB7:AB46),0),ROUND(PRODUCT(T47,AB7:AB46),1))</f>
        <v>41549</v>
      </c>
      <c r="U48" s="3242"/>
      <c r="V48" s="3242">
        <f>IF(F1="售价",ROUND(PRODUCT(V47,AC7:AC46),0),ROUND(PRODUCT(V47,AC7:AC46),1))</f>
        <v>35354</v>
      </c>
      <c r="W48" s="3242"/>
      <c r="X48" s="752"/>
      <c r="Y48" s="752"/>
      <c r="Z48" s="752"/>
      <c r="AA48" s="752"/>
      <c r="AB48" s="752"/>
      <c r="AC48" s="752"/>
    </row>
    <row r="49" spans="1:29" ht="15.75" thickBot="1">
      <c r="A49" s="485" t="s">
        <v>2670</v>
      </c>
      <c r="B49" s="486"/>
      <c r="C49" s="1410">
        <f>R49</f>
        <v>38425</v>
      </c>
      <c r="D49" s="1410"/>
      <c r="E49" s="1410"/>
      <c r="F49" s="1410"/>
      <c r="G49" s="1410"/>
      <c r="H49" s="1410"/>
      <c r="I49" s="1410"/>
      <c r="J49" s="1410"/>
      <c r="K49" s="778"/>
      <c r="L49" s="1136"/>
      <c r="M49" s="1137"/>
      <c r="N49" s="1124"/>
      <c r="O49" s="1137"/>
      <c r="P49" s="3200" t="str">
        <f>A49</f>
        <v>估价对象XX用房的比较价值（楼面单价，元/平方米）</v>
      </c>
      <c r="Q49" s="3201"/>
      <c r="R49" s="3266">
        <f>IF(F1="售价",ROUND(AVERAGE(R48:V48),0),ROUND(AVERAGE(R48:V48),1))</f>
        <v>38425</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7.0155321588658337E-2</v>
      </c>
      <c r="F52" s="493" t="str">
        <f>IF(OR(E52&gt;=0.3,E52&lt;=-0.3),"超过30%","")</f>
        <v/>
      </c>
      <c r="G52" s="492">
        <f>IF(G47&lt;G48,G48/G47-1,G47/G48-1)</f>
        <v>2.9988688055067492E-2</v>
      </c>
      <c r="H52" s="493" t="str">
        <f>IF(OR(G52&gt;=0.3,G52&lt;=-0.3),"超过30%","")</f>
        <v/>
      </c>
      <c r="I52" s="492">
        <f>IF(I47&lt;I48,I48/I47-1,I47/I48-1)</f>
        <v>1.0114285714285742E-2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8.2794746169081668E-2</v>
      </c>
      <c r="F53" s="493" t="str">
        <f>IF(OR(E53&gt;=0.2,E53&lt;=-0.2),"超过20%","")</f>
        <v/>
      </c>
      <c r="G53" s="492">
        <f>IF(G48&lt;I48,I48/G48-1,G48/I48-1)</f>
        <v>0.1752276970074107</v>
      </c>
      <c r="H53" s="493" t="str">
        <f>IF(OR(G53&gt;=0.2,G53&lt;=-0.2),"超过20%","")</f>
        <v/>
      </c>
      <c r="I53" s="492">
        <f>IF(I48&lt;E48,E48/I48-1,I48/E48-1)</f>
        <v>8.5365163772133323E-2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7"/>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7"/>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8"/>
      <c r="Q57" s="2659"/>
      <c r="R57" s="752"/>
      <c r="S57" s="752"/>
      <c r="T57" s="752"/>
      <c r="U57" s="752"/>
      <c r="V57" s="752"/>
      <c r="W57" s="752"/>
      <c r="X57" s="752"/>
      <c r="Y57" s="752"/>
      <c r="Z57" s="752"/>
      <c r="AA57" s="752"/>
      <c r="AB57" s="752"/>
      <c r="AC57" s="752"/>
    </row>
    <row r="58" spans="1:29" s="501" customFormat="1" ht="15">
      <c r="A58" s="498" t="s">
        <v>2548</v>
      </c>
      <c r="B58" s="499"/>
      <c r="C58" s="1566" t="str">
        <f>YEAR(C7)&amp;"-"&amp;MONTH(C7)</f>
        <v>2018-3</v>
      </c>
      <c r="D58" s="1567">
        <f>EDATE(C58,-1)</f>
        <v>43132</v>
      </c>
      <c r="E58" s="1567">
        <f t="shared" ref="E58:N58" si="16">EDATE(D58,-1)</f>
        <v>43101</v>
      </c>
      <c r="F58" s="1567">
        <f t="shared" si="16"/>
        <v>43070</v>
      </c>
      <c r="G58" s="1567">
        <f t="shared" si="16"/>
        <v>43040</v>
      </c>
      <c r="H58" s="1567">
        <f t="shared" si="16"/>
        <v>43009</v>
      </c>
      <c r="I58" s="1567">
        <f t="shared" si="16"/>
        <v>42979</v>
      </c>
      <c r="J58" s="1567">
        <f t="shared" si="16"/>
        <v>42948</v>
      </c>
      <c r="K58" s="1567">
        <f t="shared" si="16"/>
        <v>42917</v>
      </c>
      <c r="L58" s="1567">
        <f t="shared" si="16"/>
        <v>42887</v>
      </c>
      <c r="M58" s="1567">
        <f t="shared" si="16"/>
        <v>42856</v>
      </c>
      <c r="N58" s="1567">
        <f t="shared" si="16"/>
        <v>42826</v>
      </c>
      <c r="O58" s="1567">
        <f>EDATE(N58,-1)</f>
        <v>42795</v>
      </c>
      <c r="P58" s="1562"/>
    </row>
    <row r="59" spans="1:29" s="111" customFormat="1" ht="15">
      <c r="A59" s="502"/>
      <c r="B59" s="503"/>
      <c r="C59" s="1565">
        <v>100</v>
      </c>
      <c r="D59" s="505">
        <v>100</v>
      </c>
      <c r="E59" s="505">
        <v>100</v>
      </c>
      <c r="F59" s="505">
        <v>100</v>
      </c>
      <c r="G59" s="505">
        <v>100</v>
      </c>
      <c r="H59" s="505">
        <v>100</v>
      </c>
      <c r="I59" s="505">
        <v>100</v>
      </c>
      <c r="J59" s="505">
        <v>100</v>
      </c>
      <c r="K59" s="505">
        <v>100</v>
      </c>
      <c r="L59" s="505">
        <v>100</v>
      </c>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2550</v>
      </c>
      <c r="B61" s="503"/>
      <c r="C61" s="515" t="s">
        <v>2652</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t="str">
        <f>C9</f>
        <v>商业</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1"/>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1"/>
      <c r="Q67" s="497"/>
    </row>
    <row r="68" spans="1:17" ht="15">
      <c r="A68" s="527"/>
      <c r="B68" s="541"/>
      <c r="C68" s="542">
        <v>0</v>
      </c>
      <c r="D68" s="542">
        <v>1</v>
      </c>
      <c r="E68" s="542">
        <v>2</v>
      </c>
      <c r="F68" s="542">
        <v>3</v>
      </c>
      <c r="G68" s="542">
        <v>5</v>
      </c>
      <c r="H68" s="542">
        <v>5</v>
      </c>
      <c r="I68" s="542"/>
      <c r="J68" s="542"/>
      <c r="K68" s="543"/>
      <c r="L68" s="544"/>
      <c r="M68" s="545"/>
      <c r="N68" s="1145"/>
      <c r="O68" s="1145"/>
      <c r="P68" s="2621"/>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29"/>
      <c r="E73" s="529"/>
      <c r="F73" s="529"/>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1"/>
      <c r="Q81" s="497"/>
    </row>
    <row r="82" spans="1:17" ht="15.75" thickTop="1">
      <c r="A82" s="527"/>
      <c r="B82" s="539" t="s">
        <v>2655</v>
      </c>
      <c r="C82" s="653" t="s">
        <v>2675</v>
      </c>
      <c r="D82" s="653" t="s">
        <v>2676</v>
      </c>
      <c r="E82" s="653" t="s">
        <v>2677</v>
      </c>
      <c r="F82" s="653" t="s">
        <v>2678</v>
      </c>
      <c r="G82" s="653" t="s">
        <v>2679</v>
      </c>
      <c r="H82" s="532"/>
      <c r="I82" s="532"/>
      <c r="J82" s="532"/>
      <c r="K82" s="532"/>
      <c r="L82" s="532"/>
      <c r="M82" s="1375"/>
      <c r="N82" s="1146"/>
      <c r="O82" s="1146"/>
      <c r="P82" s="2621"/>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1"/>
      <c r="Q85" s="497"/>
    </row>
    <row r="86" spans="1:17" s="111" customFormat="1" ht="15.75" thickTop="1">
      <c r="A86" s="572"/>
      <c r="B86" s="531" t="s">
        <v>2680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1"/>
      <c r="Q87" s="497"/>
    </row>
    <row r="88" spans="1:17" s="111" customFormat="1" ht="15.75" thickTop="1">
      <c r="A88" s="572"/>
      <c r="B88" s="531" t="str">
        <f>B26</f>
        <v>平面位置/可视性</v>
      </c>
      <c r="C88" s="547"/>
      <c r="D88" s="547"/>
      <c r="E88" s="547"/>
      <c r="F88" s="2626"/>
      <c r="G88" s="547"/>
      <c r="H88" s="547"/>
      <c r="I88" s="547"/>
      <c r="J88" s="547"/>
      <c r="K88" s="547"/>
      <c r="L88" s="547"/>
      <c r="M88" s="574"/>
      <c r="N88" s="1144"/>
      <c r="O88" s="1144"/>
      <c r="P88" s="2621"/>
      <c r="Q88" s="497"/>
    </row>
    <row r="89" spans="1:17" s="111" customFormat="1" ht="15.75" thickBot="1">
      <c r="A89" s="572"/>
      <c r="B89" s="536"/>
      <c r="C89" s="553"/>
      <c r="D89" s="529"/>
      <c r="E89" s="529"/>
      <c r="F89" s="529"/>
      <c r="G89" s="529"/>
      <c r="H89" s="529"/>
      <c r="I89" s="529"/>
      <c r="J89" s="529"/>
      <c r="K89" s="529"/>
      <c r="L89" s="529"/>
      <c r="M89" s="529"/>
      <c r="N89" s="1146"/>
      <c r="O89" s="1146"/>
      <c r="P89" s="2621"/>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2"/>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2"/>
      <c r="Q91" s="552"/>
    </row>
    <row r="92" spans="1:17" ht="15.75" thickTop="1">
      <c r="A92" s="527"/>
      <c r="B92" s="531" t="str">
        <f>B28</f>
        <v>楼层</v>
      </c>
      <c r="C92" s="547"/>
      <c r="D92" s="547"/>
      <c r="E92" s="547"/>
      <c r="F92" s="547"/>
      <c r="G92" s="547"/>
      <c r="H92" s="547"/>
      <c r="I92" s="547"/>
      <c r="J92" s="547"/>
      <c r="K92" s="547"/>
      <c r="L92" s="573"/>
      <c r="M92" s="574"/>
      <c r="N92" s="1145"/>
      <c r="O92" s="1145"/>
      <c r="P92" s="2621"/>
      <c r="Q92" s="497"/>
    </row>
    <row r="93" spans="1:17" ht="15.75" thickBot="1">
      <c r="A93" s="527"/>
      <c r="B93" s="536"/>
      <c r="C93" s="529"/>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29"/>
      <c r="E95" s="529"/>
      <c r="F95" s="529"/>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53"/>
      <c r="D97" s="529"/>
      <c r="E97" s="529"/>
      <c r="F97" s="529"/>
      <c r="G97" s="529"/>
      <c r="H97" s="529"/>
      <c r="I97" s="529"/>
      <c r="J97" s="529"/>
      <c r="K97" s="529"/>
      <c r="L97" s="529"/>
      <c r="M97" s="530"/>
      <c r="N97" s="1146"/>
      <c r="O97" s="1146"/>
      <c r="P97" s="2621"/>
      <c r="Q97" s="497"/>
    </row>
    <row r="98" spans="1:17" ht="15.75" thickTop="1">
      <c r="A98" s="527"/>
      <c r="B98" s="539">
        <f>B31</f>
        <v>111</v>
      </c>
      <c r="C98" s="547"/>
      <c r="D98" s="547"/>
      <c r="E98" s="547"/>
      <c r="F98" s="547"/>
      <c r="G98" s="580"/>
      <c r="H98" s="580"/>
      <c r="I98" s="580"/>
      <c r="J98" s="580"/>
      <c r="K98" s="581"/>
      <c r="L98" s="582"/>
      <c r="M98" s="583"/>
      <c r="N98" s="1145"/>
      <c r="O98" s="1145"/>
      <c r="P98" s="2621"/>
      <c r="Q98" s="497"/>
    </row>
    <row r="99" spans="1:17" ht="15.75" thickBot="1">
      <c r="A99" s="2627"/>
      <c r="B99" s="562"/>
      <c r="C99" s="563"/>
      <c r="D99" s="563"/>
      <c r="E99" s="563"/>
      <c r="F99" s="563"/>
      <c r="G99" s="584"/>
      <c r="H99" s="584"/>
      <c r="I99" s="584"/>
      <c r="J99" s="584"/>
      <c r="K99" s="584"/>
      <c r="L99" s="584"/>
      <c r="M99" s="585"/>
      <c r="N99" s="1146"/>
      <c r="O99" s="1146"/>
      <c r="P99" s="2621"/>
      <c r="Q99" s="497"/>
    </row>
    <row r="100" spans="1:17">
      <c r="A100" s="520" t="s">
        <v>2563</v>
      </c>
      <c r="B100" s="521" t="s">
        <v>2681</v>
      </c>
      <c r="C100" s="2937" t="s">
        <v>3578</v>
      </c>
      <c r="D100" s="2937" t="s">
        <v>3579</v>
      </c>
      <c r="E100" s="2937" t="s">
        <v>3580</v>
      </c>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1"/>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1"/>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2"/>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1"/>
      <c r="Q106" s="497"/>
    </row>
    <row r="107" spans="1:17" ht="15" thickTop="1">
      <c r="A107" s="592"/>
      <c r="B107" s="531" t="s">
        <v>2616</v>
      </c>
      <c r="C107" s="547"/>
      <c r="D107" s="547"/>
      <c r="E107" s="547"/>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1"/>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1"/>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1"/>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1"/>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2"/>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2"/>
      <c r="Q113" s="552"/>
    </row>
    <row r="114" spans="1:17" ht="15" thickTop="1">
      <c r="A114" s="592"/>
      <c r="B114" s="531" t="s">
        <v>2682</v>
      </c>
      <c r="C114" s="2952" t="s">
        <v>3568</v>
      </c>
      <c r="D114" s="2952" t="s">
        <v>3582</v>
      </c>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1"/>
      <c r="Q115" s="497"/>
    </row>
    <row r="116" spans="1:17" ht="15" thickTop="1">
      <c r="A116" s="592"/>
      <c r="B116" s="531" t="s">
        <v>2683</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2684</v>
      </c>
      <c r="C118" s="620"/>
      <c r="D118" s="620"/>
      <c r="E118" s="620"/>
      <c r="F118" s="620"/>
      <c r="G118" s="620"/>
      <c r="H118" s="548"/>
      <c r="I118" s="548"/>
      <c r="J118" s="548"/>
      <c r="K118" s="548"/>
      <c r="L118" s="549"/>
      <c r="M118" s="550"/>
      <c r="N118" s="1145"/>
      <c r="O118" s="1145"/>
      <c r="P118" s="2621"/>
      <c r="Q118" s="497"/>
    </row>
    <row r="119" spans="1:17" ht="15.75" thickBot="1">
      <c r="A119" s="527"/>
      <c r="B119" s="536"/>
      <c r="C119" s="553"/>
      <c r="D119" s="529"/>
      <c r="E119" s="529"/>
      <c r="F119" s="529"/>
      <c r="G119" s="529"/>
      <c r="H119" s="529"/>
      <c r="I119" s="529"/>
      <c r="J119" s="529"/>
      <c r="K119" s="529"/>
      <c r="L119" s="529"/>
      <c r="M119" s="530"/>
      <c r="N119" s="1146"/>
      <c r="O119" s="1146"/>
      <c r="P119" s="2621"/>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2"/>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29"/>
      <c r="E129" s="529"/>
      <c r="F129" s="529"/>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10" sqref="F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3462</v>
      </c>
      <c r="D1" s="1812" t="s">
        <v>3600</v>
      </c>
      <c r="E1" s="1813" t="s">
        <v>1387</v>
      </c>
      <c r="F1" s="1276">
        <f ca="1">J53</f>
        <v>46.65</v>
      </c>
      <c r="G1" s="1828">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172104</v>
      </c>
      <c r="C2" s="1837" t="s">
        <v>1517</v>
      </c>
      <c r="D2" s="1837"/>
      <c r="E2" s="1838"/>
      <c r="F2" s="1839"/>
      <c r="G2" s="1840"/>
      <c r="H2" s="1832"/>
      <c r="I2" s="1832"/>
      <c r="J2" s="1832"/>
      <c r="K2" s="1833"/>
      <c r="L2" s="1832"/>
      <c r="M2" s="1832"/>
    </row>
    <row r="3" spans="1:37" ht="18" customHeight="1" thickBot="1">
      <c r="A3" s="1841" t="s">
        <v>1518</v>
      </c>
      <c r="B3" s="1842">
        <f ca="1">IF(ISERROR(B2*10000/F43),0,ROUND(B2*10000/F43,0))</f>
        <v>22671</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11238</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11222</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75912.28</v>
      </c>
      <c r="G7" s="1843"/>
      <c r="H7" s="342"/>
      <c r="I7" s="3270"/>
      <c r="J7" s="344"/>
      <c r="K7" s="345"/>
      <c r="L7" s="340" t="s">
        <v>1406</v>
      </c>
      <c r="M7" s="341">
        <f ca="1">F7</f>
        <v>75912.28</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16</v>
      </c>
      <c r="D10" s="1816" t="s">
        <v>3037</v>
      </c>
      <c r="E10" s="351" t="s">
        <v>1411</v>
      </c>
      <c r="F10" s="1359" t="s">
        <v>3601</v>
      </c>
      <c r="G10" s="1843"/>
      <c r="H10" s="1284" t="s">
        <v>1039</v>
      </c>
      <c r="I10" s="1815" t="s">
        <v>1409</v>
      </c>
      <c r="J10" s="339">
        <f ca="1">ROUND(IF(M10="押一",M6*M8*M7/12*M11,IF(M10="押二",M6*M8*M7/12*2*M11,IF(M10="押三",M6*M8*M7/12*3*M11,J11*M11)))/10000,0)</f>
        <v>0</v>
      </c>
      <c r="K10" s="1816" t="s">
        <v>3038</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37852</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24292</v>
      </c>
      <c r="D14" s="1792" t="s">
        <v>1419</v>
      </c>
      <c r="E14" s="1786"/>
      <c r="F14" s="357"/>
      <c r="G14" s="1843"/>
      <c r="H14" s="1194" t="s">
        <v>1035</v>
      </c>
      <c r="I14" s="340" t="s">
        <v>1420</v>
      </c>
      <c r="J14" s="24">
        <f ca="1">C29</f>
        <v>37852</v>
      </c>
      <c r="K14" s="15"/>
      <c r="L14" s="972"/>
      <c r="M14" s="973"/>
    </row>
    <row r="15" spans="1:37" s="1850" customFormat="1" ht="18" customHeight="1" thickBot="1">
      <c r="A15" s="1194" t="s">
        <v>1036</v>
      </c>
      <c r="B15" s="340" t="s">
        <v>1421</v>
      </c>
      <c r="C15" s="24">
        <f ca="1">ROUND(C14*F15,0)</f>
        <v>729</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890</v>
      </c>
      <c r="K16" s="1330" t="s">
        <v>1426</v>
      </c>
      <c r="L16" s="1331"/>
      <c r="M16" s="1287"/>
    </row>
    <row r="17" spans="1:37" s="1850" customFormat="1" ht="18" customHeight="1">
      <c r="A17" s="1194" t="s">
        <v>1390</v>
      </c>
      <c r="B17" s="340" t="s">
        <v>1427</v>
      </c>
      <c r="C17" s="24">
        <f ca="1">ROUND(F17*(F43+INDIRECT("'数据-取费表'!S"&amp;$G$1))/10000,0)</f>
        <v>1518</v>
      </c>
      <c r="D17" s="340" t="s">
        <v>1428</v>
      </c>
      <c r="E17" s="340" t="s">
        <v>1429</v>
      </c>
      <c r="F17" s="26">
        <f>'数据-取费表'!B35</f>
        <v>200</v>
      </c>
      <c r="G17" s="1846"/>
      <c r="H17" s="1194" t="s">
        <v>1035</v>
      </c>
      <c r="I17" s="340" t="s">
        <v>1430</v>
      </c>
      <c r="J17" s="24">
        <f ca="1">ROUND(IF(项目基本情况!B11="自然人",J5*M17,J18+J19+J20),1)</f>
        <v>322.2</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364</v>
      </c>
      <c r="D18" s="340" t="s">
        <v>1422</v>
      </c>
      <c r="E18" s="340" t="s">
        <v>1423</v>
      </c>
      <c r="F18" s="360">
        <f>'数据-取费表'!B36</f>
        <v>1.4999999999999999E-2</v>
      </c>
      <c r="G18" s="1846"/>
      <c r="H18" s="1194" t="s">
        <v>1034</v>
      </c>
      <c r="I18" s="340" t="s">
        <v>1434</v>
      </c>
      <c r="J18" s="24">
        <f ca="1">ROUND(J5*M18/(1+'数据-取费表'!C42),2)</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26903</v>
      </c>
      <c r="D19" s="133" t="s">
        <v>1437</v>
      </c>
      <c r="E19" s="1810"/>
      <c r="F19" s="26"/>
      <c r="G19" s="1843"/>
      <c r="H19" s="1194" t="s">
        <v>1036</v>
      </c>
      <c r="I19" s="340" t="s">
        <v>1438</v>
      </c>
      <c r="J19" s="24">
        <f ca="1">IF(K19="按租金收入计税",ROUND(J5*M19,2),ROUND(C29*M19*0.7,2))</f>
        <v>317.95999999999998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538</v>
      </c>
      <c r="D20" s="362" t="s">
        <v>1441</v>
      </c>
      <c r="E20" s="340" t="s">
        <v>1423</v>
      </c>
      <c r="F20" s="360">
        <f>'数据-取费表'!B37</f>
        <v>0.02</v>
      </c>
      <c r="G20" s="1846"/>
      <c r="H20" s="1194" t="s">
        <v>1389</v>
      </c>
      <c r="I20" s="157" t="s">
        <v>1442</v>
      </c>
      <c r="J20" s="25">
        <f ca="1">ROUND(M20*M21/10000,2)</f>
        <v>4.2699999999999996</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28479.52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ROUND(J14*M22,1)</f>
        <v>567.79999999999995</v>
      </c>
      <c r="K22" s="1790"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1978</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1790" t="s">
        <v>1455</v>
      </c>
      <c r="L23" s="340" t="s">
        <v>1456</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ROUND(J5*M24,1)</f>
        <v>0</v>
      </c>
      <c r="K24" s="1335" t="s">
        <v>1460</v>
      </c>
      <c r="L24" s="1333" t="s">
        <v>1456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1810"/>
      <c r="F25" s="26"/>
      <c r="G25" s="1843"/>
      <c r="H25" s="1322" t="s">
        <v>1031</v>
      </c>
      <c r="I25" s="1337" t="s">
        <v>1464</v>
      </c>
      <c r="J25" s="348">
        <f ca="1">J5-J16</f>
        <v>-890</v>
      </c>
      <c r="K25" s="1338" t="s">
        <v>1465</v>
      </c>
      <c r="L25" s="1339"/>
      <c r="M25" s="1340"/>
    </row>
    <row r="26" spans="1:37">
      <c r="A26" s="1194" t="s">
        <v>1034</v>
      </c>
      <c r="B26" s="340" t="s">
        <v>1466</v>
      </c>
      <c r="C26" s="24">
        <f ca="1">ROUND((C19+C20)*F26,0)</f>
        <v>5488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37852</v>
      </c>
      <c r="D29" s="1335"/>
      <c r="E29" s="1333"/>
      <c r="F29" s="1336"/>
      <c r="G29" s="1846"/>
      <c r="H29" s="373" t="s">
        <v>1033</v>
      </c>
      <c r="I29" s="374" t="s">
        <v>1480</v>
      </c>
      <c r="J29" s="375">
        <f ca="1">ROUND(J26/(1+F40)^F41,0)</f>
        <v>0</v>
      </c>
      <c r="K29" s="376" t="s">
        <v>1481</v>
      </c>
      <c r="L29" s="377"/>
      <c r="M29" s="378">
        <f ca="1">INDIRECT("'数据-取费表'!k"&amp;$G$1)</f>
        <v>75912.28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1648</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ROUND(IF(项目基本情况!B11="自然人",C5*F31,C32+C33+C34),1)</f>
        <v>910.9</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588.66</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317.95999999999998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4.2699999999999996</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28479.52</v>
      </c>
      <c r="G35" s="1843"/>
      <c r="H35" s="738"/>
      <c r="I35" s="1852"/>
      <c r="J35" s="1853"/>
      <c r="K35" s="1854"/>
      <c r="L35" s="1851"/>
      <c r="M35" s="1851"/>
    </row>
    <row r="36" spans="1:18" ht="18" customHeight="1">
      <c r="A36" s="1345" t="s">
        <v>1039</v>
      </c>
      <c r="B36" s="340" t="s">
        <v>1450</v>
      </c>
      <c r="C36" s="24">
        <f ca="1">ROUND(C29*F36,1)</f>
        <v>567.79999999999995</v>
      </c>
      <c r="D36" s="1790"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56.8</v>
      </c>
      <c r="D37" s="1790" t="s">
        <v>1455</v>
      </c>
      <c r="E37" s="340" t="s">
        <v>1456</v>
      </c>
      <c r="F37" s="369">
        <f ca="1">INDIRECT("'数据-取费表'!Al"&amp;$G$1)</f>
        <v>1.5E-3</v>
      </c>
      <c r="G37" s="1843"/>
      <c r="H37" s="1851"/>
      <c r="I37" s="1852"/>
      <c r="J37" s="1853"/>
      <c r="K37" s="744"/>
      <c r="L37" s="1851"/>
      <c r="M37" s="1851"/>
    </row>
    <row r="38" spans="1:18" ht="18" customHeight="1" thickBot="1">
      <c r="A38" s="1332" t="s">
        <v>1393</v>
      </c>
      <c r="B38" s="1333" t="s">
        <v>1440</v>
      </c>
      <c r="C38" s="1334">
        <f ca="1">ROUND(C5*F38,1)</f>
        <v>112.4</v>
      </c>
      <c r="D38" s="1335" t="s">
        <v>1460</v>
      </c>
      <c r="E38" s="1333" t="s">
        <v>1456</v>
      </c>
      <c r="F38" s="1329">
        <f ca="1">INDIRECT("'数据-取费表'!Am"&amp;$G$1)</f>
        <v>0.01</v>
      </c>
      <c r="G38" s="1843"/>
      <c r="H38" s="1851"/>
      <c r="I38" s="1852"/>
      <c r="J38" s="1853"/>
      <c r="K38" s="1857"/>
      <c r="L38" s="1851"/>
      <c r="M38" s="1851"/>
    </row>
    <row r="39" spans="1:18" ht="24.6" customHeight="1" thickTop="1">
      <c r="A39" s="1322" t="s">
        <v>1031</v>
      </c>
      <c r="B39" s="1337" t="s">
        <v>1484</v>
      </c>
      <c r="C39" s="348">
        <f ca="1">C5-C30</f>
        <v>9590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172104</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22671</v>
      </c>
      <c r="D43" s="376" t="s">
        <v>1489</v>
      </c>
      <c r="E43" s="377" t="s">
        <v>1490</v>
      </c>
      <c r="F43" s="378">
        <f ca="1">INDIRECT("'数据-取费表'!k"&amp;$G$1)</f>
        <v>75912.28</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-189099</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172104</v>
      </c>
      <c r="R47" s="1878" t="s">
        <v>1530</v>
      </c>
    </row>
    <row r="48" spans="1:18" s="1834" customFormat="1" ht="28.5" thickBot="1">
      <c r="A48" s="1353" t="s">
        <v>1135</v>
      </c>
      <c r="B48" s="338" t="s">
        <v>1401</v>
      </c>
      <c r="C48" s="1809">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3039</v>
      </c>
      <c r="E49" s="1822" t="s">
        <v>1492</v>
      </c>
      <c r="F49" s="1274"/>
      <c r="G49" s="1883"/>
      <c r="H49" s="786"/>
      <c r="I49" s="1879" t="s">
        <v>1535</v>
      </c>
      <c r="J49" s="1884"/>
      <c r="K49" s="1881" t="s">
        <v>1536</v>
      </c>
      <c r="L49" s="1885"/>
      <c r="O49" s="1886" t="s">
        <v>1042</v>
      </c>
      <c r="P49" s="1877" t="s">
        <v>1537</v>
      </c>
      <c r="Q49" s="1878">
        <f ca="1">C29</f>
        <v>37852</v>
      </c>
      <c r="R49" s="1878" t="s">
        <v>1530</v>
      </c>
    </row>
    <row r="50" spans="1:18" s="1834" customFormat="1" ht="13.5" thickBot="1">
      <c r="A50" s="1188"/>
      <c r="B50" s="1191"/>
      <c r="C50" s="1361"/>
      <c r="D50" s="1165"/>
      <c r="E50" s="1270" t="s">
        <v>1406</v>
      </c>
      <c r="F50" s="1271">
        <f ca="1">F7</f>
        <v>75912.28</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114617</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3037</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172104</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37852</v>
      </c>
      <c r="D56" s="1906"/>
      <c r="E56" s="1907"/>
      <c r="F56" s="1899"/>
      <c r="I56" s="1908" t="s">
        <v>1555</v>
      </c>
      <c r="J56" s="1909" t="s">
        <v>3231</v>
      </c>
      <c r="K56" s="1879" t="s">
        <v>1556</v>
      </c>
      <c r="L56" s="1882" t="str">
        <f ca="1">IF(L48&lt;J51,"——",L48-J53)</f>
        <v>——</v>
      </c>
      <c r="O56" s="1876" t="s">
        <v>1040</v>
      </c>
      <c r="P56" s="1877" t="s">
        <v>1529</v>
      </c>
      <c r="Q56" s="1878">
        <f ca="1">C40+J29</f>
        <v>172104</v>
      </c>
      <c r="R56" s="1878" t="s">
        <v>1530</v>
      </c>
    </row>
    <row r="57" spans="1:18" s="1834" customFormat="1" ht="24.75" thickBot="1">
      <c r="A57" s="1910"/>
      <c r="B57" s="1162" t="s">
        <v>1479</v>
      </c>
      <c r="C57" s="275">
        <f ca="1">C29</f>
        <v>37852</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947</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322.2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IF(项目基本情况!B11="自然人","——",IF(D61="按租金收入计税",ROUND(C48*F61,2),IF(D61="按房产原值计税",ROUND(C57*F61*0.7,2),INDIRECT("'数据-取费表'!Aj"&amp;$G$1))))</f>
        <v>317.95999999999998</v>
      </c>
      <c r="D61" s="1820" t="s">
        <v>1439</v>
      </c>
      <c r="E61" s="1162" t="s">
        <v>1495</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IF(项目基本情况!B11="自然人","——",ROUND(F62*F63/10000,2))</f>
        <v>4.2699999999999996</v>
      </c>
      <c r="D62" s="1177" t="s">
        <v>1498</v>
      </c>
      <c r="E62" s="1162" t="s">
        <v>1499</v>
      </c>
      <c r="F62" s="364">
        <f t="shared" si="0"/>
        <v>1.5</v>
      </c>
      <c r="I62" s="1921" t="s">
        <v>1571</v>
      </c>
      <c r="J62" s="1922" t="s">
        <v>1572</v>
      </c>
      <c r="K62" s="1922" t="s">
        <v>1573</v>
      </c>
      <c r="L62" s="1922" t="s">
        <v>1574</v>
      </c>
      <c r="M62" s="1923" t="s">
        <v>1575</v>
      </c>
      <c r="O62" s="1876" t="s">
        <v>1046</v>
      </c>
      <c r="P62" s="1877" t="s">
        <v>1576</v>
      </c>
      <c r="Q62" s="1878">
        <f ca="1">Q56+Q57</f>
        <v>172104</v>
      </c>
      <c r="R62" s="1878" t="s">
        <v>1047</v>
      </c>
    </row>
    <row r="63" spans="1:18" s="1834" customFormat="1" ht="13.5" thickBot="1">
      <c r="A63" s="365"/>
      <c r="B63" s="1168"/>
      <c r="C63" s="29"/>
      <c r="D63" s="1178"/>
      <c r="E63" s="1162" t="s">
        <v>1500</v>
      </c>
      <c r="F63" s="341">
        <f t="shared" ca="1" si="0"/>
        <v>28479.52</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ROUND(C57*F64,1)</f>
        <v>567.79999999999995</v>
      </c>
      <c r="D64" s="1176" t="s">
        <v>1503</v>
      </c>
      <c r="E64" s="1162" t="s">
        <v>1495</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56.8</v>
      </c>
      <c r="D65" s="1176" t="s">
        <v>1455</v>
      </c>
      <c r="E65" s="1162" t="s">
        <v>1456</v>
      </c>
      <c r="F65" s="369">
        <f t="shared" ca="1" si="0"/>
        <v>1.5E-3</v>
      </c>
      <c r="I65" s="1921" t="s">
        <v>1580</v>
      </c>
      <c r="J65" s="1922">
        <v>40</v>
      </c>
      <c r="K65" s="1922">
        <v>30</v>
      </c>
      <c r="L65" s="1922">
        <v>50</v>
      </c>
      <c r="M65" s="1924">
        <v>0.02</v>
      </c>
      <c r="O65" s="1876" t="s">
        <v>1040</v>
      </c>
      <c r="P65" s="1877" t="s">
        <v>1581</v>
      </c>
      <c r="Q65" s="1878">
        <f ca="1">C40+J29</f>
        <v>172104</v>
      </c>
      <c r="R65" s="1878" t="s">
        <v>1530</v>
      </c>
    </row>
    <row r="66" spans="1:18" s="1834" customFormat="1" ht="16.5" thickBot="1">
      <c r="A66" s="1194" t="s">
        <v>1505</v>
      </c>
      <c r="B66" s="1162" t="s">
        <v>1440</v>
      </c>
      <c r="C66" s="24">
        <f ca="1">ROUND(C48*F66,1)</f>
        <v>0</v>
      </c>
      <c r="D66" s="1176" t="s">
        <v>1506</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-947</v>
      </c>
      <c r="D67" s="1175" t="s">
        <v>1465</v>
      </c>
      <c r="E67" s="1180"/>
      <c r="F67" s="1181"/>
      <c r="O67" s="1886" t="s">
        <v>1042</v>
      </c>
      <c r="P67" s="1877" t="s">
        <v>1563</v>
      </c>
      <c r="Q67" s="1925">
        <f ca="1">L51</f>
        <v>114617</v>
      </c>
      <c r="R67" s="1878" t="s">
        <v>1583</v>
      </c>
    </row>
    <row r="68" spans="1:18" s="1834" customFormat="1" ht="16.5" thickBot="1">
      <c r="A68" s="1159" t="s">
        <v>1032</v>
      </c>
      <c r="B68" s="1160" t="s">
        <v>1486</v>
      </c>
      <c r="C68" s="339">
        <f ca="1">ROUND(C67*(1-((1+F70)/(1+F68))^F69)/(F68-F70),0)</f>
        <v>-16995</v>
      </c>
      <c r="D68" s="1177" t="s">
        <v>1470</v>
      </c>
      <c r="E68" s="1162" t="s">
        <v>1471</v>
      </c>
      <c r="F68" s="350">
        <f ca="1">F40</f>
        <v>0.05</v>
      </c>
      <c r="O68" s="1886" t="s">
        <v>1043</v>
      </c>
      <c r="P68" s="1926" t="s">
        <v>1584</v>
      </c>
      <c r="Q68" s="1878">
        <f ca="1">ROUND(Q69-Q70*Q71,0)</f>
        <v>6373</v>
      </c>
      <c r="R68" s="1878" t="s">
        <v>1051</v>
      </c>
    </row>
    <row r="69" spans="1:18" s="1834" customFormat="1" ht="13.5" thickBot="1">
      <c r="A69" s="1163"/>
      <c r="B69" s="1164"/>
      <c r="C69" s="344"/>
      <c r="D69" s="1182" t="s">
        <v>1474</v>
      </c>
      <c r="E69" s="1162" t="s">
        <v>1475</v>
      </c>
      <c r="F69" s="372">
        <f ca="1">F41</f>
        <v>46.65</v>
      </c>
      <c r="O69" s="1886" t="s">
        <v>1048</v>
      </c>
      <c r="P69" s="1926" t="s">
        <v>1585</v>
      </c>
      <c r="Q69" s="1878">
        <f ca="1">C39</f>
        <v>9590</v>
      </c>
      <c r="R69" s="1878" t="s">
        <v>1530</v>
      </c>
    </row>
    <row r="70" spans="1:18" s="1834" customFormat="1" ht="13.5" thickBot="1">
      <c r="A70" s="1166"/>
      <c r="B70" s="1167"/>
      <c r="C70" s="348"/>
      <c r="D70" s="1178"/>
      <c r="E70" s="1162" t="s">
        <v>1478</v>
      </c>
      <c r="F70" s="1268"/>
      <c r="O70" s="1886" t="s">
        <v>1049</v>
      </c>
      <c r="P70" s="1926" t="s">
        <v>1586</v>
      </c>
      <c r="Q70" s="1878">
        <f ca="1">C13</f>
        <v>37852</v>
      </c>
      <c r="R70" s="1878" t="s">
        <v>1530</v>
      </c>
    </row>
    <row r="71" spans="1:18" s="1834" customFormat="1" ht="13.5" thickBot="1">
      <c r="A71" s="1183" t="s">
        <v>1033</v>
      </c>
      <c r="B71" s="1184" t="s">
        <v>1488</v>
      </c>
      <c r="C71" s="375">
        <f ca="1">ROUND(C68*10000/F71,0)</f>
        <v>-2239</v>
      </c>
      <c r="D71" s="1185" t="s">
        <v>1489</v>
      </c>
      <c r="E71" s="1186" t="s">
        <v>1490</v>
      </c>
      <c r="F71" s="378">
        <f ca="1">F43</f>
        <v>75912.28</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3217</v>
      </c>
      <c r="D75" s="1834"/>
      <c r="E75" s="1834"/>
      <c r="F75" s="1834"/>
      <c r="K75" s="1860"/>
      <c r="L75" s="1834"/>
      <c r="O75" s="1876" t="s">
        <v>1046</v>
      </c>
      <c r="P75" s="1877" t="s">
        <v>1550</v>
      </c>
      <c r="Q75" s="1878">
        <f ca="1">Q65+Q66</f>
        <v>172104</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0.66500000000000004</v>
      </c>
    </row>
    <row r="80" spans="1:18">
      <c r="B80" s="379" t="s">
        <v>1512</v>
      </c>
      <c r="C80" s="311">
        <f ca="1">ROUND(C75/C39,3)</f>
        <v>0.33500000000000002</v>
      </c>
    </row>
    <row r="81" spans="2:3">
      <c r="B81" s="307" t="s">
        <v>1513</v>
      </c>
      <c r="C81" s="275"/>
    </row>
    <row r="82" spans="2:3">
      <c r="B82" s="310" t="s">
        <v>1514</v>
      </c>
      <c r="C82" s="312">
        <f ca="1">1-C83</f>
        <v>0.78</v>
      </c>
    </row>
    <row r="83" spans="2:3">
      <c r="B83" s="310" t="s">
        <v>1515</v>
      </c>
      <c r="C83" s="311">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3467</v>
      </c>
      <c r="D1" s="1812" t="s">
        <v>3600</v>
      </c>
      <c r="E1" s="1813" t="s">
        <v>1387</v>
      </c>
      <c r="F1" s="1276">
        <f ca="1">J53</f>
        <v>36.64</v>
      </c>
      <c r="G1" s="1828">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26995</v>
      </c>
      <c r="C2" s="1837" t="s">
        <v>1517</v>
      </c>
      <c r="D2" s="1837"/>
      <c r="E2" s="1838"/>
      <c r="F2" s="1839"/>
      <c r="G2" s="1840"/>
      <c r="H2" s="1832"/>
      <c r="I2" s="1832"/>
      <c r="J2" s="1832"/>
      <c r="K2" s="1833"/>
      <c r="L2" s="1832"/>
      <c r="M2" s="1832"/>
    </row>
    <row r="3" spans="1:37" ht="18" customHeight="1" thickBot="1">
      <c r="A3" s="1841" t="s">
        <v>1518</v>
      </c>
      <c r="B3" s="1842">
        <f ca="1">IF(ISERROR(B2*10000/F43),0,ROUND(B2*10000/F43,0))</f>
        <v>21038</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1900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1897</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12831.44</v>
      </c>
      <c r="G7" s="1843"/>
      <c r="H7" s="342"/>
      <c r="I7" s="3270"/>
      <c r="J7" s="344"/>
      <c r="K7" s="345"/>
      <c r="L7" s="340" t="s">
        <v>1406</v>
      </c>
      <c r="M7" s="341">
        <f ca="1">F7</f>
        <v>12831.44</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3</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6400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4106</v>
      </c>
      <c r="D14" s="2955" t="s">
        <v>1419</v>
      </c>
      <c r="E14" s="2953"/>
      <c r="F14" s="357"/>
      <c r="G14" s="1843"/>
      <c r="H14" s="1194" t="s">
        <v>1035</v>
      </c>
      <c r="I14" s="340" t="s">
        <v>1420</v>
      </c>
      <c r="J14" s="24">
        <f ca="1">C29</f>
        <v>6400</v>
      </c>
      <c r="K14" s="2960"/>
      <c r="L14" s="972"/>
      <c r="M14" s="973"/>
    </row>
    <row r="15" spans="1:37" s="1850" customFormat="1" ht="18" customHeight="1" thickBot="1">
      <c r="A15" s="1194" t="s">
        <v>1036</v>
      </c>
      <c r="B15" s="340" t="s">
        <v>1421</v>
      </c>
      <c r="C15" s="24">
        <f ca="1">ROUND(C14*F15,0)</f>
        <v>123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151</v>
      </c>
      <c r="K16" s="1330" t="s">
        <v>1426</v>
      </c>
      <c r="L16" s="2956"/>
      <c r="M16" s="1287"/>
    </row>
    <row r="17" spans="1:37" s="1850" customFormat="1" ht="18" customHeight="1">
      <c r="A17" s="1194" t="s">
        <v>1390</v>
      </c>
      <c r="B17" s="340" t="s">
        <v>1427</v>
      </c>
      <c r="C17" s="24">
        <f ca="1">ROUND(F17*(F43+INDIRECT("'数据-取费表'!S"&amp;$G$1))/10000,0)</f>
        <v>257</v>
      </c>
      <c r="D17" s="340" t="s">
        <v>1428</v>
      </c>
      <c r="E17" s="340" t="s">
        <v>1429</v>
      </c>
      <c r="F17" s="26">
        <f>'数据-取费表'!B35</f>
        <v>200</v>
      </c>
      <c r="G17" s="1846"/>
      <c r="H17" s="1194" t="s">
        <v>1035</v>
      </c>
      <c r="I17" s="340" t="s">
        <v>1430</v>
      </c>
      <c r="J17" s="24">
        <f ca="1">ROUND(IF(项目基本情况!B11="自然人",J5*M17,J18+J19+J20),1)</f>
        <v>54.5</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62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4548</v>
      </c>
      <c r="D19" s="133" t="s">
        <v>1437</v>
      </c>
      <c r="E19" s="2959"/>
      <c r="F19" s="26"/>
      <c r="G19" s="1843"/>
      <c r="H19" s="1194" t="s">
        <v>1036</v>
      </c>
      <c r="I19" s="340" t="s">
        <v>1438</v>
      </c>
      <c r="J19" s="24">
        <f ca="1">IF(K19="按租金收入计税",ROUND(J5*M19,2),ROUND(C29*M19*0.7,2))</f>
        <v>53.76</v>
      </c>
      <c r="K19" s="1820" t="s">
        <v>1439</v>
      </c>
      <c r="L19" s="340" t="s">
        <v>1423</v>
      </c>
      <c r="M19" s="360">
        <f>IF(K19="按租金收入计税",'数据-取费表'!B51,'数据-取费表'!B50)</f>
        <v>1.2E-2</v>
      </c>
    </row>
    <row r="20" spans="1:37" s="1850" customFormat="1" ht="18" customHeight="1">
      <c r="A20" s="1194" t="s">
        <v>1039</v>
      </c>
      <c r="B20" s="340" t="s">
        <v>1440</v>
      </c>
      <c r="C20" s="24">
        <f ca="1">ROUND(C19*F20,0)</f>
        <v>91</v>
      </c>
      <c r="D20" s="362" t="s">
        <v>1441</v>
      </c>
      <c r="E20" s="340" t="s">
        <v>1423</v>
      </c>
      <c r="F20" s="360">
        <f>'数据-取费表'!B37</f>
        <v>0.02</v>
      </c>
      <c r="G20" s="1846"/>
      <c r="H20" s="1194" t="s">
        <v>1389</v>
      </c>
      <c r="I20" s="157" t="s">
        <v>1442</v>
      </c>
      <c r="J20" s="25">
        <f ca="1">ROUND(M20*M21/10000,2)</f>
        <v>0.72</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4813.8900000000003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96</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335</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-151</v>
      </c>
      <c r="K25" s="1338" t="s">
        <v>1465</v>
      </c>
      <c r="L25" s="1339"/>
      <c r="M25" s="1340"/>
    </row>
    <row r="26" spans="1:37">
      <c r="A26" s="1194" t="s">
        <v>1034</v>
      </c>
      <c r="B26" s="340" t="s">
        <v>1466</v>
      </c>
      <c r="C26" s="24">
        <f ca="1">ROUND((C19+C20)*F26,0)</f>
        <v>928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6400</v>
      </c>
      <c r="D29" s="1335"/>
      <c r="E29" s="1333"/>
      <c r="F29" s="1336"/>
      <c r="G29" s="1846"/>
      <c r="H29" s="373" t="s">
        <v>1033</v>
      </c>
      <c r="I29" s="374" t="s">
        <v>1480</v>
      </c>
      <c r="J29" s="375">
        <f ca="1">ROUND(J26/(1+F40)^F41,0)</f>
        <v>0</v>
      </c>
      <c r="K29" s="376" t="s">
        <v>1481</v>
      </c>
      <c r="L29" s="377"/>
      <c r="M29" s="378">
        <f ca="1">INDIRECT("'数据-取费表'!k"&amp;$G$1)</f>
        <v>12831.44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279</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154</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99.52</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53.76</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0.72</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4813.8900000000003</v>
      </c>
      <c r="G35" s="1843"/>
      <c r="H35" s="738"/>
      <c r="I35" s="1852"/>
      <c r="J35" s="1853"/>
      <c r="K35" s="1854"/>
      <c r="L35" s="1851"/>
      <c r="M35" s="1851"/>
    </row>
    <row r="36" spans="1:18" ht="18" customHeight="1">
      <c r="A36" s="1345" t="s">
        <v>1039</v>
      </c>
      <c r="B36" s="340" t="s">
        <v>1450</v>
      </c>
      <c r="C36" s="24">
        <f ca="1">ROUND(C29*F36,1)</f>
        <v>96</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9.6</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19</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1621</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26995</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21038</v>
      </c>
      <c r="D43" s="376" t="s">
        <v>1489</v>
      </c>
      <c r="E43" s="377" t="s">
        <v>1490</v>
      </c>
      <c r="F43" s="378">
        <f ca="1">INDIRECT("'数据-取费表'!k"&amp;$G$1)</f>
        <v>12831.44</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-29659</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26995</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6400</v>
      </c>
      <c r="R49" s="1878" t="s">
        <v>1530</v>
      </c>
    </row>
    <row r="50" spans="1:18" s="1834" customFormat="1" ht="13.5" thickBot="1">
      <c r="A50" s="1188"/>
      <c r="B50" s="1191"/>
      <c r="C50" s="1361"/>
      <c r="D50" s="1165"/>
      <c r="E50" s="1270" t="s">
        <v>1406</v>
      </c>
      <c r="F50" s="1271">
        <f ca="1">F7</f>
        <v>12831.44</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18005</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26995</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6400</v>
      </c>
      <c r="D56" s="1906"/>
      <c r="E56" s="1907"/>
      <c r="F56" s="1899"/>
      <c r="I56" s="1908" t="s">
        <v>1555</v>
      </c>
      <c r="J56" s="1909" t="s">
        <v>3231</v>
      </c>
      <c r="K56" s="1879" t="s">
        <v>1556</v>
      </c>
      <c r="L56" s="1882" t="str">
        <f ca="1">IF(L48&lt;J51,"——",L48-J53)</f>
        <v>——</v>
      </c>
      <c r="O56" s="1876" t="s">
        <v>1040</v>
      </c>
      <c r="P56" s="1877" t="s">
        <v>1529</v>
      </c>
      <c r="Q56" s="1878">
        <f ca="1">C40+J29</f>
        <v>26995</v>
      </c>
      <c r="R56" s="1878" t="s">
        <v>1530</v>
      </c>
    </row>
    <row r="57" spans="1:18" s="1834" customFormat="1" ht="24.75" thickBot="1">
      <c r="A57" s="1910"/>
      <c r="B57" s="1162" t="s">
        <v>1479</v>
      </c>
      <c r="C57" s="275">
        <f ca="1">C29</f>
        <v>6400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160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54.5</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53.76</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0.72</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26995</v>
      </c>
      <c r="R62" s="1878" t="s">
        <v>1047</v>
      </c>
    </row>
    <row r="63" spans="1:18" s="1834" customFormat="1" ht="13.5" thickBot="1">
      <c r="A63" s="365"/>
      <c r="B63" s="1168"/>
      <c r="C63" s="29"/>
      <c r="D63" s="1178"/>
      <c r="E63" s="1162" t="s">
        <v>1448</v>
      </c>
      <c r="F63" s="341">
        <f t="shared" ca="1" si="0"/>
        <v>4813.8900000000003</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96</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9.6</v>
      </c>
      <c r="D65" s="1176" t="s">
        <v>1455</v>
      </c>
      <c r="E65" s="1162" t="s">
        <v>1423</v>
      </c>
      <c r="F65" s="369">
        <f t="shared" ca="1" si="0"/>
        <v>1.5E-3</v>
      </c>
      <c r="I65" s="1921" t="s">
        <v>1580</v>
      </c>
      <c r="J65" s="1922">
        <v>40</v>
      </c>
      <c r="K65" s="1922">
        <v>30</v>
      </c>
      <c r="L65" s="1922">
        <v>50</v>
      </c>
      <c r="M65" s="1924">
        <v>0.02</v>
      </c>
      <c r="O65" s="1876" t="s">
        <v>1040</v>
      </c>
      <c r="P65" s="1877" t="s">
        <v>1529</v>
      </c>
      <c r="Q65" s="1878">
        <f ca="1">C40+J29</f>
        <v>26995</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-160</v>
      </c>
      <c r="D67" s="1175" t="s">
        <v>1465</v>
      </c>
      <c r="E67" s="1180"/>
      <c r="F67" s="1181"/>
      <c r="O67" s="1886" t="s">
        <v>1042</v>
      </c>
      <c r="P67" s="1877" t="s">
        <v>1563</v>
      </c>
      <c r="Q67" s="1925">
        <f ca="1">L51</f>
        <v>18005</v>
      </c>
      <c r="R67" s="1878" t="s">
        <v>1583</v>
      </c>
    </row>
    <row r="68" spans="1:18" s="1834" customFormat="1" ht="16.5" thickBot="1">
      <c r="A68" s="1159" t="s">
        <v>1032</v>
      </c>
      <c r="B68" s="1160" t="s">
        <v>1486</v>
      </c>
      <c r="C68" s="339">
        <f ca="1">ROUND(C67*(1-((1+F70)/(1+F68))^F69)/(F68-F70),0)</f>
        <v>-2664</v>
      </c>
      <c r="D68" s="1177" t="s">
        <v>1470</v>
      </c>
      <c r="E68" s="1162" t="s">
        <v>1471</v>
      </c>
      <c r="F68" s="350">
        <f ca="1">F40</f>
        <v>0.05</v>
      </c>
      <c r="O68" s="1886" t="s">
        <v>1043</v>
      </c>
      <c r="P68" s="1926" t="s">
        <v>1584</v>
      </c>
      <c r="Q68" s="1878">
        <f ca="1">ROUND(Q69-Q70*Q71,0)</f>
        <v>1077</v>
      </c>
      <c r="R68" s="1878" t="s">
        <v>1051</v>
      </c>
    </row>
    <row r="69" spans="1:18" s="1834" customFormat="1" ht="13.5" thickBot="1">
      <c r="A69" s="1163"/>
      <c r="B69" s="1164"/>
      <c r="C69" s="344"/>
      <c r="D69" s="1182" t="s">
        <v>1474</v>
      </c>
      <c r="E69" s="1162" t="s">
        <v>1475</v>
      </c>
      <c r="F69" s="372">
        <f ca="1">F41</f>
        <v>36.64</v>
      </c>
      <c r="O69" s="1886" t="s">
        <v>1048</v>
      </c>
      <c r="P69" s="1926" t="s">
        <v>1585</v>
      </c>
      <c r="Q69" s="1878">
        <f ca="1">C39</f>
        <v>1621</v>
      </c>
      <c r="R69" s="1878" t="s">
        <v>1530</v>
      </c>
    </row>
    <row r="70" spans="1:18" s="1834" customFormat="1" ht="13.5" thickBot="1">
      <c r="A70" s="1166"/>
      <c r="B70" s="1167"/>
      <c r="C70" s="348"/>
      <c r="D70" s="1178"/>
      <c r="E70" s="1162" t="s">
        <v>1478</v>
      </c>
      <c r="F70" s="1268"/>
      <c r="O70" s="1886" t="s">
        <v>1049</v>
      </c>
      <c r="P70" s="1926" t="s">
        <v>1586</v>
      </c>
      <c r="Q70" s="1878">
        <f ca="1">C13</f>
        <v>6400</v>
      </c>
      <c r="R70" s="1878" t="s">
        <v>1530</v>
      </c>
    </row>
    <row r="71" spans="1:18" s="1834" customFormat="1" ht="13.5" thickBot="1">
      <c r="A71" s="1183" t="s">
        <v>1033</v>
      </c>
      <c r="B71" s="1184" t="s">
        <v>1488</v>
      </c>
      <c r="C71" s="375">
        <f ca="1">ROUND(C68*10000/F71,0)</f>
        <v>-2076</v>
      </c>
      <c r="D71" s="1185" t="s">
        <v>1489</v>
      </c>
      <c r="E71" s="1186" t="s">
        <v>1490</v>
      </c>
      <c r="F71" s="378">
        <f ca="1">F43</f>
        <v>12831.44</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544</v>
      </c>
      <c r="D75" s="1834"/>
      <c r="E75" s="1834"/>
      <c r="F75" s="1834"/>
      <c r="K75" s="1860"/>
      <c r="L75" s="1834"/>
      <c r="O75" s="1876" t="s">
        <v>1046</v>
      </c>
      <c r="P75" s="1877" t="s">
        <v>1550</v>
      </c>
      <c r="Q75" s="1878">
        <f ca="1">Q65+Q66</f>
        <v>26995</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0.66399999999999992</v>
      </c>
    </row>
    <row r="80" spans="1:18">
      <c r="B80" s="379" t="s">
        <v>1512</v>
      </c>
      <c r="C80" s="311">
        <f ca="1">ROUND(C75/C39,3)</f>
        <v>0.33600000000000002</v>
      </c>
    </row>
    <row r="81" spans="2:3">
      <c r="B81" s="307" t="s">
        <v>1513</v>
      </c>
      <c r="C81" s="275"/>
    </row>
    <row r="82" spans="2:3">
      <c r="B82" s="310" t="s">
        <v>1514</v>
      </c>
      <c r="C82" s="312">
        <f ca="1">1-C83</f>
        <v>0.76300000000000001</v>
      </c>
    </row>
    <row r="83" spans="2:3">
      <c r="B83" s="310" t="s">
        <v>1515</v>
      </c>
      <c r="C83" s="311">
        <f ca="1">ROUND(C13/C40,3)</f>
        <v>0.23699999999999999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3468</v>
      </c>
      <c r="D1" s="1812" t="s">
        <v>3600</v>
      </c>
      <c r="E1" s="1813" t="s">
        <v>1387</v>
      </c>
      <c r="F1" s="1276">
        <f ca="1">J53</f>
        <v>36.64</v>
      </c>
      <c r="G1" s="1828">
        <f>MATCH(C1,'数据-取费表'!A6:A16,0)+5</f>
        <v>9</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0</v>
      </c>
      <c r="C2" s="1837" t="s">
        <v>1517</v>
      </c>
      <c r="D2" s="1837"/>
      <c r="E2" s="1838"/>
      <c r="F2" s="1839"/>
      <c r="G2" s="1840"/>
      <c r="H2" s="1832"/>
      <c r="I2" s="1832"/>
      <c r="J2" s="1832"/>
      <c r="K2" s="1833"/>
      <c r="L2" s="1832"/>
      <c r="M2" s="1832"/>
    </row>
    <row r="3" spans="1:37" ht="18" customHeight="1" thickBot="1">
      <c r="A3" s="1841" t="s">
        <v>1518</v>
      </c>
      <c r="B3" s="1842">
        <f ca="1">IF(ISERROR(B2*10000/F43),0,ROUND(B2*10000/F43,0))</f>
        <v>0</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0</v>
      </c>
      <c r="D6" s="157" t="s">
        <v>3036</v>
      </c>
      <c r="E6" s="340" t="s">
        <v>1405</v>
      </c>
      <c r="F6" s="341">
        <f ca="1">INDIRECT("'数据-取费表'!u"&amp;$G$1)</f>
        <v>4.3</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95"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0</v>
      </c>
      <c r="D14" s="2998" t="s">
        <v>1419</v>
      </c>
      <c r="E14" s="2997"/>
      <c r="F14" s="357"/>
      <c r="G14" s="1843"/>
      <c r="H14" s="1194" t="s">
        <v>1035</v>
      </c>
      <c r="I14" s="340" t="s">
        <v>1420</v>
      </c>
      <c r="J14" s="24">
        <f ca="1">C29</f>
        <v>0</v>
      </c>
      <c r="K14" s="2994"/>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3000"/>
      <c r="M16" s="1287"/>
    </row>
    <row r="17" spans="1:37" s="1850" customFormat="1" ht="18" customHeight="1">
      <c r="A17" s="1194" t="s">
        <v>1390</v>
      </c>
      <c r="B17" s="340" t="s">
        <v>1427</v>
      </c>
      <c r="C17" s="24">
        <f ca="1">ROUND(F17*(F43+INDIRECT("'数据-取费表'!S"&amp;$G$1))/10000,0)</f>
        <v>0</v>
      </c>
      <c r="D17" s="340" t="s">
        <v>1428</v>
      </c>
      <c r="E17" s="340" t="s">
        <v>1429</v>
      </c>
      <c r="F17" s="26">
        <f>'数据-取费表'!B35</f>
        <v>200</v>
      </c>
      <c r="G17" s="1846"/>
      <c r="H17" s="1194" t="s">
        <v>1035</v>
      </c>
      <c r="I17" s="340" t="s">
        <v>1430</v>
      </c>
      <c r="J17" s="24">
        <f ca="1">ROUND(IF(项目基本情况!B11="自然人",J5*M17,J18+J19+J20),1)</f>
        <v>0</v>
      </c>
      <c r="K17" s="2998" t="s">
        <v>1431</v>
      </c>
      <c r="L17" s="2999"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ROUND(J5*M18/(1+'数据-取费表'!C42),2)</f>
        <v>0</v>
      </c>
      <c r="K18" s="2999"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2993"/>
      <c r="F19" s="26"/>
      <c r="G19" s="1843"/>
      <c r="H19" s="1194" t="s">
        <v>1036</v>
      </c>
      <c r="I19" s="340" t="s">
        <v>1438</v>
      </c>
      <c r="J19" s="24">
        <f ca="1">IF(K19="按租金收入计税",ROUND(J5*M19,2),ROUND(C29*M19*0.7,2))</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ROUND(M20*M21/10000,2)</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93"/>
      <c r="F22" s="26"/>
      <c r="G22" s="1843"/>
      <c r="H22" s="1194" t="s">
        <v>1039</v>
      </c>
      <c r="I22" s="340" t="s">
        <v>1450</v>
      </c>
      <c r="J22" s="24">
        <f ca="1">ROUND(J14*M22,1)</f>
        <v>0</v>
      </c>
      <c r="K22" s="2999"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99"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93"/>
      <c r="F25" s="26"/>
      <c r="G25" s="1843"/>
      <c r="H25" s="1322" t="s">
        <v>1031</v>
      </c>
      <c r="I25" s="1337" t="s">
        <v>1464</v>
      </c>
      <c r="J25" s="348">
        <f ca="1">J5-J16</f>
        <v>0</v>
      </c>
      <c r="K25" s="1338" t="s">
        <v>1465</v>
      </c>
      <c r="L25" s="1339"/>
      <c r="M25" s="1340"/>
    </row>
    <row r="26" spans="1:37">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3000"/>
      <c r="F30" s="1287"/>
      <c r="G30" s="1843"/>
      <c r="H30" s="738"/>
      <c r="I30" s="739"/>
      <c r="J30" s="740"/>
      <c r="K30" s="741"/>
      <c r="L30" s="742"/>
      <c r="M30" s="743"/>
    </row>
    <row r="31" spans="1:37" ht="18" customHeight="1">
      <c r="A31" s="1194" t="s">
        <v>1035</v>
      </c>
      <c r="B31" s="340" t="s">
        <v>1430</v>
      </c>
      <c r="C31" s="24">
        <f ca="1">ROUND(IF(项目基本情况!B11="自然人",C5*F31,C32+C33+C34),1)</f>
        <v>0</v>
      </c>
      <c r="D31" s="2998" t="s">
        <v>1431</v>
      </c>
      <c r="E31" s="2999"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0</v>
      </c>
      <c r="D32" s="2999"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ROUND(C29*F36,1)</f>
        <v>0</v>
      </c>
      <c r="D36" s="2999"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0</v>
      </c>
      <c r="D37" s="2999"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0</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0</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ROUND(C40*10000/F43,0)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2992">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361"/>
      <c r="D50" s="1165"/>
      <c r="E50" s="1270" t="s">
        <v>1406</v>
      </c>
      <c r="F50" s="1271">
        <f ca="1">F7</f>
        <v>0</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0</v>
      </c>
      <c r="R53" s="1878" t="s">
        <v>1047</v>
      </c>
    </row>
    <row r="54" spans="1:18" s="1834" customFormat="1" ht="13.5" thickBot="1">
      <c r="A54" s="1399"/>
      <c r="B54" s="1817" t="s">
        <v>1388</v>
      </c>
      <c r="C54" s="1171"/>
      <c r="D54" s="1816"/>
      <c r="E54" s="299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96"/>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0</v>
      </c>
      <c r="D56" s="1906"/>
      <c r="E56" s="1907"/>
      <c r="F56" s="1899"/>
      <c r="I56" s="1908" t="s">
        <v>1555</v>
      </c>
      <c r="J56" s="1909" t="s">
        <v>3231</v>
      </c>
      <c r="K56" s="1879" t="s">
        <v>1556</v>
      </c>
      <c r="L56" s="1882" t="str">
        <f ca="1">IF(L48&lt;J51,"——",L48-J53)</f>
        <v>——</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0</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0</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0</v>
      </c>
      <c r="R62" s="1878" t="s">
        <v>1047</v>
      </c>
    </row>
    <row r="63" spans="1:18" s="1834" customFormat="1" ht="13.5" thickBot="1">
      <c r="A63" s="365"/>
      <c r="B63" s="1168"/>
      <c r="C63" s="29"/>
      <c r="D63" s="1178"/>
      <c r="E63" s="1162" t="s">
        <v>1448</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0</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0</v>
      </c>
      <c r="D65" s="1176" t="s">
        <v>1455</v>
      </c>
      <c r="E65" s="1162" t="s">
        <v>1423</v>
      </c>
      <c r="F65" s="369">
        <f t="shared" ca="1" si="0"/>
        <v>1.5E-3</v>
      </c>
      <c r="I65" s="1921" t="s">
        <v>1580</v>
      </c>
      <c r="J65" s="1922">
        <v>40</v>
      </c>
      <c r="K65" s="1922">
        <v>30</v>
      </c>
      <c r="L65" s="1922">
        <v>50</v>
      </c>
      <c r="M65" s="1924">
        <v>0.02</v>
      </c>
      <c r="O65" s="1876" t="s">
        <v>1040</v>
      </c>
      <c r="P65" s="1877" t="s">
        <v>1529</v>
      </c>
      <c r="Q65" s="1878">
        <f ca="1">C40+J29</f>
        <v>0</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36.64</v>
      </c>
      <c r="O69" s="1886" t="s">
        <v>1048</v>
      </c>
      <c r="P69" s="1926" t="s">
        <v>1585</v>
      </c>
      <c r="Q69" s="1878">
        <f ca="1">C39</f>
        <v>0</v>
      </c>
      <c r="R69" s="1878" t="s">
        <v>1530</v>
      </c>
    </row>
    <row r="70" spans="1:18" s="1834" customFormat="1" ht="13.5" thickBot="1">
      <c r="A70" s="1166"/>
      <c r="B70" s="1167"/>
      <c r="C70" s="348"/>
      <c r="D70" s="1178"/>
      <c r="E70" s="1162" t="s">
        <v>1478</v>
      </c>
      <c r="F70" s="1268"/>
      <c r="O70" s="1886" t="s">
        <v>1049</v>
      </c>
      <c r="P70" s="1926" t="s">
        <v>1586</v>
      </c>
      <c r="Q70" s="1878">
        <f ca="1">C13</f>
        <v>0</v>
      </c>
      <c r="R70" s="1878" t="s">
        <v>1530</v>
      </c>
    </row>
    <row r="71" spans="1:18" s="1834" customFormat="1" ht="13.5" thickBot="1">
      <c r="A71" s="1183" t="s">
        <v>1033</v>
      </c>
      <c r="B71" s="1184" t="s">
        <v>1488</v>
      </c>
      <c r="C71" s="375" t="e">
        <f ca="1">ROUND(C68*10000/F71,0)</f>
        <v>#DIV/0!</v>
      </c>
      <c r="D71" s="1185" t="s">
        <v>1489</v>
      </c>
      <c r="E71" s="1186" t="s">
        <v>1490</v>
      </c>
      <c r="F71" s="378">
        <f ca="1">F43</f>
        <v>0</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f ca="1">Q65+Q66</f>
        <v>0</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3476</v>
      </c>
      <c r="D1" s="1812" t="s">
        <v>3600</v>
      </c>
      <c r="E1" s="1813" t="s">
        <v>1387</v>
      </c>
      <c r="F1" s="1276">
        <f ca="1">J53</f>
        <v>46.65</v>
      </c>
      <c r="G1" s="1828">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2886</v>
      </c>
      <c r="C2" s="1837" t="s">
        <v>1517</v>
      </c>
      <c r="D2" s="1837"/>
      <c r="E2" s="1838"/>
      <c r="F2" s="1839"/>
      <c r="G2" s="1840"/>
      <c r="H2" s="1832"/>
      <c r="I2" s="1832"/>
      <c r="J2" s="1832"/>
      <c r="K2" s="1833"/>
      <c r="L2" s="1832"/>
      <c r="M2" s="1832"/>
    </row>
    <row r="3" spans="1:37" ht="18" customHeight="1" thickBot="1">
      <c r="A3" s="1841" t="s">
        <v>1518</v>
      </c>
      <c r="B3" s="1842">
        <f ca="1">IF(ISERROR(B2*10000/F43),0,ROUND(B2*10000/F43,0))</f>
        <v>4397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216</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216</v>
      </c>
      <c r="D6" s="157" t="s">
        <v>3036</v>
      </c>
      <c r="E6" s="340" t="s">
        <v>1405</v>
      </c>
      <c r="F6" s="341">
        <f ca="1">INDIRECT("'数据-取费表'!u"&amp;$G$1)</f>
        <v>1</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6564.2199999999993</v>
      </c>
      <c r="G7" s="1843"/>
      <c r="H7" s="342"/>
      <c r="I7" s="3270"/>
      <c r="J7" s="344"/>
      <c r="K7" s="345"/>
      <c r="L7" s="340" t="s">
        <v>1406</v>
      </c>
      <c r="M7" s="341">
        <f ca="1">F7</f>
        <v>6564.2199999999993</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2121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1444</v>
      </c>
      <c r="D14" s="2955" t="s">
        <v>1419</v>
      </c>
      <c r="E14" s="2953"/>
      <c r="F14" s="357"/>
      <c r="G14" s="1843"/>
      <c r="H14" s="1194" t="s">
        <v>1035</v>
      </c>
      <c r="I14" s="340" t="s">
        <v>1420</v>
      </c>
      <c r="J14" s="24">
        <f ca="1">C29</f>
        <v>2121</v>
      </c>
      <c r="K14" s="2960"/>
      <c r="L14" s="972"/>
      <c r="M14" s="973"/>
    </row>
    <row r="15" spans="1:37" s="1850" customFormat="1" ht="18" customHeight="1" thickBot="1">
      <c r="A15" s="1194" t="s">
        <v>1036</v>
      </c>
      <c r="B15" s="340" t="s">
        <v>1421</v>
      </c>
      <c r="C15" s="24">
        <f ca="1">ROUND(C14*F15,0)</f>
        <v>43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50</v>
      </c>
      <c r="K16" s="1330" t="s">
        <v>1426</v>
      </c>
      <c r="L16" s="2956"/>
      <c r="M16" s="1287"/>
    </row>
    <row r="17" spans="1:37" s="1850" customFormat="1" ht="18" customHeight="1">
      <c r="A17" s="1194" t="s">
        <v>1390</v>
      </c>
      <c r="B17" s="340" t="s">
        <v>1427</v>
      </c>
      <c r="C17" s="24">
        <f ca="1">ROUND(F17*(F43+INDIRECT("'数据-取费表'!S"&amp;$G$1))/10000,0)</f>
        <v>131</v>
      </c>
      <c r="D17" s="340" t="s">
        <v>1428</v>
      </c>
      <c r="E17" s="340" t="s">
        <v>1429</v>
      </c>
      <c r="F17" s="26">
        <f>'数据-取费表'!B35</f>
        <v>200</v>
      </c>
      <c r="G17" s="1846"/>
      <c r="H17" s="1194" t="s">
        <v>1035</v>
      </c>
      <c r="I17" s="340" t="s">
        <v>1430</v>
      </c>
      <c r="J17" s="24">
        <f ca="1">ROUND(IF(项目基本情况!B11="自然人",J5*M17,J18+J19+J20),1)</f>
        <v>18.2</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1640</v>
      </c>
      <c r="D19" s="133" t="s">
        <v>1437</v>
      </c>
      <c r="E19" s="2959"/>
      <c r="F19" s="26"/>
      <c r="G19" s="1843"/>
      <c r="H19" s="1194" t="s">
        <v>1036</v>
      </c>
      <c r="I19" s="340" t="s">
        <v>1438</v>
      </c>
      <c r="J19" s="24">
        <f ca="1">IF(K19="按租金收入计税",ROUND(J5*M19,2),ROUND(C29*M19*0.7,2))</f>
        <v>17.82</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33</v>
      </c>
      <c r="D20" s="362" t="s">
        <v>1441</v>
      </c>
      <c r="E20" s="340" t="s">
        <v>1423</v>
      </c>
      <c r="F20" s="360">
        <f>'数据-取费表'!B37</f>
        <v>0.02</v>
      </c>
      <c r="G20" s="1846"/>
      <c r="H20" s="1194" t="s">
        <v>1389</v>
      </c>
      <c r="I20" s="157" t="s">
        <v>1442</v>
      </c>
      <c r="J20" s="25">
        <f ca="1">ROUND(M20*M21/10000,2)</f>
        <v>0.37</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2462.66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31.8</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120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-50</v>
      </c>
      <c r="K25" s="1338" t="s">
        <v>1465</v>
      </c>
      <c r="L25" s="1339"/>
      <c r="M25" s="1340"/>
    </row>
    <row r="26" spans="1:37">
      <c r="A26" s="1194" t="s">
        <v>1034</v>
      </c>
      <c r="B26" s="340" t="s">
        <v>1466</v>
      </c>
      <c r="C26" s="24">
        <f ca="1">ROUND((C19+C20)*F26,0)</f>
        <v>167</v>
      </c>
      <c r="D26" s="362" t="s">
        <v>1467</v>
      </c>
      <c r="E26" s="351" t="s">
        <v>1468</v>
      </c>
      <c r="F26" s="350">
        <f ca="1">INDIRECT("'数据-取费表'!q"&amp;$G$1)</f>
        <v>0.1</v>
      </c>
      <c r="G26" s="1843"/>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2121</v>
      </c>
      <c r="D29" s="1335"/>
      <c r="E29" s="1333"/>
      <c r="F29" s="1336"/>
      <c r="G29" s="1846"/>
      <c r="H29" s="373" t="s">
        <v>1033</v>
      </c>
      <c r="I29" s="374" t="s">
        <v>1480</v>
      </c>
      <c r="J29" s="375">
        <f ca="1">ROUND(J26/(1+F40)^F41,0)</f>
        <v>0</v>
      </c>
      <c r="K29" s="376" t="s">
        <v>1481</v>
      </c>
      <c r="L29" s="377"/>
      <c r="M29" s="378">
        <f ca="1">INDIRECT("'数据-取费表'!k"&amp;$G$1)</f>
        <v>6564.2199999999993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67</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29.5</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11.31</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17.82</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0.37</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2462.66</v>
      </c>
      <c r="G35" s="1843"/>
      <c r="H35" s="738"/>
      <c r="I35" s="1852"/>
      <c r="J35" s="1853"/>
      <c r="K35" s="1854"/>
      <c r="L35" s="1851"/>
      <c r="M35" s="1851"/>
    </row>
    <row r="36" spans="1:18" ht="18" customHeight="1">
      <c r="A36" s="1345" t="s">
        <v>1039</v>
      </c>
      <c r="B36" s="340" t="s">
        <v>1450</v>
      </c>
      <c r="C36" s="24">
        <f ca="1">ROUND(C29*F36,1)</f>
        <v>31.8</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3.2</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2.2000000000000002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149</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2886</v>
      </c>
      <c r="D40" s="363" t="s">
        <v>1470</v>
      </c>
      <c r="E40" s="340" t="s">
        <v>1471</v>
      </c>
      <c r="F40" s="350">
        <f ca="1">INDIRECT("'数据-取费表'!I"&amp;$G$1)</f>
        <v>4.4999999999999998E-2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4397</v>
      </c>
      <c r="D43" s="376" t="s">
        <v>1489</v>
      </c>
      <c r="E43" s="377" t="s">
        <v>1490</v>
      </c>
      <c r="F43" s="378">
        <f ca="1">INDIRECT("'数据-取费表'!k"&amp;$G$1)</f>
        <v>6564.2199999999993</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-3913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2886</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2121</v>
      </c>
      <c r="R49" s="1878" t="s">
        <v>1530</v>
      </c>
    </row>
    <row r="50" spans="1:18" s="1834" customFormat="1" ht="13.5" thickBot="1">
      <c r="A50" s="1188"/>
      <c r="B50" s="1191"/>
      <c r="C50" s="1361"/>
      <c r="D50" s="1165"/>
      <c r="E50" s="1270" t="s">
        <v>1406</v>
      </c>
      <c r="F50" s="1271">
        <f ca="1">F7</f>
        <v>6564.2199999999993</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-659</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2886</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2121</v>
      </c>
      <c r="D56" s="1906"/>
      <c r="E56" s="1907"/>
      <c r="F56" s="1899"/>
      <c r="I56" s="1908" t="s">
        <v>1555</v>
      </c>
      <c r="J56" s="1909" t="s">
        <v>3231</v>
      </c>
      <c r="K56" s="1879" t="s">
        <v>1556</v>
      </c>
      <c r="L56" s="1882" t="str">
        <f ca="1">IF(L48&lt;J51,"——",L48-J53)</f>
        <v>——</v>
      </c>
      <c r="O56" s="1876" t="s">
        <v>1040</v>
      </c>
      <c r="P56" s="1877" t="s">
        <v>1529</v>
      </c>
      <c r="Q56" s="1878">
        <f ca="1">C40+J29</f>
        <v>2886</v>
      </c>
      <c r="R56" s="1878" t="s">
        <v>1530</v>
      </c>
    </row>
    <row r="57" spans="1:18" s="1834" customFormat="1" ht="24.75" thickBot="1">
      <c r="A57" s="1910"/>
      <c r="B57" s="1162" t="s">
        <v>1479</v>
      </c>
      <c r="C57" s="275">
        <f ca="1">C29</f>
        <v>2121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53</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18.2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17.82</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0.37</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2886</v>
      </c>
      <c r="R62" s="1878" t="s">
        <v>1047</v>
      </c>
    </row>
    <row r="63" spans="1:18" s="1834" customFormat="1" ht="13.5" thickBot="1">
      <c r="A63" s="365"/>
      <c r="B63" s="1168"/>
      <c r="C63" s="29"/>
      <c r="D63" s="1178"/>
      <c r="E63" s="1162" t="s">
        <v>1448</v>
      </c>
      <c r="F63" s="341">
        <f t="shared" ca="1" si="0"/>
        <v>2462.66</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31.8</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3.2</v>
      </c>
      <c r="D65" s="1176" t="s">
        <v>1455</v>
      </c>
      <c r="E65" s="1162" t="s">
        <v>1423</v>
      </c>
      <c r="F65" s="369">
        <f t="shared" ca="1" si="0"/>
        <v>1.5E-3</v>
      </c>
      <c r="I65" s="1921" t="s">
        <v>1580</v>
      </c>
      <c r="J65" s="1922">
        <v>40</v>
      </c>
      <c r="K65" s="1922">
        <v>30</v>
      </c>
      <c r="L65" s="1922">
        <v>50</v>
      </c>
      <c r="M65" s="1924">
        <v>0.02</v>
      </c>
      <c r="O65" s="1876" t="s">
        <v>1040</v>
      </c>
      <c r="P65" s="1877" t="s">
        <v>1529</v>
      </c>
      <c r="Q65" s="1878">
        <f ca="1">C40+J29</f>
        <v>2886</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-53</v>
      </c>
      <c r="D67" s="1175" t="s">
        <v>1465</v>
      </c>
      <c r="E67" s="1180"/>
      <c r="F67" s="1181"/>
      <c r="O67" s="1886" t="s">
        <v>1042</v>
      </c>
      <c r="P67" s="1877" t="s">
        <v>1563</v>
      </c>
      <c r="Q67" s="1925">
        <f ca="1">L51</f>
        <v>-659</v>
      </c>
      <c r="R67" s="1878" t="s">
        <v>1583</v>
      </c>
    </row>
    <row r="68" spans="1:18" s="1834" customFormat="1" ht="16.5" thickBot="1">
      <c r="A68" s="1159" t="s">
        <v>1032</v>
      </c>
      <c r="B68" s="1160" t="s">
        <v>1486</v>
      </c>
      <c r="C68" s="339">
        <f ca="1">ROUND(C67*(1-((1+F70)/(1+F68))^F69)/(F68-F70),0)</f>
        <v>-1027</v>
      </c>
      <c r="D68" s="1177" t="s">
        <v>1470</v>
      </c>
      <c r="E68" s="1162" t="s">
        <v>1471</v>
      </c>
      <c r="F68" s="350">
        <f ca="1">F40</f>
        <v>4.4999999999999998E-2</v>
      </c>
      <c r="O68" s="1886" t="s">
        <v>1043</v>
      </c>
      <c r="P68" s="1926" t="s">
        <v>1584</v>
      </c>
      <c r="Q68" s="1878">
        <f ca="1">ROUND(Q69-Q70*Q71,0)</f>
        <v>-31</v>
      </c>
      <c r="R68" s="1878" t="s">
        <v>1051</v>
      </c>
    </row>
    <row r="69" spans="1:18" s="1834" customFormat="1" ht="13.5" thickBot="1">
      <c r="A69" s="1163"/>
      <c r="B69" s="1164"/>
      <c r="C69" s="344"/>
      <c r="D69" s="1182" t="s">
        <v>1474</v>
      </c>
      <c r="E69" s="1162" t="s">
        <v>1475</v>
      </c>
      <c r="F69" s="372">
        <f ca="1">F41</f>
        <v>46.65</v>
      </c>
      <c r="O69" s="1886" t="s">
        <v>1048</v>
      </c>
      <c r="P69" s="1926" t="s">
        <v>1585</v>
      </c>
      <c r="Q69" s="1878">
        <f ca="1">C39</f>
        <v>149</v>
      </c>
      <c r="R69" s="1878" t="s">
        <v>1530</v>
      </c>
    </row>
    <row r="70" spans="1:18" s="1834" customFormat="1" ht="13.5" thickBot="1">
      <c r="A70" s="1166"/>
      <c r="B70" s="1167"/>
      <c r="C70" s="348"/>
      <c r="D70" s="1178"/>
      <c r="E70" s="1162" t="s">
        <v>1478</v>
      </c>
      <c r="F70" s="1268"/>
      <c r="O70" s="1886" t="s">
        <v>1049</v>
      </c>
      <c r="P70" s="1926" t="s">
        <v>1586</v>
      </c>
      <c r="Q70" s="1878">
        <f ca="1">C13</f>
        <v>2121</v>
      </c>
      <c r="R70" s="1878" t="s">
        <v>1530</v>
      </c>
    </row>
    <row r="71" spans="1:18" s="1834" customFormat="1" ht="13.5" thickBot="1">
      <c r="A71" s="1183" t="s">
        <v>1033</v>
      </c>
      <c r="B71" s="1184" t="s">
        <v>1488</v>
      </c>
      <c r="C71" s="375">
        <f ca="1">ROUND(C68*10000/F71,0)</f>
        <v>-1565</v>
      </c>
      <c r="D71" s="1185" t="s">
        <v>1489</v>
      </c>
      <c r="E71" s="1186" t="s">
        <v>1490</v>
      </c>
      <c r="F71" s="378">
        <f ca="1">F43</f>
        <v>6564.2199999999993</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180</v>
      </c>
      <c r="D75" s="1834"/>
      <c r="E75" s="1834"/>
      <c r="F75" s="1834"/>
      <c r="K75" s="1860"/>
      <c r="L75" s="1834"/>
      <c r="O75" s="1876" t="s">
        <v>1046</v>
      </c>
      <c r="P75" s="1877" t="s">
        <v>1550</v>
      </c>
      <c r="Q75" s="1878">
        <f ca="1">Q65+Q66</f>
        <v>2886</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-0.20799999999999996</v>
      </c>
    </row>
    <row r="80" spans="1:18">
      <c r="B80" s="379" t="s">
        <v>1512</v>
      </c>
      <c r="C80" s="311">
        <f ca="1">ROUND(C75/C39,3)</f>
        <v>1.208</v>
      </c>
    </row>
    <row r="81" spans="2:3">
      <c r="B81" s="307" t="s">
        <v>1513</v>
      </c>
      <c r="C81" s="275"/>
    </row>
    <row r="82" spans="2:3">
      <c r="B82" s="310" t="s">
        <v>1514</v>
      </c>
      <c r="C82" s="312">
        <f ca="1">1-C83</f>
        <v>0.26500000000000001</v>
      </c>
    </row>
    <row r="83" spans="2:3">
      <c r="B83" s="310" t="s">
        <v>1515</v>
      </c>
      <c r="C83" s="311">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v>
      </c>
    </row>
    <row r="4" spans="1:1" ht="36">
      <c r="A4" s="1940" t="str">
        <f>"受贵公司委托，我公司对"&amp;项目基本情况!S1&amp;"进行了预评估。"</f>
        <v>受贵公司委托，我公司对北京市出让国有建设用地使用权及在建建筑物房地产抵押价值进行了预评估。</v>
      </c>
    </row>
    <row r="5" spans="1:1" ht="18.75">
      <c r="A5" s="1941" t="s">
        <v>1613</v>
      </c>
    </row>
    <row r="6" spans="1:1" ht="18.75">
      <c r="A6" s="1942" t="s">
        <v>1614</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3" t="s">
        <v>1615</v>
      </c>
    </row>
    <row r="9" spans="1:1" ht="18.75">
      <c r="A9" s="1942" t="s">
        <v>1616</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2018年3月9日（评估专业人员实地查勘之日）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c r="D1" s="1812"/>
      <c r="E1" s="1813" t="s">
        <v>1387</v>
      </c>
      <c r="F1" s="1276" t="b">
        <f>J53</f>
        <v>0</v>
      </c>
      <c r="G1" s="1828">
        <f>MATCH(C1,'数据-取费表'!A6:A16,0)+5</f>
        <v>7</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7" t="s">
        <v>1589</v>
      </c>
      <c r="I3" s="1832"/>
      <c r="J3" s="1832"/>
      <c r="K3" s="1833"/>
      <c r="L3" s="1832"/>
      <c r="M3" s="1832"/>
    </row>
    <row r="4" spans="1:37" ht="18" customHeight="1">
      <c r="A4" s="333" t="s">
        <v>1596</v>
      </c>
      <c r="B4" s="334" t="s">
        <v>1597</v>
      </c>
      <c r="C4" s="334" t="s">
        <v>1598</v>
      </c>
      <c r="D4" s="334" t="s">
        <v>1599</v>
      </c>
      <c r="E4" s="335" t="s">
        <v>1600</v>
      </c>
      <c r="F4" s="336"/>
      <c r="G4" s="1843"/>
      <c r="H4" s="333" t="s">
        <v>1596</v>
      </c>
      <c r="I4" s="334" t="s">
        <v>1597</v>
      </c>
      <c r="J4" s="334" t="s">
        <v>1598</v>
      </c>
      <c r="K4" s="334" t="s">
        <v>1599</v>
      </c>
      <c r="L4" s="335" t="s">
        <v>1600</v>
      </c>
      <c r="M4" s="336"/>
    </row>
    <row r="5" spans="1:37" ht="18" customHeight="1">
      <c r="A5" s="337">
        <v>1</v>
      </c>
      <c r="B5" s="338" t="s">
        <v>1601</v>
      </c>
      <c r="C5" s="1285">
        <f ca="1">C6+C10+C12</f>
        <v>0</v>
      </c>
      <c r="D5" s="1814" t="s">
        <v>1602</v>
      </c>
      <c r="E5" s="1286"/>
      <c r="F5" s="1287"/>
      <c r="G5" s="1843"/>
      <c r="H5" s="337">
        <v>1</v>
      </c>
      <c r="I5" s="338" t="s">
        <v>1601</v>
      </c>
      <c r="J5" s="1285">
        <f ca="1">J6+J10+J12</f>
        <v>0</v>
      </c>
      <c r="K5" s="1814" t="s">
        <v>1602</v>
      </c>
      <c r="L5" s="1286"/>
      <c r="M5" s="1287"/>
    </row>
    <row r="6" spans="1:37" ht="18" customHeight="1">
      <c r="A6" s="1284" t="s">
        <v>1035</v>
      </c>
      <c r="B6" s="3269" t="s">
        <v>1403</v>
      </c>
      <c r="C6" s="1289">
        <f ca="1">ROUND(F6*F8*F7*(1-F9),0)</f>
        <v>0</v>
      </c>
      <c r="D6" s="157" t="s">
        <v>3031</v>
      </c>
      <c r="E6" s="340" t="s">
        <v>1405</v>
      </c>
      <c r="F6" s="341">
        <f ca="1">INDIRECT("'数据-取费表'!u"&amp;$G$1)</f>
        <v>0</v>
      </c>
      <c r="G6" s="1843"/>
      <c r="H6" s="1284" t="s">
        <v>1035</v>
      </c>
      <c r="I6" s="3269" t="s">
        <v>1403</v>
      </c>
      <c r="J6" s="339">
        <f ca="1">ROUND(M6*M8*M7*(1-M9),0)</f>
        <v>0</v>
      </c>
      <c r="K6" s="1826" t="s">
        <v>3034</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0</v>
      </c>
      <c r="G8" s="1843"/>
      <c r="H8" s="342"/>
      <c r="I8" s="3270"/>
      <c r="J8" s="344"/>
      <c r="K8" s="345"/>
      <c r="L8" s="340" t="s">
        <v>1407</v>
      </c>
      <c r="M8" s="341">
        <f ca="1">INDIRECT("'数据-取费表'!ai"&amp;$G$1)</f>
        <v>0</v>
      </c>
    </row>
    <row r="9" spans="1:37" ht="18" customHeight="1">
      <c r="A9" s="342"/>
      <c r="B9" s="3271"/>
      <c r="C9" s="344"/>
      <c r="D9" s="345"/>
      <c r="E9" s="340" t="s">
        <v>1408</v>
      </c>
      <c r="F9" s="350">
        <f ca="1">INDIRECT("'数据-取费表'!w"&amp;$G$1)</f>
        <v>0</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ROUND(IF(F10="押一",F6*F8*F7/12*F11,IF(F10="押二",F6*F8*F7/12*2*F11,IF(F10="押三",F6*F8*F7/12*3*F11,C11*F11))),0)</f>
        <v>0</v>
      </c>
      <c r="D10" s="1816" t="s">
        <v>3032</v>
      </c>
      <c r="E10" s="351" t="s">
        <v>1411</v>
      </c>
      <c r="F10" s="1359"/>
      <c r="G10" s="1843"/>
      <c r="H10" s="1284" t="s">
        <v>1039</v>
      </c>
      <c r="I10" s="1815" t="s">
        <v>1409</v>
      </c>
      <c r="J10" s="339">
        <f ca="1">ROUND(IF(M10="押一",M6*M8*M7/12*M11,IF(M10="押二",M6*M8*M7/12*2*M11,IF(M10="押三",M6*M8*M7/12*3*M11,J11*M11))),0)</f>
        <v>0</v>
      </c>
      <c r="K10" s="1827" t="s">
        <v>3033</v>
      </c>
      <c r="L10" s="351" t="s">
        <v>1411</v>
      </c>
      <c r="M10" s="1359"/>
    </row>
    <row r="11" spans="1:37" ht="18" customHeight="1">
      <c r="A11" s="346"/>
      <c r="B11" s="1817" t="s">
        <v>1603</v>
      </c>
      <c r="C11" s="1171"/>
      <c r="D11" s="345"/>
      <c r="E11" s="351" t="s">
        <v>1413</v>
      </c>
      <c r="F11" s="352">
        <f ca="1">'数据-取费表'!B39</f>
        <v>1.4999999999999999E-2</v>
      </c>
      <c r="G11" s="1843"/>
      <c r="H11" s="1292"/>
      <c r="I11" s="1817" t="s">
        <v>1604</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3"/>
      <c r="H13" s="1322">
        <v>2</v>
      </c>
      <c r="I13" s="1323" t="s">
        <v>1415</v>
      </c>
      <c r="J13" s="1283">
        <f ca="1">ROUND(J14*J15,0)</f>
        <v>0</v>
      </c>
      <c r="K13" s="1330" t="s">
        <v>1416</v>
      </c>
      <c r="L13" s="1844"/>
      <c r="M13" s="1845"/>
    </row>
    <row r="14" spans="1:37" ht="18" customHeight="1">
      <c r="A14" s="1194" t="s">
        <v>1034</v>
      </c>
      <c r="B14" s="340" t="s">
        <v>1418</v>
      </c>
      <c r="C14" s="356">
        <f ca="1">ROUND(INDIRECT("'数据-取费表'!l"&amp;$G$1)*F43+'数据-取费表'!L14*INDIRECT("'数据-取费表'!S"&amp;$G$1),0)</f>
        <v>0</v>
      </c>
      <c r="D14" s="1792" t="s">
        <v>1419</v>
      </c>
      <c r="E14" s="1786"/>
      <c r="F14" s="357"/>
      <c r="G14" s="1843"/>
      <c r="H14" s="1194" t="s">
        <v>1035</v>
      </c>
      <c r="I14" s="340" t="s">
        <v>1420</v>
      </c>
      <c r="J14" s="24">
        <f ca="1">C29</f>
        <v>0</v>
      </c>
      <c r="K14" s="15"/>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1331"/>
      <c r="M16" s="1287"/>
    </row>
    <row r="17" spans="1:37" s="1850" customFormat="1" ht="18" customHeight="1">
      <c r="A17" s="1194" t="s">
        <v>1390</v>
      </c>
      <c r="B17" s="340" t="s">
        <v>1427</v>
      </c>
      <c r="C17" s="24">
        <f ca="1">ROUND(F17*(F43+INDIRECT("'数据-取费表'!S"&amp;$G$1)),0)</f>
        <v>0</v>
      </c>
      <c r="D17" s="340" t="s">
        <v>1428</v>
      </c>
      <c r="E17" s="340" t="s">
        <v>1429</v>
      </c>
      <c r="F17" s="26">
        <f>'数据-取费表'!B35</f>
        <v>200</v>
      </c>
      <c r="G17" s="1846"/>
      <c r="H17" s="1194" t="s">
        <v>1035</v>
      </c>
      <c r="I17" s="340" t="s">
        <v>1430</v>
      </c>
      <c r="J17" s="24">
        <f ca="1">ROUND(IF(项目基本情况!B11="自然人",J5*M17,J18+J19+J20),0)</f>
        <v>0</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ROUND(J5*M18/(1+'数据-取费表'!C42),0)</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1810"/>
      <c r="F19" s="26"/>
      <c r="G19" s="1843"/>
      <c r="H19" s="1194" t="s">
        <v>1036</v>
      </c>
      <c r="I19" s="340" t="s">
        <v>1438</v>
      </c>
      <c r="J19" s="24">
        <f ca="1">IF(K19="按租金收入计税",ROUND(J5*M19,0),ROUND(C29*M19*0.7,0))</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ROUND(M20*M21,0)</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ROUND(J14*M22,0)</f>
        <v>0</v>
      </c>
      <c r="K22" s="1790" t="s">
        <v>1451</v>
      </c>
      <c r="L22" s="340" t="s">
        <v>1423</v>
      </c>
      <c r="M22" s="367">
        <f ca="1">INDIRECT("'数据-取费表'!Ak"&amp;$G$1)</f>
        <v>0</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ROUND(J13*M23,0)</f>
        <v>0</v>
      </c>
      <c r="K23" s="1790" t="s">
        <v>1455</v>
      </c>
      <c r="L23" s="340" t="s">
        <v>1456</v>
      </c>
      <c r="M23" s="369">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ROUND(J5*M24,0)</f>
        <v>0</v>
      </c>
      <c r="K24" s="1335" t="s">
        <v>1460</v>
      </c>
      <c r="L24" s="1333" t="s">
        <v>1456</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1461</v>
      </c>
      <c r="B25" s="340" t="s">
        <v>1462</v>
      </c>
      <c r="C25" s="24"/>
      <c r="D25" s="133" t="s">
        <v>1463</v>
      </c>
      <c r="E25" s="1810"/>
      <c r="F25" s="26"/>
      <c r="G25" s="1843"/>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ROUND(IF(项目基本情况!B11="自然人",C5*F31,C32+C33+C34),0)</f>
        <v>0</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IF(项目基本情况!B11="自然人","——",ROUND(C5*F32/(1+'数据-取费表'!C42),0))</f>
        <v>0</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ROUND(C29*F36,0)</f>
        <v>0</v>
      </c>
      <c r="D36" s="1790" t="s">
        <v>1483</v>
      </c>
      <c r="E36" s="340" t="s">
        <v>1423</v>
      </c>
      <c r="F36" s="367">
        <f ca="1">INDIRECT("'数据-取费表'!Ak"&amp;$G$1)</f>
        <v>0</v>
      </c>
      <c r="G36" s="1843"/>
      <c r="H36" s="1851"/>
      <c r="I36" s="1852"/>
      <c r="J36" s="1853"/>
      <c r="K36" s="744"/>
      <c r="L36" s="1851"/>
      <c r="M36" s="1851"/>
    </row>
    <row r="37" spans="1:18" ht="18" customHeight="1">
      <c r="A37" s="1194" t="s">
        <v>1075</v>
      </c>
      <c r="B37" s="340" t="s">
        <v>1454</v>
      </c>
      <c r="C37" s="24">
        <f ca="1">ROUND(C13*F37,0)</f>
        <v>0</v>
      </c>
      <c r="D37" s="1790" t="s">
        <v>1455</v>
      </c>
      <c r="E37" s="340" t="s">
        <v>1456</v>
      </c>
      <c r="F37" s="369">
        <f ca="1">INDIRECT("'数据-取费表'!Al"&amp;$G$1)</f>
        <v>0</v>
      </c>
      <c r="G37" s="1843"/>
      <c r="H37" s="1851"/>
      <c r="I37" s="1852"/>
      <c r="J37" s="1853"/>
      <c r="K37" s="744"/>
      <c r="L37" s="1851"/>
      <c r="M37" s="1851"/>
    </row>
    <row r="38" spans="1:18" ht="18" customHeight="1" thickBot="1">
      <c r="A38" s="1332" t="s">
        <v>1393</v>
      </c>
      <c r="B38" s="1333" t="s">
        <v>1440</v>
      </c>
      <c r="C38" s="1334">
        <f ca="1">ROUND(C5*F38,1)</f>
        <v>0</v>
      </c>
      <c r="D38" s="1335" t="s">
        <v>1460</v>
      </c>
      <c r="E38" s="1333" t="s">
        <v>1456</v>
      </c>
      <c r="F38" s="1329">
        <f ca="1">INDIRECT("'数据-取费表'!Am"&amp;$G$1)</f>
        <v>0</v>
      </c>
      <c r="G38" s="1843"/>
      <c r="H38" s="1851"/>
      <c r="I38" s="1852"/>
      <c r="J38" s="1853"/>
      <c r="K38" s="1857"/>
      <c r="L38" s="1851"/>
      <c r="M38" s="1851"/>
    </row>
    <row r="39" spans="1:18" ht="24.6" customHeight="1" thickTop="1">
      <c r="A39" s="1322" t="s">
        <v>1031</v>
      </c>
      <c r="B39" s="1337" t="s">
        <v>1484</v>
      </c>
      <c r="C39" s="348">
        <f ca="1">C5-C30</f>
        <v>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0</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f ca="1">C68-C40</f>
        <v>0</v>
      </c>
      <c r="D45" s="1932" t="s">
        <v>1605</v>
      </c>
      <c r="E45" s="1858"/>
      <c r="F45" s="1858"/>
      <c r="O45" s="1861" t="s">
        <v>1520</v>
      </c>
      <c r="P45" s="1831"/>
      <c r="Q45" s="1831"/>
      <c r="R45" s="1831"/>
    </row>
    <row r="46" spans="1:18" s="1834" customFormat="1" ht="13.5" thickBot="1">
      <c r="A46" s="1862" t="s">
        <v>1521</v>
      </c>
      <c r="C46" s="1863">
        <f ca="1">ROUND(C45/10000,0)</f>
        <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58" t="s">
        <v>1396</v>
      </c>
      <c r="B47" s="1190" t="s">
        <v>1397</v>
      </c>
      <c r="C47" s="1190" t="s">
        <v>1398</v>
      </c>
      <c r="D47" s="1190" t="s">
        <v>1399</v>
      </c>
      <c r="E47" s="1272" t="s">
        <v>1400</v>
      </c>
      <c r="F47" s="1273"/>
      <c r="G47" s="785"/>
      <c r="I47" s="1872" t="s">
        <v>1527</v>
      </c>
      <c r="J47" s="1873"/>
      <c r="K47" s="1874" t="s">
        <v>1528</v>
      </c>
      <c r="L47" s="1875">
        <f ca="1">INDIRECT("'数据-取费表'!d"&amp;$G$1)</f>
        <v>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1809">
        <f ca="1">C49+C53+C55</f>
        <v>0</v>
      </c>
      <c r="D48" s="1355"/>
      <c r="E48" s="1356"/>
      <c r="F48" s="1174"/>
      <c r="G48" s="785"/>
      <c r="H48" s="786"/>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87" t="s">
        <v>1136</v>
      </c>
      <c r="B49" s="1821" t="s">
        <v>1491</v>
      </c>
      <c r="C49" s="1357">
        <f ca="1">ROUND(F49*F51*F50*(1-F52),0)</f>
        <v>0</v>
      </c>
      <c r="D49" s="1269" t="s">
        <v>1404</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192"/>
      <c r="D50" s="1165"/>
      <c r="E50" s="1270" t="s">
        <v>1406</v>
      </c>
      <c r="F50" s="1271">
        <f ca="1">F7</f>
        <v>0</v>
      </c>
      <c r="H50" s="786"/>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89"/>
      <c r="B51" s="1191"/>
      <c r="C51" s="1192"/>
      <c r="D51" s="1165"/>
      <c r="E51" s="1193" t="s">
        <v>1407</v>
      </c>
      <c r="F51" s="341">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t="b">
        <f>J53</f>
        <v>0</v>
      </c>
      <c r="R52" s="1878" t="s">
        <v>1547</v>
      </c>
    </row>
    <row r="53" spans="1:18" s="1834" customFormat="1" ht="30.75" customHeight="1" thickBot="1">
      <c r="A53" s="1354" t="s">
        <v>1137</v>
      </c>
      <c r="B53" s="362" t="s">
        <v>1409</v>
      </c>
      <c r="C53" s="354">
        <f ca="1">ROUND(IF(F53="押一",F49*F51*F50/12*F11,IF(F53="押二",F49*F51*F50/12*2*F11,IF(F53="押三",F49*F51*F50/12*3*F11,C54*F11))),0)</f>
        <v>0</v>
      </c>
      <c r="D53" s="1816" t="s">
        <v>1410</v>
      </c>
      <c r="E53" s="351" t="s">
        <v>1411</v>
      </c>
      <c r="F53" s="1359"/>
      <c r="I53" s="1897" t="s">
        <v>1548</v>
      </c>
      <c r="J53" s="1898" t="b">
        <f>IF(M47="住宅",J51,IF(D1="——",MIN(J51,L48),IF(D1="在建（套用方法）",MIN(J51,L48-'数据-取费表'!B24),IF(D1="土地（套用方法）",MIN(J51,L48-'数据-取费表'!B20)))))</f>
        <v>0</v>
      </c>
      <c r="K53" s="3267" t="s">
        <v>1549</v>
      </c>
      <c r="L53" s="3268"/>
      <c r="O53" s="1876" t="s">
        <v>1046</v>
      </c>
      <c r="P53" s="1877" t="s">
        <v>1550</v>
      </c>
      <c r="Q53" s="1878" t="e">
        <f ca="1">Q47+Q48</f>
        <v>#DIV/0!</v>
      </c>
      <c r="R53" s="1878" t="s">
        <v>1047</v>
      </c>
    </row>
    <row r="54" spans="1:18" s="1834" customFormat="1" ht="13.5" thickBot="1">
      <c r="A54" s="1187"/>
      <c r="B54" s="1933" t="s">
        <v>1604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69">
        <v>2</v>
      </c>
      <c r="B56" s="1170" t="s">
        <v>1415</v>
      </c>
      <c r="C56" s="269">
        <f ca="1">C13</f>
        <v>0</v>
      </c>
      <c r="D56" s="1906"/>
      <c r="E56" s="1907"/>
      <c r="F56" s="1899"/>
      <c r="I56" s="1908" t="s">
        <v>1555</v>
      </c>
      <c r="J56" s="1909"/>
      <c r="K56" s="1879" t="s">
        <v>1556</v>
      </c>
      <c r="L56" s="1882">
        <f ca="1">IF(L48&lt;J51,"——",L48-J51)</f>
        <v>0</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3" t="s">
        <v>1030</v>
      </c>
      <c r="B58" s="1170" t="s">
        <v>1425</v>
      </c>
      <c r="C58" s="354">
        <f ca="1">ROUND(C59+C64+C65+C66,0)</f>
        <v>0</v>
      </c>
      <c r="D58" s="1172" t="s">
        <v>1426</v>
      </c>
      <c r="E58" s="1173"/>
      <c r="F58" s="1174"/>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IF(项目基本情况!B11="自然人","——",IF(D61="按租金收入计税",ROUND(C48*F61,0),IF(D61="按房产原值计税",ROUND(C57*F61*0.7,0),INDIRECT("'数据-取费表'!Aj"&amp;$G$1))))</f>
        <v>0</v>
      </c>
      <c r="D61" s="1820" t="s">
        <v>1439</v>
      </c>
      <c r="E61" s="1162" t="s">
        <v>1495</v>
      </c>
      <c r="F61" s="360">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IF(项目基本情况!B11="自然人","——",ROUND(F62*F63,0))</f>
        <v>0</v>
      </c>
      <c r="D62" s="1177" t="s">
        <v>1498</v>
      </c>
      <c r="E62" s="1162" t="s">
        <v>1499</v>
      </c>
      <c r="F62" s="364">
        <f t="shared" si="0"/>
        <v>1.5</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65"/>
      <c r="B63" s="1168"/>
      <c r="C63" s="29"/>
      <c r="D63" s="1178"/>
      <c r="E63" s="1162" t="s">
        <v>1500</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ROUND(C57*F64,0)</f>
        <v>0</v>
      </c>
      <c r="D64" s="1176" t="s">
        <v>1503</v>
      </c>
      <c r="E64" s="1162" t="s">
        <v>1495</v>
      </c>
      <c r="F64" s="367">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ROUND(C56*F65,0)</f>
        <v>0</v>
      </c>
      <c r="D65" s="1176" t="s">
        <v>1455</v>
      </c>
      <c r="E65" s="1162" t="s">
        <v>1456</v>
      </c>
      <c r="F65" s="369">
        <f t="shared" ca="1" si="0"/>
        <v>0</v>
      </c>
      <c r="I65" s="1921" t="s">
        <v>1580</v>
      </c>
      <c r="J65" s="1922">
        <v>40</v>
      </c>
      <c r="K65" s="1922">
        <v>30</v>
      </c>
      <c r="L65" s="1922">
        <v>50</v>
      </c>
      <c r="M65" s="1924">
        <v>0.02</v>
      </c>
      <c r="O65" s="1876" t="s">
        <v>1040</v>
      </c>
      <c r="P65" s="1877" t="s">
        <v>1581</v>
      </c>
      <c r="Q65" s="1878">
        <f ca="1">C40+J29</f>
        <v>0</v>
      </c>
      <c r="R65" s="1878" t="s">
        <v>1530</v>
      </c>
    </row>
    <row r="66" spans="1:18" s="1834" customFormat="1" ht="16.5" thickBot="1">
      <c r="A66" s="1194" t="s">
        <v>1505</v>
      </c>
      <c r="B66" s="1162" t="s">
        <v>1440</v>
      </c>
      <c r="C66" s="24">
        <f ca="1">ROUND(C48*F66,0)</f>
        <v>0</v>
      </c>
      <c r="D66" s="1176" t="s">
        <v>1506</v>
      </c>
      <c r="E66" s="1162" t="s">
        <v>1423</v>
      </c>
      <c r="F66" s="350">
        <f t="shared" ca="1" si="0"/>
        <v>0</v>
      </c>
      <c r="O66" s="1876" t="s">
        <v>1041</v>
      </c>
      <c r="P66" s="1877" t="s">
        <v>1559</v>
      </c>
      <c r="Q66" s="1878" t="e">
        <f ca="1">L60</f>
        <v>#DIV/0!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0</v>
      </c>
      <c r="O69" s="1886" t="s">
        <v>1048</v>
      </c>
      <c r="P69" s="1926" t="s">
        <v>1585</v>
      </c>
      <c r="Q69" s="1878">
        <f ca="1">C39</f>
        <v>0</v>
      </c>
      <c r="R69" s="1878" t="s">
        <v>1530</v>
      </c>
    </row>
    <row r="70" spans="1:18" s="1834" customFormat="1" ht="13.5" thickBot="1">
      <c r="A70" s="1166"/>
      <c r="B70" s="1167"/>
      <c r="C70" s="348"/>
      <c r="D70" s="1178"/>
      <c r="E70" s="1162" t="s">
        <v>1478</v>
      </c>
      <c r="F70" s="1268">
        <f ca="1">F42</f>
        <v>0</v>
      </c>
      <c r="O70" s="1886" t="s">
        <v>1049</v>
      </c>
      <c r="P70" s="1926" t="s">
        <v>1586</v>
      </c>
      <c r="Q70" s="1878">
        <f ca="1">C13</f>
        <v>0</v>
      </c>
      <c r="R70" s="1878" t="s">
        <v>1530</v>
      </c>
    </row>
    <row r="71" spans="1:18" s="1834" customFormat="1" ht="13.5" thickBot="1">
      <c r="A71" s="1183" t="s">
        <v>1033</v>
      </c>
      <c r="B71" s="1184" t="s">
        <v>1488</v>
      </c>
      <c r="C71" s="375" t="e">
        <f ca="1">ROUND(C68/F71,0)</f>
        <v>#DIV/0!</v>
      </c>
      <c r="D71" s="1185" t="s">
        <v>1489</v>
      </c>
      <c r="E71" s="1186" t="s">
        <v>1490</v>
      </c>
      <c r="F71" s="378">
        <f ca="1">F43</f>
        <v>0</v>
      </c>
      <c r="O71" s="1886" t="s">
        <v>1050</v>
      </c>
      <c r="P71" s="1926" t="s">
        <v>1587</v>
      </c>
      <c r="Q71" s="1889">
        <f ca="1">C76</f>
        <v>0</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t="e">
        <f ca="1">Q65+Q66</f>
        <v>#DIV/0!</v>
      </c>
      <c r="R75" s="1878" t="s">
        <v>1047</v>
      </c>
    </row>
    <row r="76" spans="1:18">
      <c r="B76" s="381" t="s">
        <v>1508</v>
      </c>
      <c r="C76" s="382">
        <f ca="1">INDIRECT("'数据-取费表'!j"&amp;$G$1)</f>
        <v>0</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2526</v>
      </c>
      <c r="B1" s="2553"/>
      <c r="C1" s="2553"/>
      <c r="D1" s="2553"/>
      <c r="E1" s="2554"/>
    </row>
    <row r="2" spans="1:6" ht="15.75">
      <c r="A2" s="2555" t="s">
        <v>2330</v>
      </c>
      <c r="B2" s="2556">
        <f ca="1">SUMIF(B6:B13,"&lt;&gt;#ref!",B6:B13)</f>
        <v>201985</v>
      </c>
      <c r="C2" s="2557" t="s">
        <v>2519</v>
      </c>
      <c r="D2" s="2558" t="s">
        <v>2520</v>
      </c>
      <c r="E2" s="2559">
        <f>SUM(E6:E13)</f>
        <v>103416.52</v>
      </c>
    </row>
    <row r="3" spans="1:6" ht="15.75">
      <c r="A3" s="2555" t="s">
        <v>1395</v>
      </c>
      <c r="B3" s="2556">
        <f ca="1">ROUND(B2*10000/E2,0)</f>
        <v>19531</v>
      </c>
      <c r="C3" s="2557" t="s">
        <v>2527</v>
      </c>
      <c r="D3" s="2560"/>
      <c r="E3" s="2561"/>
    </row>
    <row r="4" spans="1:6" ht="15.75">
      <c r="A4" s="2562"/>
      <c r="B4" s="2560"/>
      <c r="C4" s="2560"/>
      <c r="D4" s="2560"/>
      <c r="E4" s="2561"/>
    </row>
    <row r="5" spans="1:6" ht="15">
      <c r="A5" s="2563" t="s">
        <v>2521</v>
      </c>
      <c r="B5" s="3272" t="s">
        <v>2522</v>
      </c>
      <c r="C5" s="3272"/>
      <c r="D5" s="2564"/>
      <c r="E5" s="2565" t="s">
        <v>2523</v>
      </c>
      <c r="F5" s="2566" t="s">
        <v>2524</v>
      </c>
    </row>
    <row r="6" spans="1:6">
      <c r="A6" s="2567" t="str">
        <f>'数据-取费表'!AN6</f>
        <v>收益法-办公LOFT（精装）</v>
      </c>
      <c r="B6" s="2566">
        <f ca="1">IF(F6="是",'数据-取费表'!AO6,0)</f>
        <v>172104</v>
      </c>
      <c r="C6" s="2557" t="s">
        <v>2519</v>
      </c>
      <c r="D6" s="2560"/>
      <c r="E6" s="2568">
        <f>IF(OR(A6=0,F6="否"),0,'数据-取费表'!K6+'数据-取费表'!S6)</f>
        <v>75912.28</v>
      </c>
      <c r="F6" s="2569" t="s">
        <v>2525</v>
      </c>
    </row>
    <row r="7" spans="1:6">
      <c r="A7" s="2567">
        <f>'数据-取费表'!AN7</f>
        <v>0</v>
      </c>
      <c r="B7" s="2566" t="e">
        <f ca="1">IF(F7="是",'数据-取费表'!AO7,0)</f>
        <v>#REF!</v>
      </c>
      <c r="C7" s="2557" t="s">
        <v>2519</v>
      </c>
      <c r="D7" s="2560"/>
      <c r="E7" s="2568">
        <f>IF(OR(A7=0,F7="否"),0,'数据-取费表'!K7+'数据-取费表'!S7)</f>
        <v>0</v>
      </c>
      <c r="F7" s="2569" t="s">
        <v>2525</v>
      </c>
    </row>
    <row r="8" spans="1:6">
      <c r="A8" s="2567" t="str">
        <f>'数据-取费表'!AN8</f>
        <v>收益法-商业LOFT（精装）</v>
      </c>
      <c r="B8" s="2566">
        <f ca="1">IF(F8="是",'数据-取费表'!AO8,0)</f>
        <v>26995</v>
      </c>
      <c r="C8" s="2557" t="s">
        <v>2519</v>
      </c>
      <c r="D8" s="2560"/>
      <c r="E8" s="2568">
        <f>IF(OR(A8=0,F8="否"),0,'数据-取费表'!K8+'数据-取费表'!S8)</f>
        <v>12831.44</v>
      </c>
      <c r="F8" s="2569" t="s">
        <v>2525</v>
      </c>
    </row>
    <row r="9" spans="1:6">
      <c r="A9" s="2567" t="str">
        <f>'数据-取费表'!AN9</f>
        <v>收益法-商业LOFT（毛坯）</v>
      </c>
      <c r="B9" s="2566">
        <f ca="1">IF(F9="是",'数据-取费表'!AO9,0)</f>
        <v>0</v>
      </c>
      <c r="C9" s="2557" t="s">
        <v>2519</v>
      </c>
      <c r="D9" s="2560"/>
      <c r="E9" s="2568">
        <f>IF(OR(A9=0,F9="否"),0,'数据-取费表'!K9+'数据-取费表'!S9)</f>
        <v>0</v>
      </c>
      <c r="F9" s="2569" t="s">
        <v>2525</v>
      </c>
    </row>
    <row r="10" spans="1:6">
      <c r="A10" s="2567" t="str">
        <f>'数据-取费表'!AN10</f>
        <v>收益法-底商</v>
      </c>
      <c r="B10" s="2566" t="e">
        <f ca="1">IF(F10="是",'数据-取费表'!AO10,0)</f>
        <v>#REF!</v>
      </c>
      <c r="C10" s="2557" t="s">
        <v>2519</v>
      </c>
      <c r="D10" s="2560"/>
      <c r="E10" s="2568">
        <f>IF(OR(A10=0,F10="否"),0,'数据-取费表'!K10+'数据-取费表'!S10)</f>
        <v>7586.82</v>
      </c>
      <c r="F10" s="2569" t="s">
        <v>2525</v>
      </c>
    </row>
    <row r="11" spans="1:6">
      <c r="A11" s="2567" t="str">
        <f>'数据-取费表'!AN11</f>
        <v>收益法-地下商业</v>
      </c>
      <c r="B11" s="2566" t="e">
        <f ca="1">IF(F11="是",'数据-取费表'!AO11,0)</f>
        <v>#REF!</v>
      </c>
      <c r="C11" s="2557" t="s">
        <v>2519</v>
      </c>
      <c r="D11" s="2560"/>
      <c r="E11" s="2568">
        <f>IF(OR(A11=0,F11="否"),0,'数据-取费表'!K11+'数据-取费表'!S11)</f>
        <v>521.76</v>
      </c>
      <c r="F11" s="2569" t="s">
        <v>2525</v>
      </c>
    </row>
    <row r="12" spans="1:6">
      <c r="A12" s="2567" t="str">
        <f>'数据-取费表'!AN12</f>
        <v>收益法-仓储</v>
      </c>
      <c r="B12" s="2566">
        <f ca="1">IF(F12="是",'数据-取费表'!AO12,0)</f>
        <v>2886</v>
      </c>
      <c r="C12" s="2557" t="s">
        <v>2519</v>
      </c>
      <c r="D12" s="2560"/>
      <c r="E12" s="2568">
        <f>IF(OR(A12=0,F12="否"),0,'数据-取费表'!K12+'数据-取费表'!S12)</f>
        <v>6564.2199999999993</v>
      </c>
      <c r="F12" s="2569" t="s">
        <v>2525</v>
      </c>
    </row>
    <row r="13" spans="1:6" ht="15" thickBot="1">
      <c r="A13" s="2570" t="str">
        <f>'数据-取费表'!AN13</f>
        <v>收益法-车库</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294" t="s">
        <v>1079</v>
      </c>
      <c r="E2" s="1294" t="s">
        <v>1080</v>
      </c>
      <c r="F2" s="1294" t="s">
        <v>1081</v>
      </c>
      <c r="G2" s="1294" t="s">
        <v>1082</v>
      </c>
      <c r="H2" s="1294" t="s">
        <v>1083</v>
      </c>
      <c r="I2" s="1295" t="s">
        <v>1084</v>
      </c>
    </row>
    <row r="3" spans="1:9">
      <c r="A3" s="3279"/>
      <c r="B3" s="3280" t="s">
        <v>1085</v>
      </c>
      <c r="C3" s="3280"/>
      <c r="D3" s="1296"/>
      <c r="E3" s="1294"/>
      <c r="F3" s="1297"/>
      <c r="G3" s="1297"/>
      <c r="H3" s="1298"/>
      <c r="I3" s="1299">
        <f>ROUND(D3*E3*F3*G3*H3/10000,0)</f>
        <v>0</v>
      </c>
    </row>
    <row r="4" spans="1:9">
      <c r="A4" s="3279"/>
      <c r="B4" s="3280" t="s">
        <v>1086</v>
      </c>
      <c r="C4" s="3280"/>
      <c r="D4" s="1296"/>
      <c r="E4" s="1294"/>
      <c r="F4" s="1297"/>
      <c r="G4" s="1297"/>
      <c r="H4" s="1298"/>
      <c r="I4" s="1299">
        <f t="shared" ref="I4:I9" si="0">ROUND(D4*E4*F4*G4*H4/10000,0)</f>
        <v>0</v>
      </c>
    </row>
    <row r="5" spans="1:9">
      <c r="A5" s="3279"/>
      <c r="B5" s="3280" t="s">
        <v>1087</v>
      </c>
      <c r="C5" s="3280"/>
      <c r="D5" s="1296"/>
      <c r="E5" s="1294"/>
      <c r="F5" s="1297"/>
      <c r="G5" s="1297"/>
      <c r="H5" s="1298"/>
      <c r="I5" s="1299">
        <f t="shared" si="0"/>
        <v>0</v>
      </c>
    </row>
    <row r="6" spans="1:9">
      <c r="A6" s="3279"/>
      <c r="B6" s="3280" t="s">
        <v>1088</v>
      </c>
      <c r="C6" s="3280"/>
      <c r="D6" s="1296"/>
      <c r="E6" s="1294"/>
      <c r="F6" s="1297"/>
      <c r="G6" s="1297"/>
      <c r="H6" s="1298"/>
      <c r="I6" s="1299">
        <f t="shared" si="0"/>
        <v>0</v>
      </c>
    </row>
    <row r="7" spans="1:9">
      <c r="A7" s="3279"/>
      <c r="B7" s="3280" t="s">
        <v>1089</v>
      </c>
      <c r="C7" s="3280"/>
      <c r="D7" s="1296"/>
      <c r="E7" s="1294"/>
      <c r="F7" s="1297"/>
      <c r="G7" s="1297"/>
      <c r="H7" s="1298"/>
      <c r="I7" s="1299">
        <f t="shared" si="0"/>
        <v>0</v>
      </c>
    </row>
    <row r="8" spans="1:9">
      <c r="A8" s="3279"/>
      <c r="B8" s="3280" t="s">
        <v>1090</v>
      </c>
      <c r="C8" s="3280"/>
      <c r="D8" s="1296"/>
      <c r="E8" s="1294"/>
      <c r="F8" s="1297"/>
      <c r="G8" s="1297"/>
      <c r="H8" s="1298"/>
      <c r="I8" s="1299">
        <f t="shared" si="0"/>
        <v>0</v>
      </c>
    </row>
    <row r="9" spans="1:9">
      <c r="A9" s="3279"/>
      <c r="B9" s="3280" t="s">
        <v>1091</v>
      </c>
      <c r="C9" s="3280"/>
      <c r="D9" s="1296"/>
      <c r="E9" s="1294"/>
      <c r="F9" s="1297"/>
      <c r="G9" s="1297"/>
      <c r="H9" s="1298"/>
      <c r="I9" s="1299">
        <f t="shared" si="0"/>
        <v>0</v>
      </c>
    </row>
    <row r="10" spans="1:9">
      <c r="A10" s="3279"/>
      <c r="B10" s="3281" t="s">
        <v>1092</v>
      </c>
      <c r="C10" s="3281"/>
      <c r="D10" s="1300"/>
      <c r="E10" s="1300" t="e">
        <f>ROUND(D1*10000/D10/H9,0)</f>
        <v>#DIV/0!</v>
      </c>
      <c r="F10" s="1301"/>
      <c r="G10" s="1301"/>
      <c r="H10" s="1302"/>
      <c r="I10" s="1303">
        <f>SUM(I3:I9)</f>
        <v>0</v>
      </c>
    </row>
    <row r="11" spans="1:9" ht="14.25">
      <c r="A11" s="3279" t="s">
        <v>1093</v>
      </c>
      <c r="B11" s="3280" t="s">
        <v>1094</v>
      </c>
      <c r="C11" s="3280"/>
      <c r="D11" s="1296" t="s">
        <v>1095</v>
      </c>
      <c r="E11" s="1296" t="s">
        <v>1096</v>
      </c>
      <c r="F11" s="1297" t="s">
        <v>1097</v>
      </c>
      <c r="G11" s="1297" t="s">
        <v>1083</v>
      </c>
      <c r="H11" s="1304" t="s">
        <v>1098</v>
      </c>
      <c r="I11" s="1295" t="s">
        <v>1084</v>
      </c>
    </row>
    <row r="12" spans="1:9">
      <c r="A12" s="3279"/>
      <c r="B12" s="3280" t="s">
        <v>1099</v>
      </c>
      <c r="C12" s="3280"/>
      <c r="D12" s="1296"/>
      <c r="E12" s="1296"/>
      <c r="F12" s="1297"/>
      <c r="G12" s="1298"/>
      <c r="H12" s="1305"/>
      <c r="I12" s="1295">
        <f>ROUND(D12*E12*F12*G12/10000,0)</f>
        <v>0</v>
      </c>
    </row>
    <row r="13" spans="1:9">
      <c r="A13" s="3279"/>
      <c r="B13" s="3280" t="s">
        <v>1100</v>
      </c>
      <c r="C13" s="3280"/>
      <c r="D13" s="1296"/>
      <c r="E13" s="1296"/>
      <c r="F13" s="1297"/>
      <c r="G13" s="1298"/>
      <c r="H13" s="1305"/>
      <c r="I13" s="1295">
        <f>ROUND(D13*E13*F13*G13/10000,0)</f>
        <v>0</v>
      </c>
    </row>
    <row r="14" spans="1:9">
      <c r="A14" s="3279"/>
      <c r="B14" s="3280" t="s">
        <v>1101</v>
      </c>
      <c r="C14" s="3280"/>
      <c r="D14" s="1296"/>
      <c r="E14" s="1296"/>
      <c r="F14" s="1297"/>
      <c r="G14" s="1298"/>
      <c r="H14" s="1305"/>
      <c r="I14" s="1295">
        <f>ROUND(D14*E14*F14*G14/10000,0)</f>
        <v>0</v>
      </c>
    </row>
    <row r="15" spans="1:9">
      <c r="A15" s="3279"/>
      <c r="B15" s="3281" t="s">
        <v>1092</v>
      </c>
      <c r="C15" s="3281"/>
      <c r="D15" s="1300"/>
      <c r="E15" s="1300">
        <f>SUM(E12:E14)</f>
        <v>0</v>
      </c>
      <c r="F15" s="1301"/>
      <c r="G15" s="1298"/>
      <c r="H15" s="1305"/>
      <c r="I15" s="1306">
        <f>SUM(I12:I14)</f>
        <v>0</v>
      </c>
    </row>
    <row r="16" spans="1:9" ht="24">
      <c r="A16" s="3279" t="s">
        <v>1102</v>
      </c>
      <c r="B16" s="3280" t="s">
        <v>1103</v>
      </c>
      <c r="C16" s="3280"/>
      <c r="D16" s="1296" t="s">
        <v>1079</v>
      </c>
      <c r="E16" s="1307" t="s">
        <v>1104</v>
      </c>
      <c r="F16" s="1297" t="s">
        <v>1105</v>
      </c>
      <c r="G16" s="1298" t="s">
        <v>1083</v>
      </c>
      <c r="H16" s="1304" t="s">
        <v>1098</v>
      </c>
      <c r="I16" s="1295" t="s">
        <v>1084</v>
      </c>
    </row>
    <row r="17" spans="1:9" ht="14.25">
      <c r="A17" s="3279"/>
      <c r="B17" s="3280" t="s">
        <v>1106</v>
      </c>
      <c r="C17" s="3280"/>
      <c r="D17" s="1296"/>
      <c r="E17" s="1296"/>
      <c r="F17" s="1297"/>
      <c r="G17" s="1298"/>
      <c r="H17" s="1308"/>
      <c r="I17" s="1309">
        <f>ROUND(D17*E17*F17*G17/10000,0)</f>
        <v>0</v>
      </c>
    </row>
    <row r="18" spans="1:9" ht="14.25">
      <c r="A18" s="3279"/>
      <c r="B18" s="3280" t="s">
        <v>1107</v>
      </c>
      <c r="C18" s="3280"/>
      <c r="D18" s="1296"/>
      <c r="E18" s="1296"/>
      <c r="F18" s="1297"/>
      <c r="G18" s="1298"/>
      <c r="H18" s="1308"/>
      <c r="I18" s="1309">
        <f>ROUND(D18*E18*F18*G18/10000,0)</f>
        <v>0</v>
      </c>
    </row>
    <row r="19" spans="1:9" ht="14.25">
      <c r="A19" s="3279"/>
      <c r="B19" s="3280" t="s">
        <v>1108</v>
      </c>
      <c r="C19" s="3280"/>
      <c r="D19" s="1296"/>
      <c r="E19" s="1296"/>
      <c r="F19" s="1297"/>
      <c r="G19" s="1298"/>
      <c r="H19" s="1308"/>
      <c r="I19" s="1309">
        <f>ROUND(D19*E19*F19*G19/10000,0)</f>
        <v>0</v>
      </c>
    </row>
    <row r="20" spans="1:9">
      <c r="A20" s="3279"/>
      <c r="B20" s="3281" t="s">
        <v>1092</v>
      </c>
      <c r="C20" s="3281"/>
      <c r="D20" s="1300">
        <f>SUM(D17:D19)</f>
        <v>0</v>
      </c>
      <c r="E20" s="1300"/>
      <c r="F20" s="1301"/>
      <c r="G20" s="1298"/>
      <c r="H20" s="1305"/>
      <c r="I20" s="1306">
        <f>SUM(I17:I19)</f>
        <v>0</v>
      </c>
    </row>
    <row r="21" spans="1:9">
      <c r="A21" s="3279" t="s">
        <v>1109</v>
      </c>
      <c r="B21" s="3282"/>
      <c r="C21" s="3282"/>
      <c r="D21" s="3282"/>
      <c r="E21" s="3282"/>
      <c r="F21" s="3282"/>
      <c r="G21" s="3282"/>
      <c r="H21" s="1757">
        <v>0.1</v>
      </c>
      <c r="I21" s="1303">
        <f>ROUND(I10*H21,0)</f>
        <v>0</v>
      </c>
    </row>
    <row r="22" spans="1:9" ht="14.25">
      <c r="A22" s="3283" t="s">
        <v>1110</v>
      </c>
      <c r="B22" s="3284"/>
      <c r="C22" s="3285"/>
      <c r="D22" s="1310" t="s">
        <v>1111</v>
      </c>
      <c r="E22" s="1310" t="s">
        <v>1112</v>
      </c>
      <c r="F22" s="1311" t="s">
        <v>1113</v>
      </c>
      <c r="G22" s="1311" t="s">
        <v>1114</v>
      </c>
      <c r="H22" s="1304" t="s">
        <v>1115</v>
      </c>
      <c r="I22" s="1295" t="s">
        <v>1116</v>
      </c>
    </row>
    <row r="23" spans="1:9" ht="14.25" thickBot="1">
      <c r="A23" s="3286"/>
      <c r="B23" s="3287"/>
      <c r="C23" s="3288"/>
      <c r="D23" s="1312"/>
      <c r="E23" s="1312"/>
      <c r="F23" s="1312"/>
      <c r="G23" s="1313"/>
      <c r="H23" s="1314"/>
      <c r="I23" s="1315">
        <f>ROUND(E23*D23*F23*(1-G23)/10000,0)</f>
        <v>0</v>
      </c>
    </row>
    <row r="26" spans="1:9">
      <c r="A26" s="1316" t="s">
        <v>1117</v>
      </c>
      <c r="B26" s="1316"/>
      <c r="C26" s="1316"/>
      <c r="D26" s="1316"/>
      <c r="E26" s="3276">
        <f>C27-C30-C31-C32</f>
        <v>0</v>
      </c>
      <c r="F26" s="3276"/>
      <c r="G26" s="3276"/>
      <c r="H26" s="1729" t="s">
        <v>1340</v>
      </c>
    </row>
    <row r="27" spans="1:9">
      <c r="A27" s="1317">
        <v>1</v>
      </c>
      <c r="B27" s="1318" t="s">
        <v>1118</v>
      </c>
      <c r="C27" s="1318">
        <f>C28+C29</f>
        <v>0</v>
      </c>
      <c r="D27" s="1318"/>
      <c r="E27" s="3277"/>
      <c r="F27" s="3277"/>
      <c r="G27" s="3277"/>
    </row>
    <row r="28" spans="1:9">
      <c r="A28" s="1319" t="s">
        <v>1119</v>
      </c>
      <c r="B28" s="1318" t="s">
        <v>1120</v>
      </c>
      <c r="C28" s="1318"/>
      <c r="D28" s="1318"/>
      <c r="E28" s="3277"/>
      <c r="F28" s="3277"/>
      <c r="G28" s="3277"/>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78"/>
      <c r="F32" s="3278"/>
      <c r="G32" s="3278"/>
    </row>
    <row r="33" spans="1:7" hidden="1">
      <c r="A33" s="3273" t="s">
        <v>1129</v>
      </c>
      <c r="B33" s="3274"/>
      <c r="C33" s="3274"/>
      <c r="D33" s="3275"/>
      <c r="E33" s="3276"/>
      <c r="F33" s="3276"/>
      <c r="G33" s="3276"/>
    </row>
    <row r="34" spans="1:7" hidden="1">
      <c r="A34" s="1321">
        <v>1</v>
      </c>
      <c r="B34" s="1318" t="s">
        <v>1130</v>
      </c>
      <c r="C34" s="1318"/>
      <c r="D34" s="1318"/>
      <c r="E34" s="3277"/>
      <c r="F34" s="3277"/>
      <c r="G34" s="3277"/>
    </row>
    <row r="35" spans="1:7" hidden="1">
      <c r="A35" s="1321">
        <v>2</v>
      </c>
      <c r="B35" s="1318" t="s">
        <v>1131</v>
      </c>
      <c r="C35" s="1318"/>
      <c r="D35" s="1318"/>
      <c r="E35" s="3277"/>
      <c r="F35" s="3277"/>
      <c r="G35" s="3277"/>
    </row>
    <row r="36" spans="1:7" hidden="1">
      <c r="A36" s="1321">
        <v>3</v>
      </c>
      <c r="B36" s="1318" t="s">
        <v>1132</v>
      </c>
      <c r="C36" s="1318"/>
      <c r="D36" s="1318"/>
      <c r="E36" s="3277"/>
      <c r="F36" s="3277"/>
      <c r="G36" s="3277"/>
    </row>
    <row r="37" spans="1:7" hidden="1">
      <c r="A37" s="1321">
        <v>4</v>
      </c>
      <c r="B37" s="1318" t="s">
        <v>1133</v>
      </c>
      <c r="C37" s="1318"/>
      <c r="D37" s="1318"/>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2529</v>
      </c>
      <c r="C1" s="1626" t="s">
        <v>2530</v>
      </c>
      <c r="D1" s="1613"/>
      <c r="E1" s="2574"/>
      <c r="F1" s="2575" t="s">
        <v>2531</v>
      </c>
      <c r="G1" s="1623" t="s">
        <v>2532</v>
      </c>
      <c r="H1" s="1622"/>
      <c r="I1" s="1622"/>
      <c r="J1" s="1622"/>
      <c r="K1" s="1624"/>
      <c r="L1" s="1625"/>
      <c r="M1" s="1626"/>
      <c r="N1" s="1626"/>
      <c r="O1" s="1626"/>
      <c r="P1" s="2576"/>
      <c r="Q1" s="1612"/>
      <c r="R1" s="1612"/>
      <c r="S1" s="1612"/>
      <c r="T1" s="1612"/>
      <c r="U1" s="1612"/>
      <c r="V1" s="1612"/>
      <c r="W1" s="1612"/>
      <c r="X1" s="1612"/>
      <c r="Y1" s="1612"/>
      <c r="Z1" s="1612"/>
      <c r="AA1" s="1612"/>
      <c r="AB1" s="1612"/>
      <c r="AC1" s="1620"/>
    </row>
    <row r="2" spans="1:29" s="386" customFormat="1" ht="28.5" customHeight="1" thickTop="1">
      <c r="A2" s="1609" t="s">
        <v>1394</v>
      </c>
      <c r="B2" s="1411" t="e">
        <f ca="1">IF(C2="——",ROUND(C49*D3/10000,0),ROUND(C49*D3/10000,0)-D2)</f>
        <v>#DIV/0!</v>
      </c>
      <c r="C2" s="2577"/>
      <c r="D2" s="1358" t="e">
        <f ca="1">SUMIF(INDIRECT("'"&amp;F2&amp;"'"&amp;"!A:A"),"承租人权益价值",INDIRECT("'"&amp;F2&amp;"'"&amp;"!c:c"))</f>
        <v>#REF!</v>
      </c>
      <c r="E2" s="2578" t="s">
        <v>2533</v>
      </c>
      <c r="F2" s="2579"/>
      <c r="G2" s="1117"/>
      <c r="H2" s="1117"/>
      <c r="I2" s="1117"/>
      <c r="J2" s="1117"/>
      <c r="K2" s="2580"/>
      <c r="L2" s="2581"/>
      <c r="M2" s="2582"/>
      <c r="N2" s="2582"/>
      <c r="O2" s="2582"/>
      <c r="P2" s="2583"/>
      <c r="Q2" s="2584"/>
      <c r="R2" s="2584"/>
      <c r="S2" s="2584"/>
      <c r="T2" s="2584"/>
      <c r="U2" s="2584"/>
      <c r="V2" s="2584"/>
      <c r="W2" s="2584"/>
      <c r="X2" s="2584"/>
      <c r="Y2" s="2584"/>
      <c r="Z2" s="2584"/>
      <c r="AA2" s="2584"/>
      <c r="AB2" s="2584"/>
      <c r="AC2" s="2585"/>
    </row>
    <row r="3" spans="1:29" s="386" customFormat="1" ht="28.5" customHeight="1" thickBot="1">
      <c r="A3" s="240" t="s">
        <v>1395</v>
      </c>
      <c r="B3" s="392" t="e">
        <f ca="1">IF(C2="——",C49,ROUND(B2*10000/D3,0))</f>
        <v>#DIV/0!</v>
      </c>
      <c r="C3" s="393" t="s">
        <v>2534</v>
      </c>
      <c r="D3" s="392">
        <f>IF(D1="",'数据-汇总表'!E3,SUMIF('数据-汇总表'!$C19:$C33,D1,'数据-汇总表'!$E19:$E33))</f>
        <v>103416.51999999999</v>
      </c>
      <c r="E3" s="1117"/>
      <c r="F3" s="2586"/>
      <c r="G3" s="1117"/>
      <c r="H3" s="1117"/>
      <c r="I3" s="1117"/>
      <c r="J3" s="1117"/>
      <c r="K3" s="2580"/>
      <c r="L3" s="2581"/>
      <c r="M3" s="2582"/>
      <c r="N3" s="2582"/>
      <c r="O3" s="2582"/>
      <c r="P3" s="2583"/>
      <c r="Q3" s="2584"/>
      <c r="R3" s="2584"/>
      <c r="S3" s="2584"/>
      <c r="T3" s="2584"/>
      <c r="U3" s="2584"/>
      <c r="V3" s="2584"/>
      <c r="W3" s="2584"/>
      <c r="X3" s="2584"/>
      <c r="Y3" s="2584"/>
      <c r="Z3" s="2584"/>
      <c r="AA3" s="2584"/>
      <c r="AB3" s="2584"/>
      <c r="AC3" s="1275"/>
    </row>
    <row r="4" spans="1:29" ht="15">
      <c r="A4" s="394" t="s">
        <v>2535</v>
      </c>
      <c r="B4" s="395"/>
      <c r="C4" s="3203" t="s">
        <v>2536</v>
      </c>
      <c r="D4" s="3216"/>
      <c r="E4" s="3217" t="s">
        <v>2537</v>
      </c>
      <c r="F4" s="3218"/>
      <c r="G4" s="3203" t="s">
        <v>2538</v>
      </c>
      <c r="H4" s="3216"/>
      <c r="I4" s="3203" t="s">
        <v>2539</v>
      </c>
      <c r="J4" s="3216"/>
      <c r="K4" s="2587" t="s">
        <v>2540</v>
      </c>
      <c r="L4" s="1123"/>
      <c r="M4" s="1124"/>
      <c r="N4" s="1124"/>
      <c r="O4" s="1124"/>
      <c r="P4" s="3219" t="s">
        <v>2541</v>
      </c>
      <c r="Q4" s="3220"/>
      <c r="R4" s="3225" t="s">
        <v>2537</v>
      </c>
      <c r="S4" s="3226"/>
      <c r="T4" s="3225" t="s">
        <v>2538</v>
      </c>
      <c r="U4" s="3226"/>
      <c r="V4" s="3212" t="s">
        <v>2539</v>
      </c>
      <c r="W4" s="3212"/>
      <c r="X4" s="1805"/>
      <c r="Y4" s="3225" t="s">
        <v>2541</v>
      </c>
      <c r="Z4" s="3226"/>
      <c r="AA4" s="3213" t="s">
        <v>2537</v>
      </c>
      <c r="AB4" s="3213" t="s">
        <v>2538</v>
      </c>
      <c r="AC4" s="3213" t="s">
        <v>2539</v>
      </c>
    </row>
    <row r="5" spans="1:29" ht="15">
      <c r="A5" s="397"/>
      <c r="B5" s="398"/>
      <c r="C5" s="3233" t="s">
        <v>2542</v>
      </c>
      <c r="D5" s="3234"/>
      <c r="E5" s="3240" t="s">
        <v>2543</v>
      </c>
      <c r="F5" s="3241"/>
      <c r="G5" s="3233" t="s">
        <v>2544</v>
      </c>
      <c r="H5" s="3234"/>
      <c r="I5" s="3233" t="s">
        <v>2545</v>
      </c>
      <c r="J5" s="3234"/>
      <c r="K5" s="2588"/>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2588"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9"/>
      <c r="L7" s="1125"/>
      <c r="M7" s="1126"/>
      <c r="N7" s="1126"/>
      <c r="O7" s="1126"/>
      <c r="P7" s="3235" t="s">
        <v>2549</v>
      </c>
      <c r="Q7" s="3237"/>
      <c r="R7" s="763" t="s">
        <v>23</v>
      </c>
      <c r="S7" s="764">
        <f t="shared" ref="S7:S15" si="0">F7</f>
        <v>0</v>
      </c>
      <c r="T7" s="763" t="s">
        <v>23</v>
      </c>
      <c r="U7" s="764">
        <f t="shared" ref="U7:U15" si="1">H7</f>
        <v>0</v>
      </c>
      <c r="V7" s="763" t="s">
        <v>23</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2590"/>
      <c r="F8" s="406">
        <f>SUMIF(61:61,E8,62:62)-SUMIF(61:61,C8,62:62)+100</f>
        <v>0</v>
      </c>
      <c r="G8" s="407"/>
      <c r="H8" s="404">
        <f>SUMIF(61:61,G8,62:62)-SUMIF(61:61,C8,62:62)+100</f>
        <v>0</v>
      </c>
      <c r="I8" s="2590"/>
      <c r="J8" s="404">
        <f>SUMIF(61:61,I8,62:62)-SUMIF(61:61,C8,62:62)+100</f>
        <v>0</v>
      </c>
      <c r="K8" s="2589"/>
      <c r="L8" s="1125"/>
      <c r="M8" s="1126"/>
      <c r="N8" s="1126"/>
      <c r="O8" s="1126"/>
      <c r="P8" s="3235" t="s">
        <v>2552</v>
      </c>
      <c r="Q8" s="3236"/>
      <c r="R8" s="763" t="s">
        <v>23</v>
      </c>
      <c r="S8" s="764">
        <f t="shared" si="0"/>
        <v>0</v>
      </c>
      <c r="T8" s="763" t="s">
        <v>23</v>
      </c>
      <c r="U8" s="764">
        <f t="shared" si="1"/>
        <v>0</v>
      </c>
      <c r="V8" s="763" t="s">
        <v>23</v>
      </c>
      <c r="W8" s="764">
        <f t="shared" si="2"/>
        <v>0</v>
      </c>
      <c r="X8" s="765"/>
      <c r="Y8" s="3235" t="s">
        <v>2552</v>
      </c>
      <c r="Z8" s="3236"/>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9"/>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05"/>
      <c r="Q11" s="1787" t="str">
        <f t="shared" si="6"/>
        <v>容积率</v>
      </c>
      <c r="R11" s="763" t="s">
        <v>21</v>
      </c>
      <c r="S11" s="764" t="e">
        <f t="shared" si="0"/>
        <v>#N/A</v>
      </c>
      <c r="T11" s="763" t="s">
        <v>21</v>
      </c>
      <c r="U11" s="764" t="e">
        <f t="shared" si="1"/>
        <v>#N/A</v>
      </c>
      <c r="V11" s="763" t="s">
        <v>21</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5"/>
      <c r="F12" s="418">
        <f>SUMIF(70:70,E12,71:71)-SUMIF(70:70,C12,71:71)+100</f>
        <v>100</v>
      </c>
      <c r="G12" s="425"/>
      <c r="H12" s="129">
        <f>SUMIF(70:70,G12,71:71)-SUMIF(70:70,C12,71:71)+100</f>
        <v>100</v>
      </c>
      <c r="I12" s="425"/>
      <c r="J12" s="129">
        <f>SUMIF(70:70,I12,71:71)-SUMIF(70:70,C12,71:71)+100</f>
        <v>100</v>
      </c>
      <c r="K12" s="2592"/>
      <c r="L12" s="1125"/>
      <c r="M12" s="1126"/>
      <c r="N12" s="1126"/>
      <c r="O12" s="1126"/>
      <c r="P12" s="3205"/>
      <c r="Q12" s="1787">
        <f t="shared" si="6"/>
        <v>111</v>
      </c>
      <c r="R12" s="763" t="s">
        <v>21</v>
      </c>
      <c r="S12" s="764">
        <f t="shared" si="0"/>
        <v>100</v>
      </c>
      <c r="T12" s="763" t="s">
        <v>21</v>
      </c>
      <c r="U12" s="764">
        <f t="shared" si="1"/>
        <v>100</v>
      </c>
      <c r="V12" s="763" t="s">
        <v>21</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2592"/>
      <c r="L13" s="1133"/>
      <c r="M13" s="1124"/>
      <c r="N13" s="1124"/>
      <c r="O13" s="1124"/>
      <c r="P13" s="3205"/>
      <c r="Q13" s="1787">
        <f t="shared" si="6"/>
        <v>111</v>
      </c>
      <c r="R13" s="763" t="s">
        <v>21</v>
      </c>
      <c r="S13" s="764">
        <f t="shared" si="0"/>
        <v>100</v>
      </c>
      <c r="T13" s="763" t="s">
        <v>21</v>
      </c>
      <c r="U13" s="764">
        <f t="shared" si="1"/>
        <v>100</v>
      </c>
      <c r="V13" s="763" t="s">
        <v>21</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2">
        <f>SUMIF(74:74,E14,75:75)-SUMIF(74:74,C14,75:75)+100</f>
        <v>100</v>
      </c>
      <c r="G14" s="430"/>
      <c r="H14" s="431">
        <f>SUMIF(74:74,G14,75:75)-SUMIF(74:74,C14,75:75)+100</f>
        <v>100</v>
      </c>
      <c r="I14" s="430"/>
      <c r="J14" s="431">
        <f>SUMIF(74:74,I14,75:75)-SUMIF(74:74,C14,75:75)+100</f>
        <v>100</v>
      </c>
      <c r="K14" s="2592"/>
      <c r="L14" s="1133"/>
      <c r="M14" s="1124"/>
      <c r="N14" s="1124"/>
      <c r="O14" s="1124"/>
      <c r="P14" s="3205"/>
      <c r="Q14" s="1787">
        <f t="shared" si="6"/>
        <v>111</v>
      </c>
      <c r="R14" s="763" t="s">
        <v>21</v>
      </c>
      <c r="S14" s="764">
        <f t="shared" si="0"/>
        <v>100</v>
      </c>
      <c r="T14" s="763" t="s">
        <v>21</v>
      </c>
      <c r="U14" s="764">
        <f t="shared" si="1"/>
        <v>100</v>
      </c>
      <c r="V14" s="763" t="s">
        <v>21</v>
      </c>
      <c r="W14" s="764">
        <f t="shared" si="2"/>
        <v>100</v>
      </c>
      <c r="X14" s="765"/>
      <c r="Y14" s="3053"/>
      <c r="Z14" s="55">
        <f t="shared" si="7"/>
        <v>111</v>
      </c>
      <c r="AA14" s="766">
        <f t="shared" si="3"/>
        <v>1</v>
      </c>
      <c r="AB14" s="766">
        <f t="shared" si="4"/>
        <v>1</v>
      </c>
      <c r="AC14" s="766">
        <f t="shared" si="5"/>
        <v>1</v>
      </c>
    </row>
    <row r="15" spans="1:29" ht="15">
      <c r="A15" s="433" t="s">
        <v>2559</v>
      </c>
      <c r="B15" s="67" t="s">
        <v>2090</v>
      </c>
      <c r="C15" s="2594">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46" t="s">
        <v>2560</v>
      </c>
      <c r="Q15" s="1802" t="str">
        <f t="shared" si="6"/>
        <v>居住社区成熟度</v>
      </c>
      <c r="R15" s="767" t="s">
        <v>21</v>
      </c>
      <c r="S15" s="768">
        <f t="shared" si="0"/>
        <v>100</v>
      </c>
      <c r="T15" s="767" t="s">
        <v>21</v>
      </c>
      <c r="U15" s="768">
        <f t="shared" si="1"/>
        <v>100</v>
      </c>
      <c r="V15" s="767" t="s">
        <v>21</v>
      </c>
      <c r="W15" s="768">
        <f t="shared" si="2"/>
        <v>100</v>
      </c>
      <c r="X15" s="1805"/>
      <c r="Y15" s="3208" t="s">
        <v>2560</v>
      </c>
      <c r="Z15" s="1806" t="str">
        <f t="shared" si="7"/>
        <v>居住社区成熟度</v>
      </c>
      <c r="AA15" s="1803">
        <f t="shared" si="3"/>
        <v>1</v>
      </c>
      <c r="AB15" s="1803">
        <f t="shared" si="4"/>
        <v>1</v>
      </c>
      <c r="AC15" s="1803">
        <f t="shared" si="5"/>
        <v>1</v>
      </c>
    </row>
    <row r="16" spans="1:29" ht="15">
      <c r="A16" s="421"/>
      <c r="B16" s="439"/>
      <c r="C16" s="440"/>
      <c r="D16" s="441"/>
      <c r="E16" s="2595"/>
      <c r="F16" s="441"/>
      <c r="G16" s="2596"/>
      <c r="H16" s="443"/>
      <c r="I16" s="2596"/>
      <c r="J16" s="441"/>
      <c r="K16" s="2597"/>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47"/>
      <c r="Q17" s="1802" t="str">
        <f>B17</f>
        <v>交通便捷度</v>
      </c>
      <c r="R17" s="767" t="s">
        <v>21</v>
      </c>
      <c r="S17" s="768">
        <f>F17</f>
        <v>100</v>
      </c>
      <c r="T17" s="767" t="s">
        <v>21</v>
      </c>
      <c r="U17" s="768">
        <f>H17</f>
        <v>100</v>
      </c>
      <c r="V17" s="767" t="s">
        <v>21</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0"/>
      <c r="F18" s="443"/>
      <c r="G18" s="2601"/>
      <c r="H18" s="441"/>
      <c r="I18" s="2601"/>
      <c r="J18" s="441"/>
      <c r="K18" s="2597"/>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2097</v>
      </c>
      <c r="C19" s="2598"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47"/>
      <c r="Q19" s="1802" t="str">
        <f>B19</f>
        <v>公共配套设施</v>
      </c>
      <c r="R19" s="767" t="s">
        <v>21</v>
      </c>
      <c r="S19" s="768">
        <f>F19</f>
        <v>100</v>
      </c>
      <c r="T19" s="767" t="s">
        <v>21</v>
      </c>
      <c r="U19" s="768">
        <f>H19</f>
        <v>100</v>
      </c>
      <c r="V19" s="767" t="s">
        <v>21</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5"/>
      <c r="F20" s="441"/>
      <c r="G20" s="2596"/>
      <c r="H20" s="441"/>
      <c r="I20" s="2596"/>
      <c r="J20" s="441"/>
      <c r="K20" s="2597"/>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2100</v>
      </c>
      <c r="C21" s="2598"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1"/>
      <c r="G22" s="2602"/>
      <c r="H22" s="441"/>
      <c r="I22" s="440"/>
      <c r="J22" s="441"/>
      <c r="K22" s="2603"/>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598"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47"/>
      <c r="Q23" s="1802" t="str">
        <f>B23</f>
        <v>自然及人文环境</v>
      </c>
      <c r="R23" s="767" t="s">
        <v>21</v>
      </c>
      <c r="S23" s="768">
        <f>F23</f>
        <v>100</v>
      </c>
      <c r="T23" s="767" t="s">
        <v>21</v>
      </c>
      <c r="U23" s="768">
        <f>H23</f>
        <v>100</v>
      </c>
      <c r="V23" s="767" t="s">
        <v>21</v>
      </c>
      <c r="W23" s="768">
        <f>J23</f>
        <v>100</v>
      </c>
      <c r="X23" s="1805"/>
      <c r="Y23" s="3209"/>
      <c r="Z23" s="1806" t="str">
        <f>Q23</f>
        <v>自然及人文环境</v>
      </c>
      <c r="AA23" s="1803">
        <f>D23/F23</f>
        <v>1</v>
      </c>
      <c r="AB23" s="1803">
        <f>D23/H23</f>
        <v>1</v>
      </c>
      <c r="AC23" s="1803">
        <f>D23/J23</f>
        <v>1</v>
      </c>
    </row>
    <row r="24" spans="1:29" ht="15">
      <c r="A24" s="421"/>
      <c r="B24" s="449"/>
      <c r="C24" s="440"/>
      <c r="D24" s="441"/>
      <c r="E24" s="2595"/>
      <c r="F24" s="441"/>
      <c r="G24" s="2596"/>
      <c r="H24" s="441"/>
      <c r="I24" s="2596"/>
      <c r="J24" s="441"/>
      <c r="K24" s="2597"/>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2561</v>
      </c>
      <c r="C25" s="453"/>
      <c r="D25" s="428">
        <v>100</v>
      </c>
      <c r="E25" s="2604"/>
      <c r="F25" s="428">
        <f>SUMIF(86:86,E25,87:87)-SUMIF(86:86,C25,87:87)+100</f>
        <v>100</v>
      </c>
      <c r="G25" s="2605"/>
      <c r="H25" s="428">
        <f>SUMIF(86:86,G25,87:87)-SUMIF(86:86,C25,87:87)+100</f>
        <v>100</v>
      </c>
      <c r="I25" s="2605"/>
      <c r="J25" s="428">
        <f>SUMIF(86:86,I25,87:87)-SUMIF(86:86,C25,87:87)+100</f>
        <v>100</v>
      </c>
      <c r="K25" s="419"/>
      <c r="L25" s="1133"/>
      <c r="M25" s="1124"/>
      <c r="N25" s="1124"/>
      <c r="O25" s="1124"/>
      <c r="P25" s="3247"/>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09"/>
      <c r="Z25" s="1806" t="str">
        <f>Q25</f>
        <v>楼层-1</v>
      </c>
      <c r="AA25" s="1803">
        <f t="shared" ref="AA25:AA46" si="15">D25/F25</f>
        <v>1</v>
      </c>
      <c r="AB25" s="1803">
        <f t="shared" ref="AB25:AB46" si="16">D25/H25</f>
        <v>1</v>
      </c>
      <c r="AC25" s="1803">
        <f t="shared" ref="AC25:AC46" si="17">D25/J25</f>
        <v>1</v>
      </c>
    </row>
    <row r="26" spans="1:29" ht="15">
      <c r="A26" s="421"/>
      <c r="B26" s="415" t="s">
        <v>2562</v>
      </c>
      <c r="C26" s="453"/>
      <c r="D26" s="428">
        <v>100</v>
      </c>
      <c r="E26" s="2604"/>
      <c r="F26" s="428">
        <f>SUMIF(88:88,E26,89:89)-SUMIF(88:88,C26,89:89)+100</f>
        <v>100</v>
      </c>
      <c r="G26" s="2605"/>
      <c r="H26" s="428">
        <f>SUMIF(88:88,G26,89:89)-SUMIF(88:88,C26,89:89)+100</f>
        <v>100</v>
      </c>
      <c r="I26" s="2605"/>
      <c r="J26" s="428">
        <f>SUMIF(88:88,I26,89:89)-SUMIF(88:88,C26,89:89)+100</f>
        <v>100</v>
      </c>
      <c r="K26" s="419"/>
      <c r="L26" s="1133"/>
      <c r="M26" s="1124"/>
      <c r="N26" s="1124"/>
      <c r="O26" s="1124"/>
      <c r="P26" s="3247"/>
      <c r="Q26" s="1802" t="str">
        <f t="shared" si="11"/>
        <v>朝向</v>
      </c>
      <c r="R26" s="767" t="s">
        <v>21</v>
      </c>
      <c r="S26" s="768">
        <f t="shared" si="12"/>
        <v>100</v>
      </c>
      <c r="T26" s="767" t="s">
        <v>21</v>
      </c>
      <c r="U26" s="768">
        <f t="shared" si="13"/>
        <v>100</v>
      </c>
      <c r="V26" s="767" t="s">
        <v>21</v>
      </c>
      <c r="W26" s="768">
        <f t="shared" si="14"/>
        <v>100</v>
      </c>
      <c r="X26" s="1805"/>
      <c r="Y26" s="3209"/>
      <c r="Z26" s="1806" t="str">
        <f>Q26</f>
        <v>朝向</v>
      </c>
      <c r="AA26" s="1803">
        <f t="shared" si="15"/>
        <v>1</v>
      </c>
      <c r="AB26" s="1803">
        <f t="shared" si="16"/>
        <v>1</v>
      </c>
      <c r="AC26" s="1803">
        <f t="shared" si="17"/>
        <v>1</v>
      </c>
    </row>
    <row r="27" spans="1:29" s="111" customFormat="1" ht="15">
      <c r="A27" s="424"/>
      <c r="B27" s="1379">
        <v>111</v>
      </c>
      <c r="C27" s="425"/>
      <c r="D27" s="455">
        <v>100</v>
      </c>
      <c r="E27" s="458"/>
      <c r="F27" s="455">
        <f>SUMIF(90:90,E27,91:91)-SUMIF(90:90,C27,91:91)+100</f>
        <v>100</v>
      </c>
      <c r="G27" s="456"/>
      <c r="H27" s="455">
        <f>SUMIF(90:90,G27,91:91)-SUMIF(90:90,C27,91:91)+100</f>
        <v>100</v>
      </c>
      <c r="I27" s="456"/>
      <c r="J27" s="455">
        <f>SUMIF(90:90,I27,91:91)-SUMIF(90:90,C27,91:91)+100</f>
        <v>100</v>
      </c>
      <c r="K27" s="2592"/>
      <c r="L27" s="1125"/>
      <c r="M27" s="1126"/>
      <c r="N27" s="1126"/>
      <c r="O27" s="1126"/>
      <c r="P27" s="3247"/>
      <c r="Q27" s="1787">
        <f t="shared" si="11"/>
        <v>111</v>
      </c>
      <c r="R27" s="763" t="s">
        <v>21</v>
      </c>
      <c r="S27" s="764">
        <f t="shared" si="12"/>
        <v>100</v>
      </c>
      <c r="T27" s="763" t="s">
        <v>21</v>
      </c>
      <c r="U27" s="764">
        <f t="shared" si="13"/>
        <v>100</v>
      </c>
      <c r="V27" s="763" t="s">
        <v>21</v>
      </c>
      <c r="W27" s="764">
        <f t="shared" si="14"/>
        <v>100</v>
      </c>
      <c r="X27" s="765"/>
      <c r="Y27" s="3209"/>
      <c r="Z27" s="55">
        <f>Q27</f>
        <v>111</v>
      </c>
      <c r="AA27" s="1803">
        <f t="shared" si="15"/>
        <v>1</v>
      </c>
      <c r="AB27" s="1803">
        <f t="shared" si="16"/>
        <v>1</v>
      </c>
      <c r="AC27" s="1803">
        <f t="shared" si="17"/>
        <v>1</v>
      </c>
    </row>
    <row r="28" spans="1:29" ht="15">
      <c r="A28" s="421"/>
      <c r="B28" s="1379">
        <v>111</v>
      </c>
      <c r="C28" s="427"/>
      <c r="D28" s="428">
        <v>100</v>
      </c>
      <c r="E28" s="427"/>
      <c r="F28" s="428">
        <f>SUMIF(92:92,E28,93:93)-SUMIF(92:92,C28,93:93)+100</f>
        <v>100</v>
      </c>
      <c r="G28" s="2606"/>
      <c r="H28" s="428">
        <f>SUMIF(92:92,G28,93:93)-SUMIF(92:92,C28,93:93)+100</f>
        <v>100</v>
      </c>
      <c r="I28" s="427"/>
      <c r="J28" s="428">
        <f>SUMIF(92:92,I28,93:93)-SUMIF(92:92,C28,93:93)+100</f>
        <v>100</v>
      </c>
      <c r="K28" s="2592"/>
      <c r="L28" s="1133"/>
      <c r="M28" s="1124"/>
      <c r="N28" s="1124"/>
      <c r="O28" s="1124"/>
      <c r="P28" s="3247"/>
      <c r="Q28" s="1802">
        <f t="shared" si="11"/>
        <v>111</v>
      </c>
      <c r="R28" s="767" t="s">
        <v>21</v>
      </c>
      <c r="S28" s="768">
        <f t="shared" si="12"/>
        <v>100</v>
      </c>
      <c r="T28" s="767" t="s">
        <v>21</v>
      </c>
      <c r="U28" s="768">
        <f t="shared" si="13"/>
        <v>100</v>
      </c>
      <c r="V28" s="767" t="s">
        <v>21</v>
      </c>
      <c r="W28" s="768">
        <f t="shared" si="14"/>
        <v>100</v>
      </c>
      <c r="X28" s="1805"/>
      <c r="Y28" s="3209"/>
      <c r="Z28" s="1806">
        <f t="shared" ref="Z28:Z46" si="18">Q28</f>
        <v>111</v>
      </c>
      <c r="AA28" s="1803">
        <f t="shared" si="15"/>
        <v>1</v>
      </c>
      <c r="AB28" s="1803">
        <f t="shared" si="16"/>
        <v>1</v>
      </c>
      <c r="AC28" s="1803">
        <f t="shared" si="17"/>
        <v>1</v>
      </c>
    </row>
    <row r="29" spans="1:29" ht="15">
      <c r="A29" s="421"/>
      <c r="B29" s="1379">
        <v>111</v>
      </c>
      <c r="C29" s="427"/>
      <c r="D29" s="428">
        <v>100</v>
      </c>
      <c r="E29" s="427"/>
      <c r="F29" s="428">
        <f>SUMIF(94:94,E29,95:95)-SUMIF(94:94,C29,95:95)+100</f>
        <v>100</v>
      </c>
      <c r="G29" s="2606"/>
      <c r="H29" s="428">
        <f>SUMIF(94:94,G29,95:95)-SUMIF(94:94,C29,95:95)+100</f>
        <v>100</v>
      </c>
      <c r="I29" s="427"/>
      <c r="J29" s="428">
        <f>SUMIF(94:94,I29,95:95)-SUMIF(94:94,C29,95:95)+100</f>
        <v>100</v>
      </c>
      <c r="K29" s="2592"/>
      <c r="L29" s="1133"/>
      <c r="M29" s="1124"/>
      <c r="N29" s="1124"/>
      <c r="O29" s="1124"/>
      <c r="P29" s="3247"/>
      <c r="Q29" s="1802">
        <f t="shared" si="11"/>
        <v>111</v>
      </c>
      <c r="R29" s="767" t="s">
        <v>21</v>
      </c>
      <c r="S29" s="768">
        <f t="shared" si="12"/>
        <v>100</v>
      </c>
      <c r="T29" s="767" t="s">
        <v>21</v>
      </c>
      <c r="U29" s="768">
        <f t="shared" si="13"/>
        <v>100</v>
      </c>
      <c r="V29" s="767" t="s">
        <v>21</v>
      </c>
      <c r="W29" s="768">
        <f t="shared" si="14"/>
        <v>100</v>
      </c>
      <c r="X29" s="1805"/>
      <c r="Y29" s="3209"/>
      <c r="Z29" s="1806">
        <f t="shared" si="18"/>
        <v>111</v>
      </c>
      <c r="AA29" s="1803">
        <f t="shared" si="15"/>
        <v>1</v>
      </c>
      <c r="AB29" s="1803">
        <f t="shared" si="16"/>
        <v>1</v>
      </c>
      <c r="AC29" s="1803">
        <f t="shared" si="17"/>
        <v>1</v>
      </c>
    </row>
    <row r="30" spans="1:29" ht="15">
      <c r="A30" s="421"/>
      <c r="B30" s="1379">
        <v>111</v>
      </c>
      <c r="C30" s="427"/>
      <c r="D30" s="428">
        <v>100</v>
      </c>
      <c r="E30" s="427"/>
      <c r="F30" s="428">
        <f>SUMIF(96:96,E30,97:97)-SUMIF(96:96,C30,97:97)+100</f>
        <v>100</v>
      </c>
      <c r="G30" s="2606"/>
      <c r="H30" s="428">
        <f>SUMIF(96:96,G30,97:97)-SUMIF(96:96,C30,97:97)+100</f>
        <v>100</v>
      </c>
      <c r="I30" s="427"/>
      <c r="J30" s="428">
        <f>SUMIF(96:96,I30,97:97)-SUMIF(96:96,C30,97:97)+100</f>
        <v>100</v>
      </c>
      <c r="K30" s="2592"/>
      <c r="L30" s="1133"/>
      <c r="M30" s="1124"/>
      <c r="N30" s="1124"/>
      <c r="O30" s="1124"/>
      <c r="P30" s="3247"/>
      <c r="Q30" s="1802">
        <f t="shared" si="11"/>
        <v>111</v>
      </c>
      <c r="R30" s="767" t="s">
        <v>21</v>
      </c>
      <c r="S30" s="768">
        <f t="shared" si="12"/>
        <v>100</v>
      </c>
      <c r="T30" s="767" t="s">
        <v>21</v>
      </c>
      <c r="U30" s="768">
        <f t="shared" si="13"/>
        <v>100</v>
      </c>
      <c r="V30" s="767" t="s">
        <v>21</v>
      </c>
      <c r="W30" s="768">
        <f t="shared" si="14"/>
        <v>100</v>
      </c>
      <c r="X30" s="1805"/>
      <c r="Y30" s="3209"/>
      <c r="Z30" s="1806">
        <f t="shared" si="18"/>
        <v>111</v>
      </c>
      <c r="AA30" s="1803">
        <f t="shared" si="15"/>
        <v>1</v>
      </c>
      <c r="AB30" s="1803">
        <f t="shared" si="16"/>
        <v>1</v>
      </c>
      <c r="AC30" s="1803">
        <f t="shared" si="17"/>
        <v>1</v>
      </c>
    </row>
    <row r="31" spans="1:29" ht="15.75" thickBot="1">
      <c r="A31" s="429"/>
      <c r="B31" s="1379">
        <v>111</v>
      </c>
      <c r="C31" s="430"/>
      <c r="D31" s="431">
        <v>100</v>
      </c>
      <c r="E31" s="430"/>
      <c r="F31" s="431">
        <f>SUMIF(98:98,E31,99:99)-SUMIF(98:98,C31,99:99)+100</f>
        <v>100</v>
      </c>
      <c r="G31" s="2607"/>
      <c r="H31" s="431">
        <f>SUMIF(98:98,G31,99:99)-SUMIF(98:98,C31,99:99)+100</f>
        <v>100</v>
      </c>
      <c r="I31" s="430"/>
      <c r="J31" s="431">
        <f>SUMIF(98:98,I31,99:99)-SUMIF(98:98,C31,99:99)+100</f>
        <v>100</v>
      </c>
      <c r="K31" s="2592"/>
      <c r="L31" s="1133"/>
      <c r="M31" s="1124"/>
      <c r="N31" s="1124"/>
      <c r="O31" s="1124"/>
      <c r="P31" s="3247"/>
      <c r="Q31" s="1802">
        <f t="shared" si="11"/>
        <v>111</v>
      </c>
      <c r="R31" s="767" t="s">
        <v>21</v>
      </c>
      <c r="S31" s="768">
        <f t="shared" si="12"/>
        <v>100</v>
      </c>
      <c r="T31" s="767" t="s">
        <v>21</v>
      </c>
      <c r="U31" s="768">
        <f t="shared" si="13"/>
        <v>100</v>
      </c>
      <c r="V31" s="767" t="s">
        <v>21</v>
      </c>
      <c r="W31" s="768">
        <f t="shared" si="14"/>
        <v>100</v>
      </c>
      <c r="X31" s="1805"/>
      <c r="Y31" s="3209"/>
      <c r="Z31" s="1806">
        <f t="shared" si="18"/>
        <v>111</v>
      </c>
      <c r="AA31" s="1803">
        <f t="shared" si="15"/>
        <v>1</v>
      </c>
      <c r="AB31" s="1803">
        <f t="shared" si="16"/>
        <v>1</v>
      </c>
      <c r="AC31" s="1803">
        <f t="shared" si="17"/>
        <v>1</v>
      </c>
    </row>
    <row r="32" spans="1:29" ht="15">
      <c r="A32" s="433" t="s">
        <v>2563</v>
      </c>
      <c r="B32" s="69" t="s">
        <v>2564</v>
      </c>
      <c r="C32" s="2608"/>
      <c r="D32" s="460">
        <v>100</v>
      </c>
      <c r="E32" s="2609"/>
      <c r="F32" s="454">
        <f>SUMIF(100:100,E32,101:101)-SUMIF(100:100,C32,101:101)+100</f>
        <v>100</v>
      </c>
      <c r="G32" s="2608"/>
      <c r="H32" s="460">
        <f>SUMIF(100:100,G32,101:101)-SUMIF(100:100,C32,101:101)+100</f>
        <v>100</v>
      </c>
      <c r="I32" s="2609"/>
      <c r="J32" s="428">
        <f>SUMIF(100:100,I32,101:101)-SUMIF(100:100,C32,101:101)+100</f>
        <v>100</v>
      </c>
      <c r="K32" s="419"/>
      <c r="L32" s="1133"/>
      <c r="M32" s="1124"/>
      <c r="N32" s="1124"/>
      <c r="O32" s="1124"/>
      <c r="P32" s="3248" t="s">
        <v>2565</v>
      </c>
      <c r="Q32" s="1802" t="str">
        <f t="shared" si="11"/>
        <v>建筑类型</v>
      </c>
      <c r="R32" s="767" t="s">
        <v>21</v>
      </c>
      <c r="S32" s="768">
        <f t="shared" si="12"/>
        <v>100</v>
      </c>
      <c r="T32" s="767" t="s">
        <v>21</v>
      </c>
      <c r="U32" s="768">
        <f t="shared" si="13"/>
        <v>100</v>
      </c>
      <c r="V32" s="767" t="s">
        <v>21</v>
      </c>
      <c r="W32" s="768">
        <f t="shared" si="14"/>
        <v>100</v>
      </c>
      <c r="X32" s="1805"/>
      <c r="Y32" s="3211" t="s">
        <v>2565</v>
      </c>
      <c r="Z32" s="1806" t="str">
        <f t="shared" si="18"/>
        <v>建筑类型</v>
      </c>
      <c r="AA32" s="1803">
        <f t="shared" si="15"/>
        <v>1</v>
      </c>
      <c r="AB32" s="1803">
        <f t="shared" si="16"/>
        <v>1</v>
      </c>
      <c r="AC32" s="1803">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2"/>
      <c r="L33" s="1131"/>
      <c r="M33" s="1134"/>
      <c r="N33" s="1134"/>
      <c r="O33" s="1134"/>
      <c r="P33" s="3249"/>
      <c r="Q33" s="769" t="str">
        <f t="shared" si="11"/>
        <v>项目建筑规模</v>
      </c>
      <c r="R33" s="770" t="s">
        <v>21</v>
      </c>
      <c r="S33" s="771" t="e">
        <f t="shared" si="12"/>
        <v>#N/A</v>
      </c>
      <c r="T33" s="770" t="s">
        <v>21</v>
      </c>
      <c r="U33" s="771" t="e">
        <f t="shared" si="13"/>
        <v>#N/A</v>
      </c>
      <c r="V33" s="770" t="s">
        <v>21</v>
      </c>
      <c r="W33" s="771" t="e">
        <f t="shared" si="14"/>
        <v>#N/A</v>
      </c>
      <c r="X33" s="772"/>
      <c r="Y33" s="3211"/>
      <c r="Z33" s="773" t="str">
        <f t="shared" si="18"/>
        <v>项目建筑规模</v>
      </c>
      <c r="AA33" s="1803" t="e">
        <f t="shared" si="15"/>
        <v>#N/A</v>
      </c>
      <c r="AB33" s="1803" t="e">
        <f t="shared" si="16"/>
        <v>#N/A</v>
      </c>
      <c r="AC33" s="1803" t="e">
        <f t="shared" si="17"/>
        <v>#N/A</v>
      </c>
    </row>
    <row r="34" spans="1:29" ht="15">
      <c r="A34" s="465"/>
      <c r="B34" s="415" t="s">
        <v>2567</v>
      </c>
      <c r="C34" s="2610"/>
      <c r="D34" s="428">
        <v>100</v>
      </c>
      <c r="E34" s="2611"/>
      <c r="F34" s="454">
        <f>SUMIF(105:105,E34,106:106)-SUMIF(105:105,C34,106:106)+100</f>
        <v>100</v>
      </c>
      <c r="G34" s="2610"/>
      <c r="H34" s="428">
        <f>SUMIF(105:105,G34,106:106)-SUMIF(105:105,C34,106:106)+100</f>
        <v>100</v>
      </c>
      <c r="I34" s="2611"/>
      <c r="J34" s="428">
        <f>SUMIF(105:105,I34,106:106)-SUMIF(105:105,C34,106:106)+100</f>
        <v>100</v>
      </c>
      <c r="K34" s="419"/>
      <c r="L34" s="1133"/>
      <c r="M34" s="1124"/>
      <c r="N34" s="1124"/>
      <c r="O34" s="1124"/>
      <c r="P34" s="3249"/>
      <c r="Q34" s="1802" t="str">
        <f t="shared" si="11"/>
        <v>建筑结构</v>
      </c>
      <c r="R34" s="767" t="s">
        <v>21</v>
      </c>
      <c r="S34" s="768">
        <f t="shared" si="12"/>
        <v>100</v>
      </c>
      <c r="T34" s="767" t="s">
        <v>21</v>
      </c>
      <c r="U34" s="768">
        <f t="shared" si="13"/>
        <v>100</v>
      </c>
      <c r="V34" s="767" t="s">
        <v>21</v>
      </c>
      <c r="W34" s="768">
        <f t="shared" si="14"/>
        <v>100</v>
      </c>
      <c r="X34" s="1805"/>
      <c r="Y34" s="3211"/>
      <c r="Z34" s="1806" t="str">
        <f t="shared" si="18"/>
        <v>建筑结构</v>
      </c>
      <c r="AA34" s="1803">
        <f t="shared" si="15"/>
        <v>1</v>
      </c>
      <c r="AB34" s="1803">
        <f t="shared" si="16"/>
        <v>1</v>
      </c>
      <c r="AC34" s="1803">
        <f t="shared" si="17"/>
        <v>1</v>
      </c>
    </row>
    <row r="35" spans="1:29" ht="15">
      <c r="A35" s="465"/>
      <c r="B35" s="415" t="s">
        <v>2568</v>
      </c>
      <c r="C35" s="2604"/>
      <c r="D35" s="428">
        <v>100</v>
      </c>
      <c r="E35" s="2605"/>
      <c r="F35" s="454">
        <f>SUMIF(107:107,E35,108:108)-SUMIF(107:107,C35,108:108)+100</f>
        <v>100</v>
      </c>
      <c r="G35" s="2604"/>
      <c r="H35" s="428">
        <f>SUMIF(107:107,G35,108:108)-SUMIF(107:107,C35,108:108)+100</f>
        <v>100</v>
      </c>
      <c r="I35" s="2605"/>
      <c r="J35" s="428">
        <f>SUMIF(107:107,I35,108:108)-SUMIF(107:107,C35,108:108)+100</f>
        <v>100</v>
      </c>
      <c r="K35" s="419"/>
      <c r="L35" s="1133"/>
      <c r="M35" s="1124"/>
      <c r="N35" s="1124"/>
      <c r="O35" s="1124"/>
      <c r="P35" s="3249"/>
      <c r="Q35" s="1802" t="str">
        <f t="shared" si="11"/>
        <v>建筑品质</v>
      </c>
      <c r="R35" s="767" t="s">
        <v>21</v>
      </c>
      <c r="S35" s="768">
        <f t="shared" si="12"/>
        <v>100</v>
      </c>
      <c r="T35" s="767" t="s">
        <v>21</v>
      </c>
      <c r="U35" s="768">
        <f t="shared" si="13"/>
        <v>100</v>
      </c>
      <c r="V35" s="767" t="s">
        <v>21</v>
      </c>
      <c r="W35" s="768">
        <f t="shared" si="14"/>
        <v>100</v>
      </c>
      <c r="X35" s="1805"/>
      <c r="Y35" s="3211"/>
      <c r="Z35" s="1806" t="str">
        <f t="shared" si="18"/>
        <v>建筑品质</v>
      </c>
      <c r="AA35" s="1803">
        <f t="shared" si="15"/>
        <v>1</v>
      </c>
      <c r="AB35" s="1803">
        <f t="shared" si="16"/>
        <v>1</v>
      </c>
      <c r="AC35" s="1803">
        <f t="shared" si="17"/>
        <v>1</v>
      </c>
    </row>
    <row r="36" spans="1:29" ht="15">
      <c r="A36" s="465"/>
      <c r="B36" s="415" t="s">
        <v>2569</v>
      </c>
      <c r="C36" s="2604"/>
      <c r="D36" s="428">
        <v>100</v>
      </c>
      <c r="E36" s="2605"/>
      <c r="F36" s="454">
        <f>SUMIF(109:109,E36,110:110)-SUMIF(109:109,C36,110:110)+100</f>
        <v>100</v>
      </c>
      <c r="G36" s="2604"/>
      <c r="H36" s="428">
        <f>SUMIF(109:109,G36,110:110)-SUMIF(109:109,C36,110:110)+100</f>
        <v>100</v>
      </c>
      <c r="I36" s="2605"/>
      <c r="J36" s="428">
        <f>SUMIF(109:109,I36,110:110)-SUMIF(109:109,C36,110:110)+100</f>
        <v>100</v>
      </c>
      <c r="K36" s="419"/>
      <c r="L36" s="1133"/>
      <c r="M36" s="1124"/>
      <c r="N36" s="1124"/>
      <c r="O36" s="1124"/>
      <c r="P36" s="3249"/>
      <c r="Q36" s="1802" t="str">
        <f t="shared" si="11"/>
        <v>公共部分装修</v>
      </c>
      <c r="R36" s="767" t="s">
        <v>21</v>
      </c>
      <c r="S36" s="768">
        <f t="shared" si="12"/>
        <v>100</v>
      </c>
      <c r="T36" s="767" t="s">
        <v>21</v>
      </c>
      <c r="U36" s="768">
        <f t="shared" si="13"/>
        <v>100</v>
      </c>
      <c r="V36" s="767" t="s">
        <v>21</v>
      </c>
      <c r="W36" s="768">
        <f t="shared" si="14"/>
        <v>100</v>
      </c>
      <c r="X36" s="1805"/>
      <c r="Y36" s="3211"/>
      <c r="Z36" s="1806" t="str">
        <f t="shared" si="18"/>
        <v>公共部分装修</v>
      </c>
      <c r="AA36" s="1803">
        <f t="shared" si="15"/>
        <v>1</v>
      </c>
      <c r="AB36" s="1803">
        <f t="shared" si="16"/>
        <v>1</v>
      </c>
      <c r="AC36" s="1803">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49"/>
      <c r="Q37" s="1787" t="str">
        <f t="shared" si="11"/>
        <v>成新度</v>
      </c>
      <c r="R37" s="763" t="s">
        <v>21</v>
      </c>
      <c r="S37" s="764" t="e">
        <f t="shared" si="12"/>
        <v>#N/A</v>
      </c>
      <c r="T37" s="763" t="s">
        <v>21</v>
      </c>
      <c r="U37" s="764" t="e">
        <f t="shared" si="13"/>
        <v>#N/A</v>
      </c>
      <c r="V37" s="763" t="s">
        <v>21</v>
      </c>
      <c r="W37" s="764" t="e">
        <f t="shared" si="14"/>
        <v>#N/A</v>
      </c>
      <c r="X37" s="765"/>
      <c r="Y37" s="3211"/>
      <c r="Z37" s="55" t="str">
        <f t="shared" si="18"/>
        <v>成新度</v>
      </c>
      <c r="AA37" s="766" t="e">
        <f t="shared" si="15"/>
        <v>#N/A</v>
      </c>
      <c r="AB37" s="766" t="e">
        <f t="shared" si="16"/>
        <v>#N/A</v>
      </c>
      <c r="AC37" s="766" t="e">
        <f t="shared" si="17"/>
        <v>#N/A</v>
      </c>
    </row>
    <row r="38" spans="1:29" ht="15">
      <c r="A38" s="465"/>
      <c r="B38" s="415" t="s">
        <v>2571</v>
      </c>
      <c r="C38" s="2604"/>
      <c r="D38" s="428">
        <v>100</v>
      </c>
      <c r="E38" s="2605"/>
      <c r="F38" s="454">
        <f>SUMIF(114:114,E38,115:115)-SUMIF(114:114,C38,115:115)+100</f>
        <v>100</v>
      </c>
      <c r="G38" s="2604"/>
      <c r="H38" s="428">
        <f>SUMIF(114:114,G38,115:115)-SUMIF(114:114,C38,115:115)+100</f>
        <v>100</v>
      </c>
      <c r="I38" s="2605"/>
      <c r="J38" s="428">
        <f>SUMIF(114:114,I38,115:115)-SUMIF(114:114,C38,115:115)+100</f>
        <v>100</v>
      </c>
      <c r="K38" s="419"/>
      <c r="L38" s="1133"/>
      <c r="M38" s="1124"/>
      <c r="N38" s="1124"/>
      <c r="O38" s="1124"/>
      <c r="P38" s="3249" t="s">
        <v>2565</v>
      </c>
      <c r="Q38" s="1802" t="str">
        <f t="shared" si="11"/>
        <v>物业管理</v>
      </c>
      <c r="R38" s="767" t="s">
        <v>21</v>
      </c>
      <c r="S38" s="768">
        <f t="shared" si="12"/>
        <v>100</v>
      </c>
      <c r="T38" s="767" t="s">
        <v>21</v>
      </c>
      <c r="U38" s="768">
        <f t="shared" si="13"/>
        <v>100</v>
      </c>
      <c r="V38" s="767" t="s">
        <v>21</v>
      </c>
      <c r="W38" s="768">
        <f t="shared" si="14"/>
        <v>100</v>
      </c>
      <c r="X38" s="1805"/>
      <c r="Y38" s="3211" t="s">
        <v>2565</v>
      </c>
      <c r="Z38" s="1806" t="str">
        <f t="shared" si="18"/>
        <v>物业管理</v>
      </c>
      <c r="AA38" s="1803">
        <f t="shared" si="15"/>
        <v>1</v>
      </c>
      <c r="AB38" s="1803">
        <f t="shared" si="16"/>
        <v>1</v>
      </c>
      <c r="AC38" s="1803">
        <f t="shared" si="17"/>
        <v>1</v>
      </c>
    </row>
    <row r="39" spans="1:29" ht="15">
      <c r="A39" s="465"/>
      <c r="B39" s="415" t="s">
        <v>2572</v>
      </c>
      <c r="C39" s="2604"/>
      <c r="D39" s="428">
        <v>100</v>
      </c>
      <c r="E39" s="2605"/>
      <c r="F39" s="454">
        <f>SUMIF(116:116,E39,117:117)-SUMIF(116:116,C39,117:117)+100</f>
        <v>100</v>
      </c>
      <c r="G39" s="2604"/>
      <c r="H39" s="428">
        <f>SUMIF(116:116,G39,117:117)-SUMIF(116:116,C39,117:117)+100</f>
        <v>100</v>
      </c>
      <c r="I39" s="2605"/>
      <c r="J39" s="428">
        <f>SUMIF(116:116,I39,117:117)-SUMIF(116:116,C39,117:117)+100</f>
        <v>100</v>
      </c>
      <c r="K39" s="419"/>
      <c r="L39" s="1133"/>
      <c r="M39" s="1124"/>
      <c r="N39" s="1124"/>
      <c r="O39" s="1124"/>
      <c r="P39" s="3249"/>
      <c r="Q39" s="1802" t="str">
        <f t="shared" si="11"/>
        <v>市政基础设施</v>
      </c>
      <c r="R39" s="767" t="s">
        <v>21</v>
      </c>
      <c r="S39" s="768">
        <f t="shared" si="12"/>
        <v>100</v>
      </c>
      <c r="T39" s="767" t="s">
        <v>21</v>
      </c>
      <c r="U39" s="768">
        <f t="shared" si="13"/>
        <v>100</v>
      </c>
      <c r="V39" s="767" t="s">
        <v>21</v>
      </c>
      <c r="W39" s="768">
        <f t="shared" si="14"/>
        <v>100</v>
      </c>
      <c r="X39" s="1805"/>
      <c r="Y39" s="3211"/>
      <c r="Z39" s="1806" t="str">
        <f t="shared" si="18"/>
        <v>市政基础设施</v>
      </c>
      <c r="AA39" s="1803">
        <f t="shared" si="15"/>
        <v>1</v>
      </c>
      <c r="AB39" s="1803">
        <f t="shared" si="16"/>
        <v>1</v>
      </c>
      <c r="AC39" s="1803">
        <f t="shared" si="17"/>
        <v>1</v>
      </c>
    </row>
    <row r="40" spans="1:29" ht="15">
      <c r="A40" s="465"/>
      <c r="B40" s="415" t="s">
        <v>2573</v>
      </c>
      <c r="C40" s="2604"/>
      <c r="D40" s="428">
        <v>100</v>
      </c>
      <c r="E40" s="2605"/>
      <c r="F40" s="454">
        <f>SUMIF(118:118,E40,119:119)-SUMIF(118:118,C40,119:119)+100</f>
        <v>100</v>
      </c>
      <c r="G40" s="2604"/>
      <c r="H40" s="428">
        <f>SUMIF(118:118,G40,119:119)-SUMIF(118:118,C40,119:119)+100</f>
        <v>100</v>
      </c>
      <c r="I40" s="2605"/>
      <c r="J40" s="428">
        <f>SUMIF(118:118,I40,119:119)-SUMIF(118:118,C40,119:119)+100</f>
        <v>100</v>
      </c>
      <c r="K40" s="419"/>
      <c r="L40" s="1133"/>
      <c r="M40" s="1124"/>
      <c r="N40" s="1124"/>
      <c r="O40" s="1124"/>
      <c r="P40" s="3249"/>
      <c r="Q40" s="1802" t="str">
        <f t="shared" si="11"/>
        <v>房型</v>
      </c>
      <c r="R40" s="767" t="s">
        <v>21</v>
      </c>
      <c r="S40" s="768">
        <f t="shared" si="12"/>
        <v>100</v>
      </c>
      <c r="T40" s="767" t="s">
        <v>21</v>
      </c>
      <c r="U40" s="768">
        <f t="shared" si="13"/>
        <v>100</v>
      </c>
      <c r="V40" s="767" t="s">
        <v>21</v>
      </c>
      <c r="W40" s="768">
        <f t="shared" si="14"/>
        <v>100</v>
      </c>
      <c r="X40" s="1805"/>
      <c r="Y40" s="3211"/>
      <c r="Z40" s="1806" t="str">
        <f t="shared" si="18"/>
        <v>房型</v>
      </c>
      <c r="AA40" s="1803">
        <f t="shared" si="15"/>
        <v>1</v>
      </c>
      <c r="AB40" s="1803">
        <f t="shared" si="16"/>
        <v>1</v>
      </c>
      <c r="AC40" s="1803">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2"/>
      <c r="L41" s="1131"/>
      <c r="M41" s="1134"/>
      <c r="N41" s="1134"/>
      <c r="O41" s="1134"/>
      <c r="P41" s="3249"/>
      <c r="Q41" s="769" t="str">
        <f t="shared" si="11"/>
        <v>单套/主力户型建筑面积</v>
      </c>
      <c r="R41" s="770" t="s">
        <v>21</v>
      </c>
      <c r="S41" s="771">
        <f t="shared" si="12"/>
        <v>100</v>
      </c>
      <c r="T41" s="770" t="s">
        <v>21</v>
      </c>
      <c r="U41" s="771">
        <f t="shared" si="13"/>
        <v>100</v>
      </c>
      <c r="V41" s="770" t="s">
        <v>21</v>
      </c>
      <c r="W41" s="771">
        <f t="shared" si="14"/>
        <v>100</v>
      </c>
      <c r="X41" s="772"/>
      <c r="Y41" s="3211"/>
      <c r="Z41" s="773" t="str">
        <f t="shared" si="18"/>
        <v>单套/主力户型建筑面积</v>
      </c>
      <c r="AA41" s="1803">
        <f t="shared" si="15"/>
        <v>1</v>
      </c>
      <c r="AB41" s="1803">
        <f t="shared" si="16"/>
        <v>1</v>
      </c>
      <c r="AC41" s="1803">
        <f t="shared" si="17"/>
        <v>1</v>
      </c>
    </row>
    <row r="42" spans="1:29" ht="15">
      <c r="A42" s="465"/>
      <c r="B42" s="415" t="s">
        <v>2575</v>
      </c>
      <c r="C42" s="2604"/>
      <c r="D42" s="428">
        <v>100</v>
      </c>
      <c r="E42" s="2605"/>
      <c r="F42" s="454">
        <f>SUMIF(122:122,E42,123:123)-SUMIF(122:122,C42,123:123)+100</f>
        <v>100</v>
      </c>
      <c r="G42" s="2604"/>
      <c r="H42" s="428">
        <f>SUMIF(122:122,G42,123:123)-SUMIF(122:122,C42,123:123)+100</f>
        <v>100</v>
      </c>
      <c r="I42" s="2605"/>
      <c r="J42" s="428">
        <f>SUMIF(122:122,I42,123:123)-SUMIF(122:122,C42,123:123)+100</f>
        <v>100</v>
      </c>
      <c r="K42" s="419"/>
      <c r="L42" s="1133"/>
      <c r="M42" s="1124"/>
      <c r="N42" s="1124"/>
      <c r="O42" s="1124"/>
      <c r="P42" s="3249"/>
      <c r="Q42" s="1802" t="str">
        <f t="shared" si="11"/>
        <v>内部装修</v>
      </c>
      <c r="R42" s="767" t="s">
        <v>21</v>
      </c>
      <c r="S42" s="768">
        <f t="shared" si="12"/>
        <v>100</v>
      </c>
      <c r="T42" s="767" t="s">
        <v>21</v>
      </c>
      <c r="U42" s="768">
        <f t="shared" si="13"/>
        <v>100</v>
      </c>
      <c r="V42" s="767" t="s">
        <v>21</v>
      </c>
      <c r="W42" s="768">
        <f t="shared" si="14"/>
        <v>100</v>
      </c>
      <c r="X42" s="1805"/>
      <c r="Y42" s="3211"/>
      <c r="Z42" s="1806" t="str">
        <f t="shared" si="18"/>
        <v>内部装修</v>
      </c>
      <c r="AA42" s="1803">
        <f t="shared" si="15"/>
        <v>1</v>
      </c>
      <c r="AB42" s="1803">
        <f t="shared" si="16"/>
        <v>1</v>
      </c>
      <c r="AC42" s="1803">
        <f t="shared" si="17"/>
        <v>1</v>
      </c>
    </row>
    <row r="43" spans="1:29" ht="15">
      <c r="A43" s="465"/>
      <c r="B43" s="415" t="s">
        <v>2576</v>
      </c>
      <c r="C43" s="2604"/>
      <c r="D43" s="428">
        <v>100</v>
      </c>
      <c r="E43" s="2605"/>
      <c r="F43" s="454">
        <f>SUMIF(124:124,E43,125:125)-SUMIF(124:124,C43,125:125)+100</f>
        <v>100</v>
      </c>
      <c r="G43" s="2604"/>
      <c r="H43" s="428">
        <f>SUMIF(124:124,G43,125:125)-SUMIF(124:124,C43,125:125)+100</f>
        <v>100</v>
      </c>
      <c r="I43" s="2605"/>
      <c r="J43" s="428">
        <f>SUMIF(124:124,I43,125:125)-SUMIF(124:124,C43,125:125)+100</f>
        <v>100</v>
      </c>
      <c r="K43" s="419"/>
      <c r="L43" s="1133"/>
      <c r="M43" s="1124"/>
      <c r="N43" s="1124"/>
      <c r="O43" s="1124"/>
      <c r="P43" s="3249"/>
      <c r="Q43" s="1802" t="str">
        <f t="shared" si="11"/>
        <v>内部装修维护情况</v>
      </c>
      <c r="R43" s="767" t="s">
        <v>21</v>
      </c>
      <c r="S43" s="768">
        <f t="shared" si="12"/>
        <v>100</v>
      </c>
      <c r="T43" s="767" t="s">
        <v>21</v>
      </c>
      <c r="U43" s="768">
        <f t="shared" si="13"/>
        <v>100</v>
      </c>
      <c r="V43" s="767" t="s">
        <v>21</v>
      </c>
      <c r="W43" s="768">
        <f t="shared" si="14"/>
        <v>100</v>
      </c>
      <c r="X43" s="1805"/>
      <c r="Y43" s="3211"/>
      <c r="Z43" s="1806" t="str">
        <f t="shared" si="18"/>
        <v>内部装修维护情况</v>
      </c>
      <c r="AA43" s="1803">
        <f t="shared" si="15"/>
        <v>1</v>
      </c>
      <c r="AB43" s="1803">
        <f t="shared" si="16"/>
        <v>1</v>
      </c>
      <c r="AC43" s="1803">
        <f t="shared" si="17"/>
        <v>1</v>
      </c>
    </row>
    <row r="44" spans="1:29" s="111" customFormat="1" ht="15">
      <c r="A44" s="466"/>
      <c r="B44" s="1379">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2"/>
      <c r="L44" s="1125"/>
      <c r="M44" s="1126"/>
      <c r="N44" s="1126"/>
      <c r="O44" s="1126"/>
      <c r="P44" s="3249"/>
      <c r="Q44" s="1787">
        <f t="shared" si="11"/>
        <v>111</v>
      </c>
      <c r="R44" s="763" t="s">
        <v>21</v>
      </c>
      <c r="S44" s="764">
        <f t="shared" si="12"/>
        <v>100</v>
      </c>
      <c r="T44" s="763" t="s">
        <v>21</v>
      </c>
      <c r="U44" s="764">
        <f t="shared" si="13"/>
        <v>100</v>
      </c>
      <c r="V44" s="763" t="s">
        <v>21</v>
      </c>
      <c r="W44" s="764">
        <f t="shared" si="14"/>
        <v>100</v>
      </c>
      <c r="X44" s="765"/>
      <c r="Y44" s="3211"/>
      <c r="Z44" s="55">
        <f t="shared" si="18"/>
        <v>111</v>
      </c>
      <c r="AA44" s="766">
        <f t="shared" si="15"/>
        <v>1</v>
      </c>
      <c r="AB44" s="766">
        <f t="shared" si="16"/>
        <v>1</v>
      </c>
      <c r="AC44" s="766">
        <f t="shared" si="17"/>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2"/>
      <c r="L45" s="1133"/>
      <c r="M45" s="1124"/>
      <c r="N45" s="1124"/>
      <c r="O45" s="1124"/>
      <c r="P45" s="3249"/>
      <c r="Q45" s="1802">
        <f t="shared" si="11"/>
        <v>111</v>
      </c>
      <c r="R45" s="767" t="s">
        <v>21</v>
      </c>
      <c r="S45" s="768">
        <f t="shared" si="12"/>
        <v>100</v>
      </c>
      <c r="T45" s="767" t="s">
        <v>21</v>
      </c>
      <c r="U45" s="768">
        <f t="shared" si="13"/>
        <v>100</v>
      </c>
      <c r="V45" s="767" t="s">
        <v>21</v>
      </c>
      <c r="W45" s="768">
        <f t="shared" si="14"/>
        <v>100</v>
      </c>
      <c r="X45" s="1805"/>
      <c r="Y45" s="3211"/>
      <c r="Z45" s="1806">
        <f t="shared" si="18"/>
        <v>111</v>
      </c>
      <c r="AA45" s="1803">
        <f t="shared" si="15"/>
        <v>1</v>
      </c>
      <c r="AB45" s="1803">
        <f t="shared" si="16"/>
        <v>1</v>
      </c>
      <c r="AC45" s="1803">
        <f t="shared" si="17"/>
        <v>1</v>
      </c>
    </row>
    <row r="46" spans="1:29" ht="15.75" thickBot="1">
      <c r="A46" s="471"/>
      <c r="B46" s="2593">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2"/>
      <c r="L46" s="1133"/>
      <c r="M46" s="1124"/>
      <c r="N46" s="1124"/>
      <c r="O46" s="1124"/>
      <c r="P46" s="3250"/>
      <c r="Q46" s="1802">
        <f t="shared" si="11"/>
        <v>111</v>
      </c>
      <c r="R46" s="767" t="s">
        <v>20</v>
      </c>
      <c r="S46" s="768">
        <f t="shared" si="12"/>
        <v>100</v>
      </c>
      <c r="T46" s="767" t="s">
        <v>20</v>
      </c>
      <c r="U46" s="768">
        <f t="shared" si="13"/>
        <v>100</v>
      </c>
      <c r="V46" s="767" t="s">
        <v>20</v>
      </c>
      <c r="W46" s="768">
        <f t="shared" si="14"/>
        <v>100</v>
      </c>
      <c r="X46" s="1805"/>
      <c r="Y46" s="3251"/>
      <c r="Z46" s="1806">
        <f t="shared" si="18"/>
        <v>111</v>
      </c>
      <c r="AA46" s="1803">
        <f t="shared" si="15"/>
        <v>1</v>
      </c>
      <c r="AB46" s="1803">
        <f t="shared" si="16"/>
        <v>1</v>
      </c>
      <c r="AC46" s="1803">
        <f t="shared" si="17"/>
        <v>1</v>
      </c>
    </row>
    <row r="47" spans="1:29" ht="15">
      <c r="A47" s="472" t="s">
        <v>2577</v>
      </c>
      <c r="B47" s="473"/>
      <c r="C47" s="1400" t="s">
        <v>19</v>
      </c>
      <c r="D47" s="1401"/>
      <c r="E47" s="1402"/>
      <c r="F47" s="1403"/>
      <c r="G47" s="1404"/>
      <c r="H47" s="1405"/>
      <c r="I47" s="1402"/>
      <c r="J47" s="1405"/>
      <c r="K47" s="2612"/>
      <c r="L47" s="1136"/>
      <c r="M47" s="1137"/>
      <c r="N47" s="1124"/>
      <c r="O47" s="1137"/>
      <c r="P47" s="3206" t="str">
        <f>A47</f>
        <v>成交单价（元/平方米）</v>
      </c>
      <c r="Q47" s="3206"/>
      <c r="R47" s="3242">
        <f>E47</f>
        <v>0</v>
      </c>
      <c r="S47" s="3242"/>
      <c r="T47" s="3242">
        <f>G47</f>
        <v>0</v>
      </c>
      <c r="U47" s="3242"/>
      <c r="V47" s="3242">
        <f>I47</f>
        <v>0</v>
      </c>
      <c r="W47" s="3242"/>
      <c r="X47" s="752"/>
      <c r="Y47" s="774"/>
      <c r="Z47" s="752"/>
      <c r="AA47" s="752"/>
      <c r="AB47" s="752"/>
      <c r="AC47" s="752"/>
    </row>
    <row r="48" spans="1:29" ht="15.75" thickBot="1">
      <c r="A48" s="479" t="s">
        <v>2578</v>
      </c>
      <c r="B48" s="480"/>
      <c r="C48" s="1406" t="e">
        <f>R49</f>
        <v>#DIV/0!</v>
      </c>
      <c r="D48" s="1407"/>
      <c r="E48" s="1408" t="e">
        <f>R48</f>
        <v>#DIV/0!</v>
      </c>
      <c r="F48" s="1408"/>
      <c r="G48" s="1406" t="e">
        <f>T48</f>
        <v>#DIV/0!</v>
      </c>
      <c r="H48" s="1407"/>
      <c r="I48" s="1408" t="e">
        <f>V48</f>
        <v>#DIV/0!</v>
      </c>
      <c r="J48" s="1407"/>
      <c r="K48" s="2613"/>
      <c r="L48" s="1136"/>
      <c r="M48" s="1137"/>
      <c r="N48" s="1137"/>
      <c r="O48" s="1137"/>
      <c r="P48" s="3206" t="str">
        <f>A48</f>
        <v>比较价值（元/平方米）</v>
      </c>
      <c r="Q48" s="320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2"/>
      <c r="Y48" s="752"/>
      <c r="Z48" s="752"/>
      <c r="AA48" s="752"/>
      <c r="AB48" s="752"/>
      <c r="AC48" s="752"/>
    </row>
    <row r="49" spans="1:29" ht="15.75" thickBot="1">
      <c r="A49" s="485" t="s">
        <v>2579</v>
      </c>
      <c r="B49" s="486"/>
      <c r="C49" s="1409" t="e">
        <f>R49</f>
        <v>#DIV/0!</v>
      </c>
      <c r="D49" s="1410"/>
      <c r="E49" s="1410"/>
      <c r="F49" s="1410"/>
      <c r="G49" s="1410"/>
      <c r="H49" s="1410"/>
      <c r="I49" s="1410"/>
      <c r="J49" s="1410"/>
      <c r="K49" s="2614"/>
      <c r="L49" s="1136"/>
      <c r="M49" s="1137"/>
      <c r="N49" s="1137"/>
      <c r="O49" s="1137"/>
      <c r="P49" s="3200" t="str">
        <f>A49</f>
        <v>估价对象XX用房的比较价值（楼面单价，元/平方米）</v>
      </c>
      <c r="Q49" s="3201"/>
      <c r="R49" s="3266" t="e">
        <f>IF(F1="售价",ROUND(AVERAGE(R48:V48),0),ROUND(AVERAGE(R48:V48),1))</f>
        <v>#DIV/0!</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6"/>
    </row>
    <row r="55" spans="1:29" s="495" customFormat="1">
      <c r="A55" s="1138"/>
      <c r="B55" s="1139"/>
      <c r="C55" s="1143"/>
      <c r="D55" s="1138"/>
      <c r="E55" s="1138"/>
      <c r="F55" s="1138"/>
      <c r="G55" s="1138"/>
      <c r="H55" s="1138"/>
      <c r="I55" s="1138"/>
      <c r="J55" s="1138"/>
      <c r="K55" s="1141"/>
      <c r="L55" s="1142"/>
      <c r="M55" s="1138"/>
      <c r="N55" s="1138"/>
      <c r="O55" s="1138"/>
      <c r="P55" s="2616"/>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7"/>
      <c r="Q57" s="497"/>
    </row>
    <row r="58" spans="1:29" s="501" customFormat="1" ht="15">
      <c r="A58" s="498" t="s">
        <v>2584</v>
      </c>
      <c r="B58" s="499"/>
      <c r="C58" s="1568" t="str">
        <f>YEAR(C7)&amp;"-"&amp;MONTH(C7)</f>
        <v>2018-3</v>
      </c>
      <c r="D58" s="1567">
        <f>EDATE(C58,-1)</f>
        <v>43132</v>
      </c>
      <c r="E58" s="1567">
        <f>EDATE(D58,-1)</f>
        <v>43101</v>
      </c>
      <c r="F58" s="1567">
        <f t="shared" ref="F58:O58" si="19">EDATE(E58,-1)</f>
        <v>43070</v>
      </c>
      <c r="G58" s="1567">
        <f t="shared" si="19"/>
        <v>43040</v>
      </c>
      <c r="H58" s="1567">
        <f t="shared" si="19"/>
        <v>43009</v>
      </c>
      <c r="I58" s="1567">
        <f t="shared" si="19"/>
        <v>42979</v>
      </c>
      <c r="J58" s="1567">
        <f t="shared" si="19"/>
        <v>42948</v>
      </c>
      <c r="K58" s="1567">
        <f t="shared" si="19"/>
        <v>42917</v>
      </c>
      <c r="L58" s="1567">
        <f t="shared" si="19"/>
        <v>42887</v>
      </c>
      <c r="M58" s="1567">
        <f t="shared" si="19"/>
        <v>42856</v>
      </c>
      <c r="N58" s="1567">
        <f t="shared" si="19"/>
        <v>42826</v>
      </c>
      <c r="O58" s="1567">
        <f t="shared" si="19"/>
        <v>42795</v>
      </c>
      <c r="P58" s="1562"/>
    </row>
    <row r="59" spans="1:29" s="111" customFormat="1" ht="15">
      <c r="A59" s="502"/>
      <c r="B59" s="2618"/>
      <c r="C59" s="1565">
        <v>100</v>
      </c>
      <c r="D59" s="504"/>
      <c r="E59" s="505"/>
      <c r="F59" s="505"/>
      <c r="G59" s="505"/>
      <c r="H59" s="505"/>
      <c r="I59" s="505"/>
      <c r="J59" s="505"/>
      <c r="K59" s="505"/>
      <c r="L59" s="505"/>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2586</v>
      </c>
      <c r="B61" s="503"/>
      <c r="C61" s="515" t="s">
        <v>2587</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f>C9</f>
        <v>0</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1"/>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1"/>
      <c r="Q67" s="497"/>
    </row>
    <row r="68" spans="1:17" ht="15">
      <c r="A68" s="527"/>
      <c r="B68" s="541"/>
      <c r="C68" s="542"/>
      <c r="D68" s="542"/>
      <c r="E68" s="542"/>
      <c r="F68" s="542"/>
      <c r="G68" s="542"/>
      <c r="H68" s="542"/>
      <c r="I68" s="542"/>
      <c r="J68" s="542"/>
      <c r="K68" s="543"/>
      <c r="L68" s="544"/>
      <c r="M68" s="545"/>
      <c r="N68" s="1145"/>
      <c r="O68" s="1145"/>
      <c r="P68" s="2621"/>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53"/>
      <c r="E73" s="553"/>
      <c r="F73" s="553"/>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1"/>
      <c r="Q81" s="497"/>
    </row>
    <row r="82" spans="1:17" ht="15.75" thickTop="1">
      <c r="A82" s="527"/>
      <c r="B82" s="539" t="s">
        <v>2100</v>
      </c>
      <c r="C82" s="532" t="s">
        <v>2604</v>
      </c>
      <c r="D82" s="532" t="s">
        <v>2605</v>
      </c>
      <c r="E82" s="532" t="s">
        <v>2606</v>
      </c>
      <c r="F82" s="532" t="s">
        <v>2607</v>
      </c>
      <c r="G82" s="532" t="s">
        <v>2608</v>
      </c>
      <c r="H82" s="532"/>
      <c r="I82" s="532"/>
      <c r="J82" s="532"/>
      <c r="K82" s="532"/>
      <c r="L82" s="532"/>
      <c r="M82" s="1375"/>
      <c r="N82" s="1146"/>
      <c r="O82" s="1146"/>
      <c r="P82" s="2621"/>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1"/>
      <c r="Q85" s="497"/>
    </row>
    <row r="86" spans="1:17" s="111" customFormat="1" ht="15.75" thickTop="1">
      <c r="A86" s="572"/>
      <c r="B86" s="531" t="s">
        <v>2610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1"/>
      <c r="Q87" s="497"/>
    </row>
    <row r="88" spans="1:17" s="111" customFormat="1" ht="15.75" thickTop="1">
      <c r="A88" s="572"/>
      <c r="B88" s="531" t="s">
        <v>2611</v>
      </c>
      <c r="C88" s="547"/>
      <c r="D88" s="547"/>
      <c r="E88" s="547"/>
      <c r="F88" s="2626"/>
      <c r="G88" s="547"/>
      <c r="H88" s="547"/>
      <c r="I88" s="547"/>
      <c r="J88" s="547"/>
      <c r="K88" s="547"/>
      <c r="L88" s="547"/>
      <c r="M88" s="574"/>
      <c r="N88" s="1144"/>
      <c r="O88" s="1144"/>
      <c r="P88" s="2621"/>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1"/>
      <c r="Q89" s="497"/>
    </row>
    <row r="90" spans="1:17" s="464" customFormat="1" ht="15.75" thickTop="1">
      <c r="A90" s="546"/>
      <c r="B90" s="531">
        <f>B27</f>
        <v>111</v>
      </c>
      <c r="C90" s="547"/>
      <c r="D90" s="547"/>
      <c r="E90" s="547"/>
      <c r="F90" s="547"/>
      <c r="G90" s="547"/>
      <c r="H90" s="548"/>
      <c r="I90" s="548"/>
      <c r="J90" s="548"/>
      <c r="K90" s="548"/>
      <c r="L90" s="549"/>
      <c r="M90" s="550"/>
      <c r="N90" s="1147"/>
      <c r="O90" s="1147"/>
      <c r="P90" s="2622"/>
      <c r="Q90" s="552"/>
    </row>
    <row r="91" spans="1:17" s="464" customFormat="1" ht="15.75" thickBot="1">
      <c r="A91" s="546"/>
      <c r="B91" s="536"/>
      <c r="C91" s="553"/>
      <c r="D91" s="553"/>
      <c r="E91" s="553"/>
      <c r="F91" s="553"/>
      <c r="G91" s="553"/>
      <c r="H91" s="555"/>
      <c r="I91" s="555"/>
      <c r="J91" s="555"/>
      <c r="K91" s="555"/>
      <c r="L91" s="555"/>
      <c r="M91" s="556"/>
      <c r="N91" s="1147"/>
      <c r="O91" s="1147"/>
      <c r="P91" s="2622"/>
      <c r="Q91" s="552"/>
    </row>
    <row r="92" spans="1:17" ht="15.75" thickTop="1">
      <c r="A92" s="527"/>
      <c r="B92" s="531">
        <f>B28</f>
        <v>111</v>
      </c>
      <c r="C92" s="547"/>
      <c r="D92" s="547"/>
      <c r="E92" s="547"/>
      <c r="F92" s="547"/>
      <c r="G92" s="576"/>
      <c r="H92" s="576"/>
      <c r="I92" s="576"/>
      <c r="J92" s="576"/>
      <c r="K92" s="577"/>
      <c r="L92" s="578"/>
      <c r="M92" s="579"/>
      <c r="N92" s="1145"/>
      <c r="O92" s="1145"/>
      <c r="P92" s="2621"/>
      <c r="Q92" s="497"/>
    </row>
    <row r="93" spans="1:17" ht="15.75" thickBot="1">
      <c r="A93" s="527"/>
      <c r="B93" s="536"/>
      <c r="C93" s="553"/>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53"/>
      <c r="E95" s="553"/>
      <c r="F95" s="553"/>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63"/>
      <c r="D97" s="563"/>
      <c r="E97" s="563"/>
      <c r="F97" s="563"/>
      <c r="G97" s="529"/>
      <c r="H97" s="529"/>
      <c r="I97" s="529"/>
      <c r="J97" s="529"/>
      <c r="K97" s="529"/>
      <c r="L97" s="529"/>
      <c r="M97" s="530"/>
      <c r="N97" s="1146"/>
      <c r="O97" s="1146"/>
      <c r="P97" s="2621"/>
      <c r="Q97" s="497"/>
    </row>
    <row r="98" spans="1:17" ht="15.75" thickTop="1">
      <c r="A98" s="527"/>
      <c r="B98" s="539">
        <f>B31</f>
        <v>111</v>
      </c>
      <c r="C98" s="580"/>
      <c r="D98" s="580"/>
      <c r="E98" s="580"/>
      <c r="F98" s="580"/>
      <c r="G98" s="580"/>
      <c r="H98" s="580"/>
      <c r="I98" s="580"/>
      <c r="J98" s="580"/>
      <c r="K98" s="581"/>
      <c r="L98" s="582"/>
      <c r="M98" s="583"/>
      <c r="N98" s="1145"/>
      <c r="O98" s="1145"/>
      <c r="P98" s="2621"/>
      <c r="Q98" s="497"/>
    </row>
    <row r="99" spans="1:17" ht="15.75" thickBot="1">
      <c r="A99" s="2627"/>
      <c r="B99" s="562"/>
      <c r="C99" s="584"/>
      <c r="D99" s="584"/>
      <c r="E99" s="584"/>
      <c r="F99" s="584"/>
      <c r="G99" s="584"/>
      <c r="H99" s="584"/>
      <c r="I99" s="584"/>
      <c r="J99" s="584"/>
      <c r="K99" s="584"/>
      <c r="L99" s="584"/>
      <c r="M99" s="585"/>
      <c r="N99" s="1146"/>
      <c r="O99" s="1146"/>
      <c r="P99" s="2621"/>
      <c r="Q99" s="497"/>
    </row>
    <row r="100" spans="1:17">
      <c r="A100" s="520" t="s">
        <v>2563</v>
      </c>
      <c r="B100" s="521" t="s">
        <v>2612</v>
      </c>
      <c r="C100" s="523"/>
      <c r="D100" s="523"/>
      <c r="E100" s="523"/>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1"/>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1"/>
      <c r="Q102" s="497"/>
    </row>
    <row r="103" spans="1:17" s="464" customFormat="1">
      <c r="A103" s="586"/>
      <c r="B103" s="587"/>
      <c r="C103" s="588"/>
      <c r="D103" s="588"/>
      <c r="E103" s="588"/>
      <c r="F103" s="588"/>
      <c r="G103" s="588"/>
      <c r="H103" s="588"/>
      <c r="I103" s="588"/>
      <c r="J103" s="589"/>
      <c r="K103" s="589"/>
      <c r="L103" s="590"/>
      <c r="M103" s="591"/>
      <c r="N103" s="1147"/>
      <c r="O103" s="1147"/>
      <c r="P103" s="2622"/>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1"/>
      <c r="Q106" s="497"/>
    </row>
    <row r="107" spans="1:17" ht="15" thickTop="1">
      <c r="A107" s="592"/>
      <c r="B107" s="531" t="s">
        <v>2615</v>
      </c>
      <c r="C107" s="576"/>
      <c r="D107" s="576"/>
      <c r="E107" s="576"/>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1"/>
      <c r="Q108" s="497"/>
    </row>
    <row r="109" spans="1:17" ht="15" thickTop="1">
      <c r="A109" s="592"/>
      <c r="B109" s="531" t="s">
        <v>2616</v>
      </c>
      <c r="C109" s="547"/>
      <c r="D109" s="547"/>
      <c r="E109" s="547"/>
      <c r="F109" s="576"/>
      <c r="G109" s="576"/>
      <c r="H109" s="576"/>
      <c r="I109" s="576"/>
      <c r="J109" s="576"/>
      <c r="K109" s="577"/>
      <c r="L109" s="578"/>
      <c r="M109" s="579"/>
      <c r="N109" s="1145"/>
      <c r="O109" s="1145"/>
      <c r="P109" s="2621"/>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1"/>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2"/>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2"/>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2"/>
      <c r="Q113" s="552"/>
    </row>
    <row r="114" spans="1:17" ht="15" thickTop="1">
      <c r="A114" s="592"/>
      <c r="B114" s="531" t="s">
        <v>2617</v>
      </c>
      <c r="C114" s="547"/>
      <c r="D114" s="547"/>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1"/>
      <c r="Q115" s="497"/>
    </row>
    <row r="116" spans="1:17" ht="15" thickTop="1">
      <c r="A116" s="592"/>
      <c r="B116" s="531" t="s">
        <v>2618</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2619</v>
      </c>
      <c r="C118" s="576"/>
      <c r="D118" s="576"/>
      <c r="E118" s="576"/>
      <c r="F118" s="576"/>
      <c r="G118" s="576"/>
      <c r="H118" s="576"/>
      <c r="I118" s="576"/>
      <c r="J118" s="576"/>
      <c r="K118" s="577"/>
      <c r="L118" s="578"/>
      <c r="M118" s="579"/>
      <c r="N118" s="1145"/>
      <c r="O118" s="1145"/>
      <c r="P118" s="2621"/>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1"/>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2"/>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53"/>
      <c r="E129" s="553"/>
      <c r="F129" s="553"/>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39" t="s">
        <v>2625</v>
      </c>
      <c r="D138" s="139" t="s">
        <v>2626</v>
      </c>
      <c r="E138" s="2636" t="s">
        <v>2627</v>
      </c>
      <c r="F138" s="2637" t="s">
        <v>2628</v>
      </c>
      <c r="G138" s="139" t="s">
        <v>2626</v>
      </c>
      <c r="H138" s="140" t="s">
        <v>2627</v>
      </c>
      <c r="I138" s="2638"/>
      <c r="J138" s="139" t="s">
        <v>2629</v>
      </c>
      <c r="K138" s="140" t="s">
        <v>2630</v>
      </c>
    </row>
    <row r="139" spans="1:17" ht="15">
      <c r="B139" s="1077">
        <v>6</v>
      </c>
      <c r="C139" s="1078">
        <v>96</v>
      </c>
      <c r="D139" s="2639" t="s">
        <v>2631</v>
      </c>
      <c r="E139" s="1079">
        <v>100</v>
      </c>
      <c r="F139" s="1080">
        <v>102.5</v>
      </c>
      <c r="G139" s="2639" t="s">
        <v>2631</v>
      </c>
      <c r="H139" s="1081">
        <v>105</v>
      </c>
      <c r="I139" s="2640" t="s">
        <v>2632</v>
      </c>
      <c r="J139" s="1078">
        <v>20</v>
      </c>
      <c r="K139" s="1082">
        <f>C145/(J139-2)</f>
        <v>4.0555555555555553E-3</v>
      </c>
    </row>
    <row r="140" spans="1:17" ht="15">
      <c r="B140" s="1083">
        <v>5</v>
      </c>
      <c r="C140" s="1084">
        <v>100</v>
      </c>
      <c r="D140" s="1084"/>
      <c r="E140" s="1085"/>
      <c r="F140" s="1086">
        <v>102</v>
      </c>
      <c r="G140" s="1084"/>
      <c r="H140" s="1087"/>
      <c r="I140" s="2641" t="s">
        <v>2633</v>
      </c>
      <c r="J140" s="308">
        <f>ROUNDUP((J139-1)/2,0)</f>
        <v>10</v>
      </c>
      <c r="K140" s="1088">
        <v>100</v>
      </c>
    </row>
    <row r="141" spans="1:17" ht="15">
      <c r="B141" s="1083">
        <v>4</v>
      </c>
      <c r="C141" s="1084">
        <v>102</v>
      </c>
      <c r="D141" s="1084"/>
      <c r="E141" s="1085"/>
      <c r="F141" s="1086">
        <v>101.5</v>
      </c>
      <c r="G141" s="1084"/>
      <c r="H141" s="1087"/>
      <c r="I141" s="2641" t="s">
        <v>2634</v>
      </c>
      <c r="J141" s="308">
        <v>1</v>
      </c>
      <c r="K141" s="1089">
        <f>ROUND(100+(J141-J140)*K139*100,1)</f>
        <v>96.4</v>
      </c>
    </row>
    <row r="142" spans="1:17" ht="15">
      <c r="B142" s="1083">
        <v>3</v>
      </c>
      <c r="C142" s="1084">
        <v>103</v>
      </c>
      <c r="D142" s="1084"/>
      <c r="E142" s="1085"/>
      <c r="F142" s="1086">
        <v>101</v>
      </c>
      <c r="G142" s="1084"/>
      <c r="H142" s="1087"/>
      <c r="I142" s="2641" t="s">
        <v>2635</v>
      </c>
      <c r="J142" s="308">
        <f>J139</f>
        <v>20</v>
      </c>
      <c r="K142" s="1090">
        <v>95</v>
      </c>
    </row>
    <row r="143" spans="1:17" ht="15">
      <c r="B143" s="1083">
        <v>2</v>
      </c>
      <c r="C143" s="1084">
        <v>100</v>
      </c>
      <c r="D143" s="1084"/>
      <c r="E143" s="1085"/>
      <c r="F143" s="1086">
        <v>100.5</v>
      </c>
      <c r="G143" s="1084"/>
      <c r="H143" s="1087"/>
      <c r="I143" s="2641" t="s">
        <v>2636</v>
      </c>
      <c r="J143" s="1084">
        <v>15</v>
      </c>
      <c r="K143" s="1089">
        <f>ROUND(100+(J143-J140)*K139*100,1)</f>
        <v>102</v>
      </c>
    </row>
    <row r="144" spans="1:17" ht="15">
      <c r="B144" s="1083">
        <v>1</v>
      </c>
      <c r="C144" s="1084">
        <v>98</v>
      </c>
      <c r="D144" s="2642" t="s">
        <v>2637</v>
      </c>
      <c r="E144" s="1085">
        <v>102</v>
      </c>
      <c r="F144" s="1091">
        <v>100</v>
      </c>
      <c r="G144" s="2642" t="s">
        <v>2637</v>
      </c>
      <c r="H144" s="1087">
        <v>105</v>
      </c>
      <c r="I144" s="2641" t="s">
        <v>2636</v>
      </c>
      <c r="J144" s="1084">
        <v>18</v>
      </c>
      <c r="K144" s="1089">
        <f>ROUND(100+(J144-J140)*K139*100,1)</f>
        <v>103.2</v>
      </c>
    </row>
    <row r="145" spans="2:11" ht="15.75" thickBot="1">
      <c r="B145" s="2643" t="s">
        <v>2638</v>
      </c>
      <c r="C145" s="1092">
        <f>ROUND(MAX(C139:C144)/MIN(C139:C144)-1,3)</f>
        <v>7.2999999999999995E-2</v>
      </c>
      <c r="D145" s="1093"/>
      <c r="E145" s="1093"/>
      <c r="F145" s="2644" t="s">
        <v>2639</v>
      </c>
      <c r="G145" s="2645"/>
      <c r="H145" s="2646"/>
      <c r="I145" s="2647" t="s">
        <v>2636</v>
      </c>
      <c r="J145" s="1094">
        <v>8</v>
      </c>
      <c r="K145" s="1095">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2702</v>
      </c>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IF(C2="——",ROUND(C43*D3/10000,0),ROUND(C43*D3/10000,0)-D2)</f>
        <v>#DIV/0!</v>
      </c>
      <c r="C2" s="2577"/>
      <c r="D2" s="1117"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103416.51999999999</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7"/>
      <c r="F12" s="129">
        <f>SUMIF(64:64,E12,65:65)-SUMIF(64:64,C12,65:65)+100</f>
        <v>100</v>
      </c>
      <c r="G12" s="2683"/>
      <c r="H12" s="129">
        <f>SUMIF(64:64,G12,65:65)-SUMIF(64:64,C12,65:65)+100</f>
        <v>100</v>
      </c>
      <c r="I12" s="462"/>
      <c r="J12" s="129">
        <f>SUMIF(64:64,I12,65:65)-SUMIF(64:64,C12,65:65)+100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129">
        <f>SUMIF(66:66,E13,67:67)-SUMIF(66:66,C13,67:67)+100</f>
        <v>100</v>
      </c>
      <c r="G13" s="2683"/>
      <c r="H13" s="428">
        <f>SUMIF(66:66,G13,67:67)-SUMIF(66:66,C13,67:67)+100</f>
        <v>100</v>
      </c>
      <c r="I13" s="462"/>
      <c r="J13" s="428">
        <f>SUMIF(66:66,I13,67:67)-SUMIF(66:66,C13,67:67)+100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1">
        <f>SUMIF(68:68,E14,69:69)-SUMIF(68:68,C14,69:69)+100</f>
        <v>100</v>
      </c>
      <c r="G14" s="2683"/>
      <c r="H14" s="431">
        <f>SUMIF(68:68,G14,69:69)-SUMIF(68:68,C14,69:69)+100</f>
        <v>100</v>
      </c>
      <c r="I14" s="462"/>
      <c r="J14" s="431">
        <f>SUMIF(68:68,I14,69:69)-SUMIF(68:68,C14,69:69)+100</f>
        <v>100</v>
      </c>
      <c r="K14" s="606"/>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7" t="s">
        <v>2703</v>
      </c>
      <c r="C15" s="2684"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439"/>
      <c r="C16" s="440"/>
      <c r="D16" s="441"/>
      <c r="E16" s="440"/>
      <c r="F16" s="442"/>
      <c r="G16" s="440"/>
      <c r="H16" s="443"/>
      <c r="I16" s="440"/>
      <c r="J16" s="441"/>
      <c r="K16" s="608"/>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444" t="s">
        <v>2099</v>
      </c>
      <c r="C17" s="2598"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1"/>
      <c r="F18" s="446"/>
      <c r="G18" s="2600"/>
      <c r="H18" s="441"/>
      <c r="I18" s="2601"/>
      <c r="J18" s="441"/>
      <c r="K18" s="608"/>
      <c r="L18" s="1133"/>
      <c r="M18" s="1124"/>
      <c r="N18" s="1124"/>
      <c r="O18" s="1132"/>
      <c r="P18" s="3209"/>
      <c r="Q18" s="1802"/>
      <c r="R18" s="767"/>
      <c r="S18" s="768"/>
      <c r="T18" s="767"/>
      <c r="U18" s="768"/>
      <c r="V18" s="767"/>
      <c r="W18" s="768"/>
      <c r="X18" s="1805"/>
      <c r="Y18" s="3209"/>
      <c r="Z18" s="1806"/>
      <c r="AA18" s="1803">
        <v>1</v>
      </c>
      <c r="AB18" s="1803">
        <v>1</v>
      </c>
      <c r="AC18" s="1803">
        <v>1</v>
      </c>
    </row>
    <row r="19" spans="1:29" ht="42.75">
      <c r="A19" s="421"/>
      <c r="B19" s="444" t="s">
        <v>2688</v>
      </c>
      <c r="C19" s="2598"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09"/>
      <c r="Q19" s="1802" t="str">
        <f>B19</f>
        <v>公共配套设施</v>
      </c>
      <c r="R19" s="767" t="s">
        <v>17</v>
      </c>
      <c r="S19" s="768">
        <f>F19</f>
        <v>100</v>
      </c>
      <c r="T19" s="767" t="s">
        <v>17</v>
      </c>
      <c r="U19" s="768">
        <f>H19</f>
        <v>100</v>
      </c>
      <c r="V19" s="767" t="s">
        <v>17</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6"/>
      <c r="F20" s="442"/>
      <c r="G20" s="2595"/>
      <c r="H20" s="441"/>
      <c r="I20" s="2596"/>
      <c r="J20" s="441"/>
      <c r="K20" s="608"/>
      <c r="L20" s="1133"/>
      <c r="M20" s="1124"/>
      <c r="N20" s="1124"/>
      <c r="O20" s="1132"/>
      <c r="P20" s="3209"/>
      <c r="Q20" s="1802"/>
      <c r="R20" s="767"/>
      <c r="S20" s="768"/>
      <c r="T20" s="767"/>
      <c r="U20" s="768"/>
      <c r="V20" s="767"/>
      <c r="W20" s="768"/>
      <c r="X20" s="1805"/>
      <c r="Y20" s="3209"/>
      <c r="Z20" s="1806"/>
      <c r="AA20" s="1803">
        <v>1</v>
      </c>
      <c r="AB20" s="1803">
        <v>1</v>
      </c>
      <c r="AC20" s="1803">
        <v>1</v>
      </c>
    </row>
    <row r="21" spans="1:29" ht="28.5">
      <c r="A21" s="421"/>
      <c r="B21" s="1377" t="s">
        <v>2689</v>
      </c>
      <c r="C21" s="2598"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09"/>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2"/>
      <c r="G22" s="440"/>
      <c r="H22" s="441"/>
      <c r="I22" s="440"/>
      <c r="J22" s="441"/>
      <c r="K22" s="1376"/>
      <c r="L22" s="1133"/>
      <c r="M22" s="1124"/>
      <c r="N22" s="1124"/>
      <c r="O22" s="1132"/>
      <c r="P22" s="3209"/>
      <c r="Q22" s="1802"/>
      <c r="R22" s="767"/>
      <c r="S22" s="768"/>
      <c r="T22" s="767"/>
      <c r="U22" s="768"/>
      <c r="V22" s="767"/>
      <c r="W22" s="768"/>
      <c r="X22" s="1805"/>
      <c r="Y22" s="3209"/>
      <c r="Z22" s="1806"/>
      <c r="AA22" s="1803">
        <v>1</v>
      </c>
      <c r="AB22" s="1803">
        <v>1</v>
      </c>
      <c r="AC22" s="1803">
        <v>1</v>
      </c>
    </row>
    <row r="23" spans="1:29" ht="71.25">
      <c r="A23" s="421"/>
      <c r="B23" s="444" t="s">
        <v>2690</v>
      </c>
      <c r="C23" s="2598"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09"/>
      <c r="Q23" s="1802" t="str">
        <f>B23</f>
        <v>环境质量</v>
      </c>
      <c r="R23" s="767" t="s">
        <v>17</v>
      </c>
      <c r="S23" s="768">
        <f>F23</f>
        <v>100</v>
      </c>
      <c r="T23" s="767" t="s">
        <v>17</v>
      </c>
      <c r="U23" s="768">
        <f>H23</f>
        <v>100</v>
      </c>
      <c r="V23" s="767" t="s">
        <v>17</v>
      </c>
      <c r="W23" s="768">
        <f>J23</f>
        <v>100</v>
      </c>
      <c r="X23" s="1805"/>
      <c r="Y23" s="3209"/>
      <c r="Z23" s="1806" t="str">
        <f>Q23</f>
        <v>环境质量</v>
      </c>
      <c r="AA23" s="1803">
        <f t="shared" si="3"/>
        <v>1</v>
      </c>
      <c r="AB23" s="1803">
        <f t="shared" si="4"/>
        <v>1</v>
      </c>
      <c r="AC23" s="1803">
        <f t="shared" si="5"/>
        <v>1</v>
      </c>
    </row>
    <row r="24" spans="1:29" ht="15">
      <c r="A24" s="421"/>
      <c r="B24" s="1377"/>
      <c r="C24" s="440"/>
      <c r="D24" s="441"/>
      <c r="E24" s="2596"/>
      <c r="F24" s="442"/>
      <c r="G24" s="2595"/>
      <c r="H24" s="441"/>
      <c r="I24" s="2596"/>
      <c r="J24" s="441"/>
      <c r="K24" s="608"/>
      <c r="L24" s="1133"/>
      <c r="M24" s="1124"/>
      <c r="N24" s="1124"/>
      <c r="O24" s="1132"/>
      <c r="P24" s="3209"/>
      <c r="Q24" s="1802"/>
      <c r="R24" s="767"/>
      <c r="S24" s="768"/>
      <c r="T24" s="767"/>
      <c r="U24" s="768"/>
      <c r="V24" s="767"/>
      <c r="W24" s="768"/>
      <c r="X24" s="1805"/>
      <c r="Y24" s="3209"/>
      <c r="Z24" s="1806"/>
      <c r="AA24" s="1803">
        <v>1</v>
      </c>
      <c r="AB24" s="1803">
        <v>1</v>
      </c>
      <c r="AC24" s="1803">
        <v>1</v>
      </c>
    </row>
    <row r="25" spans="1:29" ht="15">
      <c r="A25" s="397"/>
      <c r="B25" s="1379">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09"/>
      <c r="Q25" s="1802">
        <f>B25</f>
        <v>111</v>
      </c>
      <c r="R25" s="767" t="s">
        <v>17</v>
      </c>
      <c r="S25" s="768">
        <f>F25</f>
        <v>100</v>
      </c>
      <c r="T25" s="767" t="s">
        <v>17</v>
      </c>
      <c r="U25" s="768">
        <f>H25</f>
        <v>100</v>
      </c>
      <c r="V25" s="767" t="s">
        <v>17</v>
      </c>
      <c r="W25" s="768">
        <f>J25</f>
        <v>100</v>
      </c>
      <c r="X25" s="1805"/>
      <c r="Y25" s="3209"/>
      <c r="Z25" s="1806">
        <f>Q25</f>
        <v>111</v>
      </c>
      <c r="AA25" s="1803">
        <f t="shared" si="3"/>
        <v>1</v>
      </c>
      <c r="AB25" s="1803">
        <f t="shared" si="4"/>
        <v>1</v>
      </c>
      <c r="AC25" s="1803">
        <f t="shared" si="5"/>
        <v>1</v>
      </c>
    </row>
    <row r="26" spans="1:29" ht="15">
      <c r="A26" s="421"/>
      <c r="B26" s="1379">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09"/>
      <c r="Q26" s="1802">
        <f t="shared" ref="Q26:Q40" si="11">B26</f>
        <v>111</v>
      </c>
      <c r="R26" s="767" t="s">
        <v>17</v>
      </c>
      <c r="S26" s="768">
        <f>F26</f>
        <v>100</v>
      </c>
      <c r="T26" s="767" t="s">
        <v>17</v>
      </c>
      <c r="U26" s="768">
        <f>H26</f>
        <v>100</v>
      </c>
      <c r="V26" s="767" t="s">
        <v>17</v>
      </c>
      <c r="W26" s="768">
        <f>J26</f>
        <v>100</v>
      </c>
      <c r="X26" s="1805"/>
      <c r="Y26" s="3209"/>
      <c r="Z26" s="1806">
        <f>Q26</f>
        <v>111</v>
      </c>
      <c r="AA26" s="1803">
        <f t="shared" si="3"/>
        <v>1</v>
      </c>
      <c r="AB26" s="1803">
        <f t="shared" si="4"/>
        <v>1</v>
      </c>
      <c r="AC26" s="1803">
        <f t="shared" si="5"/>
        <v>1</v>
      </c>
    </row>
    <row r="27" spans="1:29" s="111" customFormat="1" ht="15">
      <c r="A27" s="424"/>
      <c r="B27" s="1379">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09"/>
      <c r="Q27" s="1787">
        <f t="shared" si="11"/>
        <v>111</v>
      </c>
      <c r="R27" s="763" t="s">
        <v>17</v>
      </c>
      <c r="S27" s="764">
        <f>F27</f>
        <v>100</v>
      </c>
      <c r="T27" s="763" t="s">
        <v>17</v>
      </c>
      <c r="U27" s="764">
        <f>H27</f>
        <v>100</v>
      </c>
      <c r="V27" s="763" t="s">
        <v>17</v>
      </c>
      <c r="W27" s="764">
        <f>J27</f>
        <v>100</v>
      </c>
      <c r="X27" s="765"/>
      <c r="Y27" s="3209"/>
      <c r="Z27" s="55">
        <f>Q27</f>
        <v>111</v>
      </c>
      <c r="AA27" s="1803">
        <f>D27/F27</f>
        <v>1</v>
      </c>
      <c r="AB27" s="1803">
        <f>D27/H27</f>
        <v>1</v>
      </c>
      <c r="AC27" s="1803">
        <f>D27/J27</f>
        <v>1</v>
      </c>
    </row>
    <row r="28" spans="1:29" ht="15.75" thickBot="1">
      <c r="A28" s="429"/>
      <c r="B28" s="1379">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09"/>
      <c r="Q28" s="1802">
        <f t="shared" si="11"/>
        <v>111</v>
      </c>
      <c r="R28" s="767" t="s">
        <v>17</v>
      </c>
      <c r="S28" s="768">
        <f t="shared" ref="S28:S40" si="12">F28</f>
        <v>100</v>
      </c>
      <c r="T28" s="767" t="s">
        <v>17</v>
      </c>
      <c r="U28" s="768">
        <f t="shared" ref="U28:U40" si="13">H28</f>
        <v>100</v>
      </c>
      <c r="V28" s="767" t="s">
        <v>17</v>
      </c>
      <c r="W28" s="768">
        <f t="shared" ref="W28:W40" si="14">J28</f>
        <v>100</v>
      </c>
      <c r="X28" s="1805"/>
      <c r="Y28" s="3209"/>
      <c r="Z28" s="1806">
        <f t="shared" ref="Z28:Z40" si="15">Q28</f>
        <v>111</v>
      </c>
      <c r="AA28" s="1803">
        <f t="shared" si="3"/>
        <v>1</v>
      </c>
      <c r="AB28" s="1803">
        <f t="shared" si="4"/>
        <v>1</v>
      </c>
      <c r="AC28" s="1803">
        <f t="shared" si="5"/>
        <v>1</v>
      </c>
    </row>
    <row r="29" spans="1:29" ht="15">
      <c r="A29" s="459" t="s">
        <v>2563</v>
      </c>
      <c r="B29" s="69" t="s">
        <v>2693</v>
      </c>
      <c r="C29" s="2670"/>
      <c r="D29" s="460">
        <v>100</v>
      </c>
      <c r="E29" s="2670"/>
      <c r="F29" s="454">
        <f>SUMIF(88:88,E29,89:89)-SUMIF(88:88,C29,89:89)+100</f>
        <v>100</v>
      </c>
      <c r="G29" s="2670"/>
      <c r="H29" s="428">
        <f>SUMIF(88:88,G29,89:89)-SUMIF(88:88,C29,89:89)+100</f>
        <v>100</v>
      </c>
      <c r="I29" s="2670"/>
      <c r="J29" s="460">
        <f>SUMIF(88:88,I29,89:89)-SUMIF(88:88,C29,89:89)+100</f>
        <v>100</v>
      </c>
      <c r="K29" s="605"/>
      <c r="L29" s="1133"/>
      <c r="M29" s="1124"/>
      <c r="N29" s="1124"/>
      <c r="O29" s="1132"/>
      <c r="P29" s="3210" t="s">
        <v>2565</v>
      </c>
      <c r="Q29" s="1802" t="str">
        <f t="shared" si="11"/>
        <v>建筑类型</v>
      </c>
      <c r="R29" s="767" t="s">
        <v>17</v>
      </c>
      <c r="S29" s="768">
        <f t="shared" si="12"/>
        <v>100</v>
      </c>
      <c r="T29" s="767" t="s">
        <v>17</v>
      </c>
      <c r="U29" s="768">
        <f t="shared" si="13"/>
        <v>100</v>
      </c>
      <c r="V29" s="767" t="s">
        <v>17</v>
      </c>
      <c r="W29" s="768">
        <f t="shared" si="14"/>
        <v>100</v>
      </c>
      <c r="X29" s="1805"/>
      <c r="Y29" s="3211" t="s">
        <v>2565</v>
      </c>
      <c r="Z29" s="1806" t="str">
        <f t="shared" si="15"/>
        <v>建筑类型</v>
      </c>
      <c r="AA29" s="1803">
        <f t="shared" si="3"/>
        <v>1</v>
      </c>
      <c r="AB29" s="1803">
        <f t="shared" si="4"/>
        <v>1</v>
      </c>
      <c r="AC29" s="1803">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11"/>
      <c r="Q30" s="769" t="str">
        <f t="shared" si="11"/>
        <v>项目建筑规模</v>
      </c>
      <c r="R30" s="770" t="s">
        <v>17</v>
      </c>
      <c r="S30" s="771" t="e">
        <f t="shared" si="12"/>
        <v>#N/A</v>
      </c>
      <c r="T30" s="770" t="s">
        <v>17</v>
      </c>
      <c r="U30" s="771" t="e">
        <f t="shared" si="13"/>
        <v>#N/A</v>
      </c>
      <c r="V30" s="770" t="s">
        <v>17</v>
      </c>
      <c r="W30" s="771" t="e">
        <f t="shared" si="14"/>
        <v>#N/A</v>
      </c>
      <c r="X30" s="772"/>
      <c r="Y30" s="3211"/>
      <c r="Z30" s="773" t="str">
        <f t="shared" si="15"/>
        <v>项目建筑规模</v>
      </c>
      <c r="AA30" s="1803" t="e">
        <f t="shared" si="3"/>
        <v>#N/A</v>
      </c>
      <c r="AB30" s="1803" t="e">
        <f t="shared" si="4"/>
        <v>#N/A</v>
      </c>
      <c r="AC30" s="1803"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11"/>
      <c r="Q31" s="1802" t="str">
        <f t="shared" si="11"/>
        <v>建筑结构</v>
      </c>
      <c r="R31" s="767" t="s">
        <v>17</v>
      </c>
      <c r="S31" s="768">
        <f t="shared" si="12"/>
        <v>100</v>
      </c>
      <c r="T31" s="767" t="s">
        <v>17</v>
      </c>
      <c r="U31" s="768">
        <f t="shared" si="13"/>
        <v>100</v>
      </c>
      <c r="V31" s="767" t="s">
        <v>17</v>
      </c>
      <c r="W31" s="768">
        <f t="shared" si="14"/>
        <v>100</v>
      </c>
      <c r="X31" s="1805"/>
      <c r="Y31" s="3211"/>
      <c r="Z31" s="1806" t="str">
        <f t="shared" si="15"/>
        <v>建筑结构</v>
      </c>
      <c r="AA31" s="1803">
        <f t="shared" si="3"/>
        <v>1</v>
      </c>
      <c r="AB31" s="1803">
        <f t="shared" si="4"/>
        <v>1</v>
      </c>
      <c r="AC31" s="1803">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11"/>
      <c r="Q32" s="1802" t="str">
        <f t="shared" si="11"/>
        <v>公共部分装修</v>
      </c>
      <c r="R32" s="767" t="s">
        <v>17</v>
      </c>
      <c r="S32" s="768">
        <f t="shared" si="12"/>
        <v>100</v>
      </c>
      <c r="T32" s="767" t="s">
        <v>17</v>
      </c>
      <c r="U32" s="768">
        <f t="shared" si="13"/>
        <v>100</v>
      </c>
      <c r="V32" s="767" t="s">
        <v>17</v>
      </c>
      <c r="W32" s="768">
        <f t="shared" si="14"/>
        <v>100</v>
      </c>
      <c r="X32" s="1805"/>
      <c r="Y32" s="3211"/>
      <c r="Z32" s="1806" t="str">
        <f t="shared" si="15"/>
        <v>公共部分装修</v>
      </c>
      <c r="AA32" s="1803">
        <f t="shared" si="3"/>
        <v>1</v>
      </c>
      <c r="AB32" s="1803">
        <f t="shared" si="4"/>
        <v>1</v>
      </c>
      <c r="AC32" s="1803">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11"/>
      <c r="Q33" s="1802" t="str">
        <f t="shared" si="11"/>
        <v>成新度</v>
      </c>
      <c r="R33" s="767" t="s">
        <v>17</v>
      </c>
      <c r="S33" s="768" t="e">
        <f t="shared" si="12"/>
        <v>#N/A</v>
      </c>
      <c r="T33" s="767" t="s">
        <v>17</v>
      </c>
      <c r="U33" s="768" t="e">
        <f t="shared" si="13"/>
        <v>#N/A</v>
      </c>
      <c r="V33" s="767" t="s">
        <v>17</v>
      </c>
      <c r="W33" s="768" t="e">
        <f t="shared" si="14"/>
        <v>#N/A</v>
      </c>
      <c r="X33" s="1805"/>
      <c r="Y33" s="3211"/>
      <c r="Z33" s="1806" t="str">
        <f t="shared" si="15"/>
        <v>成新度</v>
      </c>
      <c r="AA33" s="1803" t="e">
        <f t="shared" si="3"/>
        <v>#N/A</v>
      </c>
      <c r="AB33" s="1803" t="e">
        <f t="shared" si="4"/>
        <v>#N/A</v>
      </c>
      <c r="AC33" s="1803"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11"/>
      <c r="Q34" s="1787" t="str">
        <f t="shared" si="11"/>
        <v>物业管理</v>
      </c>
      <c r="R34" s="763" t="s">
        <v>17</v>
      </c>
      <c r="S34" s="764">
        <f t="shared" si="12"/>
        <v>100</v>
      </c>
      <c r="T34" s="763" t="s">
        <v>17</v>
      </c>
      <c r="U34" s="764">
        <f t="shared" si="13"/>
        <v>100</v>
      </c>
      <c r="V34" s="763" t="s">
        <v>17</v>
      </c>
      <c r="W34" s="764">
        <f t="shared" si="14"/>
        <v>100</v>
      </c>
      <c r="X34" s="765"/>
      <c r="Y34" s="3211"/>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11" t="s">
        <v>2565</v>
      </c>
      <c r="Q35" s="1802" t="str">
        <f t="shared" si="11"/>
        <v>市政基础设施</v>
      </c>
      <c r="R35" s="767" t="s">
        <v>17</v>
      </c>
      <c r="S35" s="768">
        <f t="shared" si="12"/>
        <v>100</v>
      </c>
      <c r="T35" s="767" t="s">
        <v>17</v>
      </c>
      <c r="U35" s="768">
        <f t="shared" si="13"/>
        <v>100</v>
      </c>
      <c r="V35" s="767" t="s">
        <v>17</v>
      </c>
      <c r="W35" s="768">
        <f t="shared" si="14"/>
        <v>100</v>
      </c>
      <c r="X35" s="1805"/>
      <c r="Y35" s="3211" t="s">
        <v>2565</v>
      </c>
      <c r="Z35" s="1806" t="str">
        <f t="shared" si="15"/>
        <v>市政基础设施</v>
      </c>
      <c r="AA35" s="1803">
        <f t="shared" si="3"/>
        <v>1</v>
      </c>
      <c r="AB35" s="1803">
        <f t="shared" si="4"/>
        <v>1</v>
      </c>
      <c r="AC35" s="1803">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11"/>
      <c r="Q36" s="1802" t="str">
        <f t="shared" si="11"/>
        <v>内部装修</v>
      </c>
      <c r="R36" s="767" t="s">
        <v>17</v>
      </c>
      <c r="S36" s="768">
        <f t="shared" si="12"/>
        <v>100</v>
      </c>
      <c r="T36" s="767" t="s">
        <v>17</v>
      </c>
      <c r="U36" s="768">
        <f t="shared" si="13"/>
        <v>100</v>
      </c>
      <c r="V36" s="767" t="s">
        <v>17</v>
      </c>
      <c r="W36" s="768">
        <f t="shared" si="14"/>
        <v>100</v>
      </c>
      <c r="X36" s="1805"/>
      <c r="Y36" s="3211"/>
      <c r="Z36" s="1806" t="str">
        <f t="shared" si="15"/>
        <v>内部装修</v>
      </c>
      <c r="AA36" s="1803">
        <f t="shared" si="3"/>
        <v>1</v>
      </c>
      <c r="AB36" s="1803">
        <f t="shared" si="4"/>
        <v>1</v>
      </c>
      <c r="AC36" s="1803">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11"/>
      <c r="Q37" s="1802" t="str">
        <f t="shared" si="11"/>
        <v>内部装修状况</v>
      </c>
      <c r="R37" s="767" t="s">
        <v>17</v>
      </c>
      <c r="S37" s="768">
        <f t="shared" si="12"/>
        <v>100</v>
      </c>
      <c r="T37" s="767" t="s">
        <v>17</v>
      </c>
      <c r="U37" s="768">
        <f t="shared" si="13"/>
        <v>100</v>
      </c>
      <c r="V37" s="767" t="s">
        <v>17</v>
      </c>
      <c r="W37" s="768">
        <f t="shared" si="14"/>
        <v>100</v>
      </c>
      <c r="X37" s="1805"/>
      <c r="Y37" s="3211"/>
      <c r="Z37" s="1806" t="str">
        <f t="shared" si="15"/>
        <v>内部装修状况</v>
      </c>
      <c r="AA37" s="1803">
        <f t="shared" si="3"/>
        <v>1</v>
      </c>
      <c r="AB37" s="1803">
        <f t="shared" si="4"/>
        <v>1</v>
      </c>
      <c r="AC37" s="1803">
        <f t="shared" si="5"/>
        <v>1</v>
      </c>
    </row>
    <row r="38" spans="1:29" s="464" customFormat="1" ht="15">
      <c r="A38" s="461"/>
      <c r="B38" s="1379">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11"/>
      <c r="Q38" s="769">
        <f t="shared" si="11"/>
        <v>111</v>
      </c>
      <c r="R38" s="770" t="s">
        <v>17</v>
      </c>
      <c r="S38" s="771">
        <f t="shared" si="12"/>
        <v>100</v>
      </c>
      <c r="T38" s="770" t="s">
        <v>17</v>
      </c>
      <c r="U38" s="771">
        <f t="shared" si="13"/>
        <v>100</v>
      </c>
      <c r="V38" s="770" t="s">
        <v>17</v>
      </c>
      <c r="W38" s="771">
        <f t="shared" si="14"/>
        <v>100</v>
      </c>
      <c r="X38" s="772"/>
      <c r="Y38" s="3211"/>
      <c r="Z38" s="773">
        <f t="shared" si="15"/>
        <v>111</v>
      </c>
      <c r="AA38" s="1803">
        <f t="shared" si="3"/>
        <v>1</v>
      </c>
      <c r="AB38" s="1803">
        <f t="shared" si="4"/>
        <v>1</v>
      </c>
      <c r="AC38" s="1803">
        <f t="shared" si="5"/>
        <v>1</v>
      </c>
    </row>
    <row r="39" spans="1:29" ht="15">
      <c r="A39" s="465"/>
      <c r="B39" s="1379">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11"/>
      <c r="Q39" s="1802">
        <f t="shared" si="11"/>
        <v>111</v>
      </c>
      <c r="R39" s="767" t="s">
        <v>17</v>
      </c>
      <c r="S39" s="768">
        <f t="shared" si="12"/>
        <v>100</v>
      </c>
      <c r="T39" s="767" t="s">
        <v>17</v>
      </c>
      <c r="U39" s="768">
        <f t="shared" si="13"/>
        <v>100</v>
      </c>
      <c r="V39" s="767" t="s">
        <v>17</v>
      </c>
      <c r="W39" s="768">
        <f t="shared" si="14"/>
        <v>100</v>
      </c>
      <c r="X39" s="1805"/>
      <c r="Y39" s="3211"/>
      <c r="Z39" s="1806">
        <f t="shared" si="15"/>
        <v>111</v>
      </c>
      <c r="AA39" s="1803">
        <f t="shared" si="3"/>
        <v>1</v>
      </c>
      <c r="AB39" s="1803">
        <f t="shared" si="4"/>
        <v>1</v>
      </c>
      <c r="AC39" s="1803">
        <f t="shared" si="5"/>
        <v>1</v>
      </c>
    </row>
    <row r="40" spans="1:29" ht="15.75" thickBot="1">
      <c r="A40" s="471"/>
      <c r="B40" s="2593">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51"/>
      <c r="Q40" s="1802">
        <f t="shared" si="11"/>
        <v>111</v>
      </c>
      <c r="R40" s="767" t="s">
        <v>17</v>
      </c>
      <c r="S40" s="768">
        <f t="shared" si="12"/>
        <v>100</v>
      </c>
      <c r="T40" s="767" t="s">
        <v>17</v>
      </c>
      <c r="U40" s="768">
        <f t="shared" si="13"/>
        <v>100</v>
      </c>
      <c r="V40" s="767" t="s">
        <v>17</v>
      </c>
      <c r="W40" s="768">
        <f t="shared" si="14"/>
        <v>100</v>
      </c>
      <c r="X40" s="1805"/>
      <c r="Y40" s="3251"/>
      <c r="Z40" s="1806">
        <f t="shared" si="15"/>
        <v>111</v>
      </c>
      <c r="AA40" s="1803">
        <f t="shared" si="3"/>
        <v>1</v>
      </c>
      <c r="AB40" s="1803">
        <f t="shared" si="4"/>
        <v>1</v>
      </c>
      <c r="AC40" s="1803">
        <f t="shared" si="5"/>
        <v>1</v>
      </c>
    </row>
    <row r="41" spans="1:29" ht="15">
      <c r="A41" s="472" t="s">
        <v>2577</v>
      </c>
      <c r="B41" s="473"/>
      <c r="C41" s="1400" t="s">
        <v>1</v>
      </c>
      <c r="D41" s="1401"/>
      <c r="E41" s="1402"/>
      <c r="F41" s="1403"/>
      <c r="G41" s="1404"/>
      <c r="H41" s="1405"/>
      <c r="I41" s="1402"/>
      <c r="J41" s="1405"/>
      <c r="K41" s="776"/>
      <c r="L41" s="1136"/>
      <c r="M41" s="1137"/>
      <c r="N41" s="1124"/>
      <c r="O41" s="1137"/>
      <c r="P41" s="3206" t="str">
        <f>A41</f>
        <v>成交单价（元/平方米）</v>
      </c>
      <c r="Q41" s="3206"/>
      <c r="R41" s="3242">
        <f>E41</f>
        <v>0</v>
      </c>
      <c r="S41" s="3242"/>
      <c r="T41" s="3242">
        <f>G41</f>
        <v>0</v>
      </c>
      <c r="U41" s="3242"/>
      <c r="V41" s="3242">
        <f>I41</f>
        <v>0</v>
      </c>
      <c r="W41" s="3242"/>
      <c r="X41" s="752"/>
      <c r="Y41" s="774"/>
      <c r="Z41" s="752"/>
      <c r="AA41" s="752"/>
      <c r="AB41" s="752"/>
      <c r="AC41" s="752"/>
    </row>
    <row r="42" spans="1:29" ht="15.75" thickBot="1">
      <c r="A42" s="479" t="s">
        <v>2669</v>
      </c>
      <c r="B42" s="480"/>
      <c r="C42" s="1406" t="e">
        <f>R43</f>
        <v>#DIV/0!</v>
      </c>
      <c r="D42" s="1407"/>
      <c r="E42" s="1408" t="e">
        <f>R42</f>
        <v>#DIV/0!</v>
      </c>
      <c r="F42" s="1408"/>
      <c r="G42" s="1406" t="e">
        <f>T42</f>
        <v>#DIV/0!</v>
      </c>
      <c r="H42" s="1407"/>
      <c r="I42" s="1408" t="e">
        <f>V42</f>
        <v>#DIV/0!</v>
      </c>
      <c r="J42" s="1407"/>
      <c r="K42" s="777"/>
      <c r="L42" s="1136"/>
      <c r="M42" s="1137"/>
      <c r="N42" s="1124"/>
      <c r="O42" s="1137"/>
      <c r="P42" s="3206" t="str">
        <f>A42</f>
        <v>比较价值（元/平方米）</v>
      </c>
      <c r="Q42" s="3206"/>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2"/>
      <c r="Y42" s="752"/>
      <c r="Z42" s="752"/>
      <c r="AA42" s="752"/>
      <c r="AB42" s="752"/>
      <c r="AC42" s="752"/>
    </row>
    <row r="43" spans="1:29" ht="15.75" thickBot="1">
      <c r="A43" s="485" t="s">
        <v>2670</v>
      </c>
      <c r="B43" s="486"/>
      <c r="C43" s="1410" t="e">
        <f>R43</f>
        <v>#DIV/0!</v>
      </c>
      <c r="D43" s="1410"/>
      <c r="E43" s="1410"/>
      <c r="F43" s="1410"/>
      <c r="G43" s="1410"/>
      <c r="H43" s="1410"/>
      <c r="I43" s="1410"/>
      <c r="J43" s="1410"/>
      <c r="K43" s="778"/>
      <c r="L43" s="1136"/>
      <c r="M43" s="1137"/>
      <c r="N43" s="1137"/>
      <c r="O43" s="1137"/>
      <c r="P43" s="3200" t="str">
        <f>A43</f>
        <v>估价对象XX用房的比较价值（楼面单价，元/平方米）</v>
      </c>
      <c r="Q43" s="3201"/>
      <c r="R43" s="3266" t="e">
        <f>IF(F1="售价",ROUND(AVERAGE(R42:V42),0),ROUND(AVERAGE(R42:V42),1))</f>
        <v>#DIV/0!</v>
      </c>
      <c r="S43" s="3266"/>
      <c r="T43" s="3266"/>
      <c r="U43" s="3266"/>
      <c r="V43" s="3266"/>
      <c r="W43" s="3266"/>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6" t="str">
        <f>YEAR(C7)&amp;"-"&amp;MONTH(C7)</f>
        <v>2018-3</v>
      </c>
      <c r="D52" s="1567">
        <f>EDATE(C52,-1)</f>
        <v>43132</v>
      </c>
      <c r="E52" s="1567">
        <f t="shared" ref="E52:O52" si="16">EDATE(D52,-1)</f>
        <v>43101</v>
      </c>
      <c r="F52" s="1567">
        <f t="shared" si="16"/>
        <v>43070</v>
      </c>
      <c r="G52" s="1567">
        <f t="shared" si="16"/>
        <v>43040</v>
      </c>
      <c r="H52" s="1567">
        <f t="shared" si="16"/>
        <v>43009</v>
      </c>
      <c r="I52" s="1567">
        <f t="shared" si="16"/>
        <v>42979</v>
      </c>
      <c r="J52" s="1567">
        <f t="shared" si="16"/>
        <v>42948</v>
      </c>
      <c r="K52" s="1567">
        <f t="shared" si="16"/>
        <v>42917</v>
      </c>
      <c r="L52" s="1567">
        <f t="shared" si="16"/>
        <v>42887</v>
      </c>
      <c r="M52" s="1567">
        <f t="shared" si="16"/>
        <v>42856</v>
      </c>
      <c r="N52" s="1567">
        <f t="shared" si="16"/>
        <v>42826</v>
      </c>
      <c r="O52" s="1567">
        <f t="shared" si="16"/>
        <v>42795</v>
      </c>
      <c r="P52" s="500"/>
    </row>
    <row r="53" spans="1:17" s="111" customFormat="1" ht="15">
      <c r="A53" s="502"/>
      <c r="B53" s="503"/>
      <c r="C53" s="1565">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5"/>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7"/>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7"/>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t="s">
        <v>3472</v>
      </c>
      <c r="C1" s="1612" t="s">
        <v>2530</v>
      </c>
      <c r="D1" s="1613" t="s">
        <v>48</v>
      </c>
      <c r="E1" s="1614"/>
      <c r="F1" s="2575" t="s">
        <v>3546</v>
      </c>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1" customFormat="1" ht="28.5" customHeight="1" thickTop="1">
      <c r="A2" s="1609" t="s">
        <v>2330</v>
      </c>
      <c r="B2" s="1411" t="e">
        <f>IF(C2="——",IF(B37="元/平方米",ROUND(C39*D3/10000,0),ROUND(F3*C39/10000,0)),IF(B37="元/平方米",ROUND(C39*D3/10000,0),ROUND(F3*C39/10000,0))-D2)</f>
        <v>#DIV/0!</v>
      </c>
      <c r="C2" s="2577" t="s">
        <v>70</v>
      </c>
      <c r="D2" s="1117" t="e">
        <f ca="1">SUMIF(INDIRECT("'"&amp;F2&amp;"'"&amp;"!A:A"),"承租人权益价值",INDIRECT("'"&amp;F2&amp;"'"&amp;"!c:c"))</f>
        <v>#REF!</v>
      </c>
      <c r="E2" s="2578" t="s">
        <v>2331</v>
      </c>
      <c r="F2" s="2579"/>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62" t="s">
        <v>3520</v>
      </c>
      <c r="F5" s="3234"/>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2935" t="s">
        <v>3602</v>
      </c>
      <c r="F8" s="406">
        <f>SUMIF(51:51,E8,52:52)-SUMIF(51:51,C8,52:52)+100</f>
        <v>100</v>
      </c>
      <c r="G8" s="407"/>
      <c r="H8" s="404">
        <f>SUMIF(51:51,G8,52:52)-SUMIF(51:51,C8,52:52)+100</f>
        <v>0</v>
      </c>
      <c r="I8" s="407"/>
      <c r="J8" s="404">
        <f>SUMIF(51:51,I8,52:52)-SUMIF(51:51,C8,52:52)+100</f>
        <v>0</v>
      </c>
      <c r="K8" s="604"/>
      <c r="L8" s="1125"/>
      <c r="M8" s="1126"/>
      <c r="N8" s="1126"/>
      <c r="O8" s="1126"/>
      <c r="P8" s="3235" t="s">
        <v>2552</v>
      </c>
      <c r="Q8" s="3236"/>
      <c r="R8" s="763" t="s">
        <v>17</v>
      </c>
      <c r="S8" s="764">
        <f t="shared" si="0"/>
        <v>100</v>
      </c>
      <c r="T8" s="763" t="s">
        <v>17</v>
      </c>
      <c r="U8" s="764">
        <f t="shared" si="1"/>
        <v>0</v>
      </c>
      <c r="V8" s="763" t="s">
        <v>17</v>
      </c>
      <c r="W8" s="764">
        <f t="shared" si="2"/>
        <v>0</v>
      </c>
      <c r="X8" s="765"/>
      <c r="Y8" s="3235" t="s">
        <v>2552</v>
      </c>
      <c r="Z8" s="3236"/>
      <c r="AA8" s="766">
        <f t="shared" ref="AA8:AA36" si="3">D8/F8</f>
        <v>1</v>
      </c>
      <c r="AB8" s="766" t="e">
        <f t="shared" ref="AB8:AB36" si="4">D8/H8</f>
        <v>#DIV/0!</v>
      </c>
      <c r="AC8" s="766" t="e">
        <f t="shared" ref="AC8:AC36" si="5">D8/J8</f>
        <v>#DIV/0!</v>
      </c>
    </row>
    <row r="9" spans="1:29" s="111" customFormat="1">
      <c r="A9" s="66" t="s">
        <v>2553</v>
      </c>
      <c r="B9" s="633" t="s">
        <v>2554</v>
      </c>
      <c r="C9" s="2976" t="s">
        <v>3603</v>
      </c>
      <c r="D9" s="128">
        <v>100</v>
      </c>
      <c r="E9" s="2979" t="s">
        <v>3603</v>
      </c>
      <c r="F9" s="128">
        <f>SUMIF(53:53,E9,54:54)-SUMIF(53:53,C9,54:54)+100</f>
        <v>100</v>
      </c>
      <c r="G9" s="410"/>
      <c r="H9" s="128">
        <f>SUMIF(53:53,G9,54:54)-SUMIF(53:53,C9,54:54)+100</f>
        <v>0</v>
      </c>
      <c r="I9" s="410"/>
      <c r="J9" s="128">
        <f>SUMIF(53:53,I9,54:54)-SUMIF(53:53,C9,54:54)+100</f>
        <v>0</v>
      </c>
      <c r="K9" s="604"/>
      <c r="L9" s="1125"/>
      <c r="M9" s="1126"/>
      <c r="N9" s="1126"/>
      <c r="O9" s="1126"/>
      <c r="P9" s="3206" t="s">
        <v>2555</v>
      </c>
      <c r="Q9" s="1787" t="str">
        <f t="shared" ref="Q9:Q14" si="6">B9</f>
        <v>用途</v>
      </c>
      <c r="R9" s="763" t="s">
        <v>17</v>
      </c>
      <c r="S9" s="764">
        <f t="shared" si="0"/>
        <v>100</v>
      </c>
      <c r="T9" s="763" t="s">
        <v>17</v>
      </c>
      <c r="U9" s="764">
        <f t="shared" si="1"/>
        <v>0</v>
      </c>
      <c r="V9" s="763" t="s">
        <v>17</v>
      </c>
      <c r="W9" s="764">
        <f t="shared" si="2"/>
        <v>0</v>
      </c>
      <c r="X9" s="765"/>
      <c r="Y9" s="3053" t="s">
        <v>2556</v>
      </c>
      <c r="Z9" s="55" t="str">
        <f t="shared" ref="Z9:Z14" si="7">Q9</f>
        <v>用途</v>
      </c>
      <c r="AA9" s="766">
        <f t="shared" si="3"/>
        <v>1</v>
      </c>
      <c r="AB9" s="766" t="e">
        <f t="shared" si="4"/>
        <v>#DIV/0!</v>
      </c>
      <c r="AC9" s="766" t="e">
        <f t="shared" si="5"/>
        <v>#DIV/0!</v>
      </c>
    </row>
    <row r="10" spans="1:29" s="420" customFormat="1" ht="27">
      <c r="A10" s="634"/>
      <c r="B10" s="635" t="s">
        <v>2557</v>
      </c>
      <c r="C10" s="416" t="s">
        <v>3497</v>
      </c>
      <c r="D10" s="129">
        <v>100</v>
      </c>
      <c r="E10" s="416" t="s">
        <v>3497</v>
      </c>
      <c r="F10" s="129">
        <f>SUMIF(55:55,E10,56:56)-SUMIF(55:55,C10,56:56)+100</f>
        <v>100</v>
      </c>
      <c r="G10" s="417"/>
      <c r="H10" s="129">
        <f>SUMIF(55:55,G10,56:56)-SUMIF(55:55,C10,56:56)+100</f>
        <v>0</v>
      </c>
      <c r="I10" s="416"/>
      <c r="J10" s="129">
        <f>SUMIF(55:55,I10,56:56)-SUMIF(55:55,C10,56:56)+100</f>
        <v>0</v>
      </c>
      <c r="K10" s="605"/>
      <c r="L10" s="1128"/>
      <c r="M10" s="1129"/>
      <c r="N10" s="1129"/>
      <c r="O10" s="1129"/>
      <c r="P10" s="3206"/>
      <c r="Q10" s="1787" t="str">
        <f t="shared" si="6"/>
        <v>土地使用年限（年）</v>
      </c>
      <c r="R10" s="763" t="s">
        <v>17</v>
      </c>
      <c r="S10" s="764">
        <f t="shared" si="0"/>
        <v>100</v>
      </c>
      <c r="T10" s="763" t="s">
        <v>17</v>
      </c>
      <c r="U10" s="764">
        <f t="shared" si="1"/>
        <v>0</v>
      </c>
      <c r="V10" s="763" t="s">
        <v>17</v>
      </c>
      <c r="W10" s="764">
        <f t="shared" si="2"/>
        <v>0</v>
      </c>
      <c r="X10" s="765"/>
      <c r="Y10" s="3053"/>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394" t="s">
        <v>2559</v>
      </c>
      <c r="B14" s="622"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08" t="s">
        <v>2560</v>
      </c>
      <c r="Q14" s="1802" t="str">
        <f t="shared" si="6"/>
        <v>交通便捷度</v>
      </c>
      <c r="R14" s="767" t="s">
        <v>17</v>
      </c>
      <c r="S14" s="768">
        <f t="shared" si="0"/>
        <v>100</v>
      </c>
      <c r="T14" s="767" t="s">
        <v>17</v>
      </c>
      <c r="U14" s="768">
        <f t="shared" si="1"/>
        <v>0</v>
      </c>
      <c r="V14" s="767" t="s">
        <v>17</v>
      </c>
      <c r="W14" s="768">
        <f t="shared" si="2"/>
        <v>0</v>
      </c>
      <c r="X14" s="1805"/>
      <c r="Y14" s="3208" t="s">
        <v>2560</v>
      </c>
      <c r="Z14" s="1806" t="str">
        <f t="shared" si="7"/>
        <v>交通便捷度</v>
      </c>
      <c r="AA14" s="1803">
        <f t="shared" si="3"/>
        <v>1</v>
      </c>
      <c r="AB14" s="1803" t="e">
        <f t="shared" si="4"/>
        <v>#DIV/0!</v>
      </c>
      <c r="AC14" s="1803" t="e">
        <f t="shared" si="5"/>
        <v>#DIV/0!</v>
      </c>
    </row>
    <row r="15" spans="1:29" ht="15">
      <c r="A15" s="397"/>
      <c r="B15" s="640"/>
      <c r="C15" s="440" t="s">
        <v>3155</v>
      </c>
      <c r="D15" s="441"/>
      <c r="E15" s="440" t="s">
        <v>3155</v>
      </c>
      <c r="F15" s="442"/>
      <c r="G15" s="440"/>
      <c r="H15" s="443"/>
      <c r="I15" s="440"/>
      <c r="J15" s="441"/>
      <c r="K15" s="608"/>
      <c r="L15" s="1133"/>
      <c r="M15" s="1124"/>
      <c r="N15" s="1124"/>
      <c r="O15" s="1124"/>
      <c r="P15" s="3209"/>
      <c r="Q15" s="1802"/>
      <c r="R15" s="767"/>
      <c r="S15" s="768"/>
      <c r="T15" s="767"/>
      <c r="U15" s="768"/>
      <c r="V15" s="767"/>
      <c r="W15" s="768"/>
      <c r="X15" s="1805"/>
      <c r="Y15" s="3209"/>
      <c r="Z15" s="1806"/>
      <c r="AA15" s="1803">
        <v>1</v>
      </c>
      <c r="AB15" s="1803">
        <v>1</v>
      </c>
      <c r="AC15" s="1803">
        <v>1</v>
      </c>
    </row>
    <row r="16" spans="1:29" ht="71.25">
      <c r="A16" s="397"/>
      <c r="B16" s="624" t="s">
        <v>2688</v>
      </c>
      <c r="C16" s="2598"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09"/>
      <c r="Q16" s="1802" t="str">
        <f>B16</f>
        <v>公共配套设施</v>
      </c>
      <c r="R16" s="767" t="s">
        <v>17</v>
      </c>
      <c r="S16" s="768">
        <f>F16</f>
        <v>100</v>
      </c>
      <c r="T16" s="767" t="s">
        <v>17</v>
      </c>
      <c r="U16" s="768">
        <f>H16</f>
        <v>0</v>
      </c>
      <c r="V16" s="767" t="s">
        <v>17</v>
      </c>
      <c r="W16" s="768">
        <f>J16</f>
        <v>0</v>
      </c>
      <c r="X16" s="1805"/>
      <c r="Y16" s="3209"/>
      <c r="Z16" s="1806" t="str">
        <f>Q16</f>
        <v>公共配套设施</v>
      </c>
      <c r="AA16" s="1803">
        <f t="shared" si="3"/>
        <v>1</v>
      </c>
      <c r="AB16" s="1803" t="e">
        <f t="shared" si="4"/>
        <v>#DIV/0!</v>
      </c>
      <c r="AC16" s="1803" t="e">
        <f t="shared" si="5"/>
        <v>#DIV/0!</v>
      </c>
    </row>
    <row r="17" spans="1:29" ht="15">
      <c r="A17" s="397"/>
      <c r="B17" s="625"/>
      <c r="C17" s="2599" t="s">
        <v>3155</v>
      </c>
      <c r="D17" s="441"/>
      <c r="E17" s="440" t="s">
        <v>3508</v>
      </c>
      <c r="F17" s="442"/>
      <c r="G17" s="440"/>
      <c r="H17" s="441"/>
      <c r="I17" s="440"/>
      <c r="J17" s="441"/>
      <c r="K17" s="608"/>
      <c r="L17" s="1133"/>
      <c r="M17" s="1124"/>
      <c r="N17" s="1124"/>
      <c r="O17" s="1124"/>
      <c r="P17" s="3209"/>
      <c r="Q17" s="1802"/>
      <c r="R17" s="767"/>
      <c r="S17" s="768"/>
      <c r="T17" s="767"/>
      <c r="U17" s="768"/>
      <c r="V17" s="767"/>
      <c r="W17" s="768"/>
      <c r="X17" s="1805"/>
      <c r="Y17" s="3209"/>
      <c r="Z17" s="1806"/>
      <c r="AA17" s="1803">
        <v>1</v>
      </c>
      <c r="AB17" s="1803">
        <v>1</v>
      </c>
      <c r="AC17" s="1803">
        <v>1</v>
      </c>
    </row>
    <row r="18" spans="1:29" ht="42.75">
      <c r="A18" s="397"/>
      <c r="B18" s="626" t="s">
        <v>2689</v>
      </c>
      <c r="C18" s="2598"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09"/>
      <c r="Q18" s="1802" t="str">
        <f>B18</f>
        <v>基础设施水平</v>
      </c>
      <c r="R18" s="767" t="s">
        <v>17</v>
      </c>
      <c r="S18" s="768">
        <f>F18</f>
        <v>100</v>
      </c>
      <c r="T18" s="767" t="s">
        <v>17</v>
      </c>
      <c r="U18" s="768">
        <f>H18</f>
        <v>0</v>
      </c>
      <c r="V18" s="767" t="s">
        <v>17</v>
      </c>
      <c r="W18" s="768">
        <f>J18</f>
        <v>0</v>
      </c>
      <c r="X18" s="1805"/>
      <c r="Y18" s="3209"/>
      <c r="Z18" s="1806" t="str">
        <f>Q18</f>
        <v>基础设施水平</v>
      </c>
      <c r="AA18" s="1803">
        <f t="shared" ref="AA18" si="8">D18/F18</f>
        <v>1</v>
      </c>
      <c r="AB18" s="1803" t="e">
        <f t="shared" ref="AB18" si="9">D18/H18</f>
        <v>#DIV/0!</v>
      </c>
      <c r="AC18" s="1803" t="e">
        <f t="shared" ref="AC18" si="10">D18/J18</f>
        <v>#DIV/0!</v>
      </c>
    </row>
    <row r="19" spans="1:29" ht="15">
      <c r="A19" s="397"/>
      <c r="B19" s="626"/>
      <c r="C19" s="2599" t="s">
        <v>3157</v>
      </c>
      <c r="D19" s="443"/>
      <c r="E19" s="2599" t="s">
        <v>3157</v>
      </c>
      <c r="F19" s="446"/>
      <c r="G19" s="2599"/>
      <c r="H19" s="441"/>
      <c r="I19" s="440"/>
      <c r="J19" s="441"/>
      <c r="K19" s="1376"/>
      <c r="L19" s="1133"/>
      <c r="M19" s="1124"/>
      <c r="N19" s="1124"/>
      <c r="O19" s="1124"/>
      <c r="P19" s="3209"/>
      <c r="Q19" s="1802"/>
      <c r="R19" s="767"/>
      <c r="S19" s="768"/>
      <c r="T19" s="767"/>
      <c r="U19" s="768"/>
      <c r="V19" s="767"/>
      <c r="W19" s="768"/>
      <c r="X19" s="1805"/>
      <c r="Y19" s="3209"/>
      <c r="Z19" s="1806"/>
      <c r="AA19" s="1803">
        <v>1</v>
      </c>
      <c r="AB19" s="1803">
        <v>1</v>
      </c>
      <c r="AC19" s="1803">
        <v>1</v>
      </c>
    </row>
    <row r="20" spans="1:29" ht="128.25">
      <c r="A20" s="397"/>
      <c r="B20" s="62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09"/>
      <c r="Q20" s="1802" t="str">
        <f>B20</f>
        <v>自然及人文环境</v>
      </c>
      <c r="R20" s="767" t="s">
        <v>17</v>
      </c>
      <c r="S20" s="768">
        <f>F20</f>
        <v>0</v>
      </c>
      <c r="T20" s="767" t="s">
        <v>17</v>
      </c>
      <c r="U20" s="768">
        <f>H20</f>
        <v>0</v>
      </c>
      <c r="V20" s="767" t="s">
        <v>17</v>
      </c>
      <c r="W20" s="768">
        <f>J20</f>
        <v>0</v>
      </c>
      <c r="X20" s="1805"/>
      <c r="Y20" s="3209"/>
      <c r="Z20" s="1806" t="str">
        <f>Q20</f>
        <v>自然及人文环境</v>
      </c>
      <c r="AA20" s="1803" t="e">
        <f t="shared" si="3"/>
        <v>#DIV/0!</v>
      </c>
      <c r="AB20" s="1803" t="e">
        <f t="shared" si="4"/>
        <v>#DIV/0!</v>
      </c>
      <c r="AC20" s="1803" t="e">
        <f t="shared" si="5"/>
        <v>#DIV/0!</v>
      </c>
    </row>
    <row r="21" spans="1:29" ht="15">
      <c r="A21" s="397"/>
      <c r="B21" s="625"/>
      <c r="C21" s="440" t="s">
        <v>3156</v>
      </c>
      <c r="D21" s="441"/>
      <c r="E21" s="440"/>
      <c r="F21" s="442"/>
      <c r="G21" s="440"/>
      <c r="H21" s="441"/>
      <c r="I21" s="440"/>
      <c r="J21" s="441"/>
      <c r="K21" s="608"/>
      <c r="L21" s="1133"/>
      <c r="M21" s="1124"/>
      <c r="N21" s="1124"/>
      <c r="O21" s="1124"/>
      <c r="P21" s="3209"/>
      <c r="Q21" s="1802"/>
      <c r="R21" s="767"/>
      <c r="S21" s="768"/>
      <c r="T21" s="767"/>
      <c r="U21" s="768"/>
      <c r="V21" s="767"/>
      <c r="W21" s="768"/>
      <c r="X21" s="1805"/>
      <c r="Y21" s="3209"/>
      <c r="Z21" s="1806"/>
      <c r="AA21" s="1803">
        <v>1</v>
      </c>
      <c r="AB21" s="1803">
        <v>1</v>
      </c>
      <c r="AC21" s="1803">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09"/>
      <c r="Q24" s="1802">
        <f t="shared" ref="Q24:Q36"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645" t="s">
        <v>2563</v>
      </c>
      <c r="B26" s="68" t="s">
        <v>2712</v>
      </c>
      <c r="C26" s="2685"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10" t="s">
        <v>2565</v>
      </c>
      <c r="Q26" s="1802" t="str">
        <f t="shared" si="11"/>
        <v>配套类型</v>
      </c>
      <c r="R26" s="767" t="s">
        <v>17</v>
      </c>
      <c r="S26" s="768">
        <f t="shared" ref="S26:S36" si="12">F26</f>
        <v>0</v>
      </c>
      <c r="T26" s="767" t="s">
        <v>17</v>
      </c>
      <c r="U26" s="768">
        <f t="shared" ref="U26:U36" si="13">H26</f>
        <v>0</v>
      </c>
      <c r="V26" s="767" t="s">
        <v>17</v>
      </c>
      <c r="W26" s="768">
        <f t="shared" ref="W26:W36" si="14">J26</f>
        <v>0</v>
      </c>
      <c r="X26" s="1805"/>
      <c r="Y26" s="3211" t="s">
        <v>2565</v>
      </c>
      <c r="Z26" s="1806" t="str">
        <f t="shared" ref="Z26:Z36" si="15">Q26</f>
        <v>配套类型</v>
      </c>
      <c r="AA26" s="1803" t="e">
        <f t="shared" si="3"/>
        <v>#DIV/0!</v>
      </c>
      <c r="AB26" s="1803" t="e">
        <f t="shared" si="4"/>
        <v>#DIV/0!</v>
      </c>
      <c r="AC26" s="1803" t="e">
        <f t="shared" si="5"/>
        <v>#DIV/0!</v>
      </c>
    </row>
    <row r="27" spans="1:29" s="464" customFormat="1" ht="15">
      <c r="A27" s="646"/>
      <c r="B27" s="647" t="s">
        <v>2713</v>
      </c>
      <c r="C27" s="2987" t="s">
        <v>3604</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11"/>
      <c r="Q27" s="769" t="str">
        <f t="shared" si="11"/>
        <v>项目停车位配比</v>
      </c>
      <c r="R27" s="770" t="s">
        <v>17</v>
      </c>
      <c r="S27" s="771">
        <f t="shared" si="12"/>
        <v>100</v>
      </c>
      <c r="T27" s="770" t="s">
        <v>17</v>
      </c>
      <c r="U27" s="771">
        <f t="shared" si="13"/>
        <v>100</v>
      </c>
      <c r="V27" s="770" t="s">
        <v>17</v>
      </c>
      <c r="W27" s="771">
        <f t="shared" si="14"/>
        <v>100</v>
      </c>
      <c r="X27" s="772"/>
      <c r="Y27" s="3211"/>
      <c r="Z27" s="773" t="str">
        <f t="shared" si="15"/>
        <v>项目停车位配比</v>
      </c>
      <c r="AA27" s="1803">
        <f t="shared" si="3"/>
        <v>1</v>
      </c>
      <c r="AB27" s="1803">
        <f t="shared" si="4"/>
        <v>1</v>
      </c>
      <c r="AC27" s="1803">
        <f t="shared" si="5"/>
        <v>1</v>
      </c>
    </row>
    <row r="28" spans="1:29" ht="15">
      <c r="A28" s="649"/>
      <c r="B28" s="647" t="s">
        <v>2714</v>
      </c>
      <c r="C28" s="2977" t="s">
        <v>3605</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11"/>
      <c r="Q28" s="1802" t="str">
        <f t="shared" si="11"/>
        <v>公共部分装修</v>
      </c>
      <c r="R28" s="767" t="s">
        <v>17</v>
      </c>
      <c r="S28" s="768">
        <f t="shared" si="12"/>
        <v>100</v>
      </c>
      <c r="T28" s="767" t="s">
        <v>17</v>
      </c>
      <c r="U28" s="768">
        <f t="shared" si="13"/>
        <v>100</v>
      </c>
      <c r="V28" s="767" t="s">
        <v>17</v>
      </c>
      <c r="W28" s="768">
        <f t="shared" si="14"/>
        <v>100</v>
      </c>
      <c r="X28" s="1805"/>
      <c r="Y28" s="3211"/>
      <c r="Z28" s="1806" t="str">
        <f t="shared" si="15"/>
        <v>公共部分装修</v>
      </c>
      <c r="AA28" s="1803">
        <f t="shared" si="3"/>
        <v>1</v>
      </c>
      <c r="AB28" s="1803">
        <f t="shared" si="4"/>
        <v>1</v>
      </c>
      <c r="AC28" s="1803">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11"/>
      <c r="Q29" s="1802" t="str">
        <f t="shared" si="11"/>
        <v>成新率</v>
      </c>
      <c r="R29" s="767" t="s">
        <v>17</v>
      </c>
      <c r="S29" s="768" t="e">
        <f t="shared" si="12"/>
        <v>#N/A</v>
      </c>
      <c r="T29" s="767" t="s">
        <v>17</v>
      </c>
      <c r="U29" s="768" t="e">
        <f t="shared" si="13"/>
        <v>#N/A</v>
      </c>
      <c r="V29" s="767" t="s">
        <v>17</v>
      </c>
      <c r="W29" s="768" t="e">
        <f t="shared" si="14"/>
        <v>#N/A</v>
      </c>
      <c r="X29" s="1805"/>
      <c r="Y29" s="3211"/>
      <c r="Z29" s="1806" t="str">
        <f t="shared" si="15"/>
        <v>成新率</v>
      </c>
      <c r="AA29" s="1803" t="e">
        <f t="shared" si="3"/>
        <v>#N/A</v>
      </c>
      <c r="AB29" s="1803" t="e">
        <f t="shared" si="4"/>
        <v>#N/A</v>
      </c>
      <c r="AC29" s="1803" t="e">
        <f t="shared" si="5"/>
        <v>#N/A</v>
      </c>
    </row>
    <row r="30" spans="1:29" ht="15">
      <c r="A30" s="649"/>
      <c r="B30" s="647" t="s">
        <v>2716</v>
      </c>
      <c r="C30" s="2988" t="s">
        <v>3606</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11"/>
      <c r="Q30" s="1802" t="str">
        <f t="shared" si="11"/>
        <v>物业等级</v>
      </c>
      <c r="R30" s="767" t="s">
        <v>17</v>
      </c>
      <c r="S30" s="768">
        <f t="shared" si="12"/>
        <v>100</v>
      </c>
      <c r="T30" s="767" t="s">
        <v>17</v>
      </c>
      <c r="U30" s="768">
        <f t="shared" si="13"/>
        <v>100</v>
      </c>
      <c r="V30" s="767" t="s">
        <v>17</v>
      </c>
      <c r="W30" s="768">
        <f t="shared" si="14"/>
        <v>100</v>
      </c>
      <c r="X30" s="1805"/>
      <c r="Y30" s="3211"/>
      <c r="Z30" s="1806" t="str">
        <f t="shared" si="15"/>
        <v>物业等级</v>
      </c>
      <c r="AA30" s="1803">
        <f t="shared" si="3"/>
        <v>1</v>
      </c>
      <c r="AB30" s="1803">
        <f t="shared" si="4"/>
        <v>1</v>
      </c>
      <c r="AC30" s="1803">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11"/>
      <c r="Q31" s="1787" t="str">
        <f t="shared" si="11"/>
        <v>停车位面积</v>
      </c>
      <c r="R31" s="763" t="s">
        <v>17</v>
      </c>
      <c r="S31" s="764" t="e">
        <f t="shared" si="12"/>
        <v>#N/A</v>
      </c>
      <c r="T31" s="763" t="s">
        <v>17</v>
      </c>
      <c r="U31" s="764" t="e">
        <f t="shared" si="13"/>
        <v>#N/A</v>
      </c>
      <c r="V31" s="763" t="s">
        <v>17</v>
      </c>
      <c r="W31" s="764" t="e">
        <f t="shared" si="14"/>
        <v>#N/A</v>
      </c>
      <c r="X31" s="765"/>
      <c r="Y31" s="3211"/>
      <c r="Z31" s="55" t="str">
        <f t="shared" si="15"/>
        <v>停车位面积</v>
      </c>
      <c r="AA31" s="766" t="e">
        <f t="shared" si="3"/>
        <v>#N/A</v>
      </c>
      <c r="AB31" s="766" t="e">
        <f t="shared" si="4"/>
        <v>#N/A</v>
      </c>
      <c r="AC31" s="766" t="e">
        <f t="shared" si="5"/>
        <v>#N/A</v>
      </c>
    </row>
    <row r="32" spans="1:29" ht="15">
      <c r="A32" s="649"/>
      <c r="B32" s="647" t="s">
        <v>2718</v>
      </c>
      <c r="C32" s="2977" t="s">
        <v>3607</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11" t="s">
        <v>2565</v>
      </c>
      <c r="Q32" s="1802" t="str">
        <f t="shared" si="11"/>
        <v>车位类型</v>
      </c>
      <c r="R32" s="767" t="s">
        <v>17</v>
      </c>
      <c r="S32" s="768">
        <f t="shared" si="12"/>
        <v>100</v>
      </c>
      <c r="T32" s="767" t="s">
        <v>17</v>
      </c>
      <c r="U32" s="768">
        <f t="shared" si="13"/>
        <v>100</v>
      </c>
      <c r="V32" s="767" t="s">
        <v>17</v>
      </c>
      <c r="W32" s="768">
        <f t="shared" si="14"/>
        <v>100</v>
      </c>
      <c r="X32" s="1805"/>
      <c r="Y32" s="3211" t="s">
        <v>2565</v>
      </c>
      <c r="Z32" s="1806" t="str">
        <f t="shared" si="15"/>
        <v>车位类型</v>
      </c>
      <c r="AA32" s="1803">
        <f t="shared" si="3"/>
        <v>1</v>
      </c>
      <c r="AB32" s="1803">
        <f t="shared" si="4"/>
        <v>1</v>
      </c>
      <c r="AC32" s="1803">
        <f t="shared" si="5"/>
        <v>1</v>
      </c>
    </row>
    <row r="33" spans="1:29" ht="15">
      <c r="A33" s="649"/>
      <c r="B33" s="647" t="s">
        <v>2719</v>
      </c>
      <c r="C33" s="2977" t="s">
        <v>3608</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11"/>
      <c r="Q33" s="1802" t="str">
        <f t="shared" si="11"/>
        <v>是否直接入户</v>
      </c>
      <c r="R33" s="767" t="s">
        <v>17</v>
      </c>
      <c r="S33" s="768">
        <f t="shared" si="12"/>
        <v>100</v>
      </c>
      <c r="T33" s="767" t="s">
        <v>17</v>
      </c>
      <c r="U33" s="768">
        <f t="shared" si="13"/>
        <v>100</v>
      </c>
      <c r="V33" s="767" t="s">
        <v>17</v>
      </c>
      <c r="W33" s="768">
        <f t="shared" si="14"/>
        <v>100</v>
      </c>
      <c r="X33" s="1805"/>
      <c r="Y33" s="3211"/>
      <c r="Z33" s="1806" t="str">
        <f t="shared" si="15"/>
        <v>是否直接入户</v>
      </c>
      <c r="AA33" s="1803">
        <f t="shared" si="3"/>
        <v>1</v>
      </c>
      <c r="AB33" s="1803">
        <f t="shared" si="4"/>
        <v>1</v>
      </c>
      <c r="AC33" s="1803">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11"/>
      <c r="Q35" s="769">
        <f t="shared" si="11"/>
        <v>111</v>
      </c>
      <c r="R35" s="770" t="s">
        <v>17</v>
      </c>
      <c r="S35" s="771">
        <f t="shared" si="12"/>
        <v>100</v>
      </c>
      <c r="T35" s="770" t="s">
        <v>17</v>
      </c>
      <c r="U35" s="771">
        <f t="shared" si="13"/>
        <v>100</v>
      </c>
      <c r="V35" s="770" t="s">
        <v>17</v>
      </c>
      <c r="W35" s="771">
        <f t="shared" si="14"/>
        <v>100</v>
      </c>
      <c r="X35" s="772"/>
      <c r="Y35" s="3211"/>
      <c r="Z35" s="773">
        <f t="shared" si="15"/>
        <v>111</v>
      </c>
      <c r="AA35" s="1803">
        <f t="shared" si="3"/>
        <v>1</v>
      </c>
      <c r="AB35" s="1803">
        <f t="shared" si="4"/>
        <v>1</v>
      </c>
      <c r="AC35" s="1803">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11"/>
      <c r="Q36" s="1802">
        <f t="shared" si="11"/>
        <v>111</v>
      </c>
      <c r="R36" s="767" t="s">
        <v>17</v>
      </c>
      <c r="S36" s="768">
        <f t="shared" si="12"/>
        <v>100</v>
      </c>
      <c r="T36" s="767" t="s">
        <v>17</v>
      </c>
      <c r="U36" s="768">
        <f t="shared" si="13"/>
        <v>100</v>
      </c>
      <c r="V36" s="767" t="s">
        <v>17</v>
      </c>
      <c r="W36" s="768">
        <f t="shared" si="14"/>
        <v>100</v>
      </c>
      <c r="X36" s="1805"/>
      <c r="Y36" s="3211"/>
      <c r="Z36" s="1806">
        <f t="shared" si="15"/>
        <v>111</v>
      </c>
      <c r="AA36" s="1803">
        <f t="shared" si="3"/>
        <v>1</v>
      </c>
      <c r="AB36" s="1803">
        <f t="shared" si="4"/>
        <v>1</v>
      </c>
      <c r="AC36" s="1803">
        <f t="shared" si="5"/>
        <v>1</v>
      </c>
    </row>
    <row r="37" spans="1:29" ht="15">
      <c r="A37" s="472" t="s">
        <v>2720</v>
      </c>
      <c r="B37" s="2686" t="s">
        <v>2721</v>
      </c>
      <c r="C37" s="1400" t="s">
        <v>1</v>
      </c>
      <c r="D37" s="1401"/>
      <c r="E37" s="1402"/>
      <c r="F37" s="1403"/>
      <c r="G37" s="1404"/>
      <c r="H37" s="1405"/>
      <c r="I37" s="1402"/>
      <c r="J37" s="1405"/>
      <c r="K37" s="612"/>
      <c r="L37" s="1136"/>
      <c r="M37" s="1137"/>
      <c r="N37" s="1124"/>
      <c r="O37" s="1137"/>
      <c r="P37" s="3206" t="str">
        <f>A37</f>
        <v>成交单价</v>
      </c>
      <c r="Q37" s="3206"/>
      <c r="R37" s="3242">
        <f>E37</f>
        <v>0</v>
      </c>
      <c r="S37" s="3242"/>
      <c r="T37" s="3242">
        <f>G37</f>
        <v>0</v>
      </c>
      <c r="U37" s="3242"/>
      <c r="V37" s="3242">
        <f>I37</f>
        <v>0</v>
      </c>
      <c r="W37" s="3242"/>
      <c r="X37" s="752"/>
      <c r="Y37" s="774"/>
      <c r="Z37" s="752"/>
      <c r="AA37" s="752"/>
      <c r="AB37" s="752"/>
      <c r="AC37" s="752"/>
    </row>
    <row r="38" spans="1:29" ht="15.75" thickBot="1">
      <c r="A38" s="479" t="s">
        <v>2722</v>
      </c>
      <c r="B38" s="480" t="str">
        <f>B37</f>
        <v>元/车位</v>
      </c>
      <c r="C38" s="1406" t="e">
        <f>R39</f>
        <v>#DIV/0!</v>
      </c>
      <c r="D38" s="1407"/>
      <c r="E38" s="1408" t="e">
        <f>R38</f>
        <v>#DIV/0!</v>
      </c>
      <c r="F38" s="1408"/>
      <c r="G38" s="1406" t="e">
        <f>T38</f>
        <v>#DIV/0!</v>
      </c>
      <c r="H38" s="1407"/>
      <c r="I38" s="1408" t="e">
        <f>V38</f>
        <v>#DIV/0!</v>
      </c>
      <c r="J38" s="1407"/>
      <c r="K38" s="613"/>
      <c r="L38" s="1136"/>
      <c r="M38" s="1137"/>
      <c r="N38" s="1137"/>
      <c r="O38" s="1137"/>
      <c r="P38" s="3206" t="str">
        <f>A38</f>
        <v>比较价值（元/平方米）</v>
      </c>
      <c r="Q38" s="3206"/>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2"/>
      <c r="Y38" s="752"/>
      <c r="Z38" s="752"/>
      <c r="AA38" s="752"/>
      <c r="AB38" s="752"/>
      <c r="AC38" s="752"/>
    </row>
    <row r="39" spans="1:29" ht="15.75" thickBot="1">
      <c r="A39" s="485" t="s">
        <v>2723</v>
      </c>
      <c r="B39" s="486"/>
      <c r="C39" s="1410" t="e">
        <f>R39</f>
        <v>#DIV/0!</v>
      </c>
      <c r="D39" s="1410"/>
      <c r="E39" s="1410"/>
      <c r="F39" s="1410"/>
      <c r="G39" s="1410"/>
      <c r="H39" s="1410"/>
      <c r="I39" s="1410"/>
      <c r="J39" s="1410"/>
      <c r="K39" s="614"/>
      <c r="L39" s="1136"/>
      <c r="M39" s="1137"/>
      <c r="N39" s="1137"/>
      <c r="O39" s="1137"/>
      <c r="P39" s="3200" t="str">
        <f>A39</f>
        <v>估价对象XX用房的比较价值（楼面单价，元/平方米）</v>
      </c>
      <c r="Q39" s="3201"/>
      <c r="R39" s="3266" t="e">
        <f>IF(F1="售价",ROUND(AVERAGE(R38:V38),0),ROUND(AVERAGE(R38:V38),1))</f>
        <v>#DIV/0!</v>
      </c>
      <c r="S39" s="3266"/>
      <c r="T39" s="3266"/>
      <c r="U39" s="3266"/>
      <c r="V39" s="3266"/>
      <c r="W39" s="3266"/>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2727</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1" customFormat="1" ht="15">
      <c r="A48" s="498" t="s">
        <v>2728</v>
      </c>
      <c r="B48" s="499"/>
      <c r="C48" s="1566" t="str">
        <f>YEAR(C7)&amp;"-"&amp;MONTH(C7)</f>
        <v>2018-3</v>
      </c>
      <c r="D48" s="1567">
        <f>EDATE(C48,-1)</f>
        <v>43132</v>
      </c>
      <c r="E48" s="1567">
        <f t="shared" ref="E48:O48" si="16">EDATE(D48,-1)</f>
        <v>43101</v>
      </c>
      <c r="F48" s="1567">
        <f t="shared" si="16"/>
        <v>43070</v>
      </c>
      <c r="G48" s="1567">
        <f t="shared" si="16"/>
        <v>43040</v>
      </c>
      <c r="H48" s="1567">
        <f t="shared" si="16"/>
        <v>43009</v>
      </c>
      <c r="I48" s="1567">
        <f t="shared" si="16"/>
        <v>42979</v>
      </c>
      <c r="J48" s="1567">
        <f t="shared" si="16"/>
        <v>42948</v>
      </c>
      <c r="K48" s="1567">
        <f t="shared" si="16"/>
        <v>42917</v>
      </c>
      <c r="L48" s="1567">
        <f t="shared" si="16"/>
        <v>42887</v>
      </c>
      <c r="M48" s="1567">
        <f t="shared" si="16"/>
        <v>42856</v>
      </c>
      <c r="N48" s="1567">
        <f t="shared" si="16"/>
        <v>42826</v>
      </c>
      <c r="O48" s="1567">
        <f t="shared" si="16"/>
        <v>42795</v>
      </c>
      <c r="P48" s="1431"/>
      <c r="Q48" s="1432"/>
      <c r="R48" s="1432"/>
      <c r="S48" s="1432"/>
      <c r="T48" s="1432"/>
      <c r="U48" s="1432"/>
      <c r="V48" s="1432"/>
      <c r="W48" s="1432"/>
      <c r="X48" s="1432"/>
      <c r="Y48" s="1432"/>
      <c r="Z48" s="1432"/>
      <c r="AA48" s="1432"/>
      <c r="AB48" s="1432"/>
      <c r="AC48" s="1432"/>
    </row>
    <row r="49" spans="1:29" s="111" customFormat="1" ht="15">
      <c r="A49" s="502"/>
      <c r="B49" s="503"/>
      <c r="C49" s="1559">
        <v>100</v>
      </c>
      <c r="D49" s="505"/>
      <c r="E49" s="505"/>
      <c r="F49" s="505"/>
      <c r="G49" s="505"/>
      <c r="H49" s="505"/>
      <c r="I49" s="505"/>
      <c r="J49" s="505"/>
      <c r="K49" s="505"/>
      <c r="L49" s="505"/>
      <c r="M49" s="506"/>
      <c r="N49" s="505"/>
      <c r="O49" s="506"/>
      <c r="P49" s="1421"/>
      <c r="Q49" s="1420"/>
      <c r="R49" s="1420"/>
      <c r="S49" s="1420"/>
      <c r="T49" s="1420"/>
      <c r="U49" s="1420"/>
      <c r="V49" s="1420"/>
      <c r="W49" s="1420"/>
      <c r="X49" s="1420"/>
      <c r="Y49" s="1420"/>
      <c r="Z49" s="1420"/>
      <c r="AA49" s="1420"/>
      <c r="AB49" s="1420"/>
      <c r="AC49" s="1420"/>
    </row>
    <row r="50" spans="1:29" s="111" customFormat="1" ht="15.75" thickBot="1">
      <c r="A50" s="508" t="s">
        <v>2585</v>
      </c>
      <c r="B50" s="509"/>
      <c r="C50" s="510"/>
      <c r="D50" s="511"/>
      <c r="E50" s="511"/>
      <c r="F50" s="511"/>
      <c r="G50" s="511"/>
      <c r="H50" s="511"/>
      <c r="I50" s="511"/>
      <c r="J50" s="511"/>
      <c r="K50" s="511"/>
      <c r="L50" s="511"/>
      <c r="M50" s="512"/>
      <c r="N50" s="511"/>
      <c r="O50" s="512"/>
      <c r="P50" s="1421"/>
      <c r="Q50" s="1416"/>
      <c r="R50" s="1420"/>
      <c r="S50" s="1420"/>
      <c r="T50" s="1420"/>
      <c r="U50" s="1420"/>
      <c r="V50" s="1420"/>
      <c r="W50" s="1420"/>
      <c r="X50" s="1420"/>
      <c r="Y50" s="1420"/>
      <c r="Z50" s="1420"/>
      <c r="AA50" s="1420"/>
      <c r="AB50" s="1420"/>
      <c r="AC50" s="1420"/>
    </row>
    <row r="51" spans="1:29" s="111" customFormat="1" ht="15">
      <c r="A51" s="514" t="s">
        <v>2550</v>
      </c>
      <c r="B51" s="503"/>
      <c r="C51" s="515" t="s">
        <v>2652</v>
      </c>
      <c r="D51" s="516"/>
      <c r="E51" s="516"/>
      <c r="F51" s="516"/>
      <c r="G51" s="516"/>
      <c r="H51" s="516"/>
      <c r="I51" s="516"/>
      <c r="J51" s="516"/>
      <c r="K51" s="516"/>
      <c r="L51" s="517"/>
      <c r="M51" s="518"/>
      <c r="N51" s="1144"/>
      <c r="O51" s="1144"/>
      <c r="P51" s="1419"/>
      <c r="Q51" s="1416"/>
      <c r="R51" s="1420"/>
      <c r="S51" s="1420"/>
      <c r="T51" s="1420"/>
      <c r="U51" s="1420"/>
      <c r="V51" s="1420"/>
      <c r="W51" s="1420"/>
      <c r="X51" s="1420"/>
      <c r="Y51" s="1420"/>
      <c r="Z51" s="1420"/>
      <c r="AA51" s="1420"/>
      <c r="AB51" s="1420"/>
      <c r="AC51" s="1420"/>
    </row>
    <row r="52" spans="1:29" s="111" customFormat="1" ht="15.75" thickBot="1">
      <c r="A52" s="514"/>
      <c r="B52" s="503"/>
      <c r="C52" s="632">
        <v>100</v>
      </c>
      <c r="D52" s="505"/>
      <c r="E52" s="505"/>
      <c r="F52" s="505"/>
      <c r="G52" s="505"/>
      <c r="H52" s="505"/>
      <c r="I52" s="505"/>
      <c r="J52" s="505"/>
      <c r="K52" s="505"/>
      <c r="L52" s="505"/>
      <c r="M52" s="507"/>
      <c r="N52" s="1144"/>
      <c r="O52" s="1144"/>
      <c r="P52" s="1421"/>
      <c r="Q52" s="1416"/>
      <c r="R52" s="1420"/>
      <c r="S52" s="1420"/>
      <c r="T52" s="1420"/>
      <c r="U52" s="1420"/>
      <c r="V52" s="1420"/>
      <c r="W52" s="1420"/>
      <c r="X52" s="1420"/>
      <c r="Y52" s="1420"/>
      <c r="Z52" s="1420"/>
      <c r="AA52" s="1420"/>
      <c r="AB52" s="1420"/>
      <c r="AC52" s="1420"/>
    </row>
    <row r="53" spans="1:29">
      <c r="A53" s="520" t="s">
        <v>2588</v>
      </c>
      <c r="B53" s="521" t="s">
        <v>2554</v>
      </c>
      <c r="C53" s="522" t="str">
        <f>C9</f>
        <v>车库</v>
      </c>
      <c r="D53" s="523"/>
      <c r="E53" s="523"/>
      <c r="F53" s="523"/>
      <c r="G53" s="523"/>
      <c r="H53" s="523"/>
      <c r="I53" s="523"/>
      <c r="J53" s="523"/>
      <c r="K53" s="524"/>
      <c r="L53" s="525"/>
      <c r="M53" s="526"/>
      <c r="N53" s="1145"/>
      <c r="O53" s="1145"/>
      <c r="P53" s="1422"/>
      <c r="Q53" s="1416"/>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2"/>
      <c r="Q54" s="1416"/>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2"/>
      <c r="Q55" s="1416"/>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2"/>
      <c r="Q56" s="1416"/>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2"/>
      <c r="Q57" s="1416"/>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2"/>
      <c r="Q58" s="1416"/>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3"/>
      <c r="Q59" s="1424"/>
      <c r="R59" s="1425"/>
      <c r="S59" s="1425"/>
      <c r="T59" s="1425"/>
      <c r="U59" s="1425"/>
      <c r="V59" s="1425"/>
      <c r="W59" s="1425"/>
      <c r="X59" s="1425"/>
      <c r="Y59" s="1425"/>
      <c r="Z59" s="1425"/>
      <c r="AA59" s="1425"/>
      <c r="AB59" s="1425"/>
      <c r="AC59" s="1425"/>
    </row>
    <row r="60" spans="1:29" s="464" customFormat="1" ht="15.75" thickBot="1">
      <c r="A60" s="546"/>
      <c r="B60" s="536"/>
      <c r="C60" s="553"/>
      <c r="D60" s="529"/>
      <c r="E60" s="529"/>
      <c r="F60" s="529"/>
      <c r="G60" s="529"/>
      <c r="H60" s="529"/>
      <c r="I60" s="529"/>
      <c r="J60" s="529"/>
      <c r="K60" s="529"/>
      <c r="L60" s="529"/>
      <c r="M60" s="530"/>
      <c r="N60" s="1146"/>
      <c r="O60" s="1146"/>
      <c r="P60" s="1423"/>
      <c r="Q60" s="1424"/>
      <c r="R60" s="1425"/>
      <c r="S60" s="1425"/>
      <c r="T60" s="1425"/>
      <c r="U60" s="1425"/>
      <c r="V60" s="1425"/>
      <c r="W60" s="1425"/>
      <c r="X60" s="1425"/>
      <c r="Y60" s="1425"/>
      <c r="Z60" s="1425"/>
      <c r="AA60" s="1425"/>
      <c r="AB60" s="1425"/>
      <c r="AC60" s="1425"/>
    </row>
    <row r="61" spans="1:29" s="464" customFormat="1" ht="15.75" thickTop="1">
      <c r="A61" s="546"/>
      <c r="B61" s="531">
        <f>B13</f>
        <v>111</v>
      </c>
      <c r="C61" s="547"/>
      <c r="D61" s="547"/>
      <c r="E61" s="547"/>
      <c r="F61" s="547"/>
      <c r="G61" s="547"/>
      <c r="H61" s="548"/>
      <c r="I61" s="548"/>
      <c r="J61" s="548"/>
      <c r="K61" s="548"/>
      <c r="L61" s="549"/>
      <c r="M61" s="550"/>
      <c r="N61" s="1147"/>
      <c r="O61" s="1147"/>
      <c r="P61" s="1426"/>
      <c r="Q61" s="1427"/>
      <c r="R61" s="1425"/>
      <c r="S61" s="1425"/>
      <c r="T61" s="1425"/>
      <c r="U61" s="1425"/>
      <c r="V61" s="1425"/>
      <c r="W61" s="1425"/>
      <c r="X61" s="1425"/>
      <c r="Y61" s="1425"/>
      <c r="Z61" s="1425"/>
      <c r="AA61" s="1425"/>
      <c r="AB61" s="1425"/>
      <c r="AC61" s="1425"/>
    </row>
    <row r="62" spans="1:29" s="464" customFormat="1" ht="15.75" thickBot="1">
      <c r="A62" s="546"/>
      <c r="B62" s="536"/>
      <c r="C62" s="553"/>
      <c r="D62" s="553"/>
      <c r="E62" s="553"/>
      <c r="F62" s="553"/>
      <c r="G62" s="553"/>
      <c r="H62" s="555"/>
      <c r="I62" s="555"/>
      <c r="J62" s="555"/>
      <c r="K62" s="555"/>
      <c r="L62" s="555"/>
      <c r="M62" s="556"/>
      <c r="N62" s="1147"/>
      <c r="O62" s="1147"/>
      <c r="P62" s="1423"/>
      <c r="Q62" s="1424"/>
      <c r="R62" s="1425"/>
      <c r="S62" s="1425"/>
      <c r="T62" s="1425"/>
      <c r="U62" s="1425"/>
      <c r="V62" s="1425"/>
      <c r="W62" s="1425"/>
      <c r="X62" s="1425"/>
      <c r="Y62" s="1425"/>
      <c r="Z62" s="1425"/>
      <c r="AA62" s="1425"/>
      <c r="AB62" s="1425"/>
      <c r="AC62" s="1425"/>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8"/>
      <c r="Q63" s="1416"/>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2"/>
      <c r="Q64" s="1416"/>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2"/>
      <c r="Q65" s="1416"/>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2"/>
      <c r="Q66" s="1416"/>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5"/>
      <c r="N67" s="1146"/>
      <c r="O67" s="1146"/>
      <c r="P67" s="1422"/>
      <c r="Q67" s="1416"/>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2"/>
      <c r="Q68" s="1416"/>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2"/>
      <c r="Q69" s="1416"/>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2"/>
      <c r="Q70" s="1416"/>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2"/>
      <c r="Q71" s="1416"/>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2"/>
      <c r="Q72" s="1416"/>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2"/>
      <c r="Q73" s="1416"/>
      <c r="R73" s="1420"/>
      <c r="S73" s="1420"/>
      <c r="T73" s="1420"/>
      <c r="U73" s="1420"/>
      <c r="V73" s="1420"/>
      <c r="W73" s="1420"/>
      <c r="X73" s="1420"/>
      <c r="Y73" s="1420"/>
      <c r="Z73" s="1420"/>
      <c r="AA73" s="1420"/>
      <c r="AB73" s="1420"/>
      <c r="AC73" s="1420"/>
    </row>
    <row r="74" spans="1:29" s="111" customFormat="1" ht="15.75" thickBot="1">
      <c r="A74" s="572"/>
      <c r="B74" s="536"/>
      <c r="C74" s="553"/>
      <c r="D74" s="529"/>
      <c r="E74" s="529"/>
      <c r="F74" s="529"/>
      <c r="G74" s="529"/>
      <c r="H74" s="529"/>
      <c r="I74" s="529"/>
      <c r="J74" s="529"/>
      <c r="K74" s="529"/>
      <c r="L74" s="529"/>
      <c r="M74" s="530"/>
      <c r="N74" s="1146"/>
      <c r="O74" s="1146"/>
      <c r="P74" s="1422"/>
      <c r="Q74" s="1416"/>
      <c r="R74" s="1420"/>
      <c r="S74" s="1420"/>
      <c r="T74" s="1420"/>
      <c r="U74" s="1420"/>
      <c r="V74" s="1420"/>
      <c r="W74" s="1420"/>
      <c r="X74" s="1420"/>
      <c r="Y74" s="1420"/>
      <c r="Z74" s="1420"/>
      <c r="AA74" s="1420"/>
      <c r="AB74" s="1420"/>
      <c r="AC74" s="1420"/>
    </row>
    <row r="75" spans="1:29" s="111" customFormat="1" ht="15.75" thickTop="1">
      <c r="A75" s="572"/>
      <c r="B75" s="531">
        <f>B24</f>
        <v>111</v>
      </c>
      <c r="C75" s="542"/>
      <c r="D75" s="542"/>
      <c r="E75" s="542"/>
      <c r="F75" s="542"/>
      <c r="G75" s="547"/>
      <c r="H75" s="547"/>
      <c r="I75" s="547"/>
      <c r="J75" s="547"/>
      <c r="K75" s="547"/>
      <c r="L75" s="547"/>
      <c r="M75" s="574"/>
      <c r="N75" s="1144"/>
      <c r="O75" s="1144"/>
      <c r="P75" s="1422"/>
      <c r="Q75" s="1416"/>
      <c r="R75" s="1420"/>
      <c r="S75" s="1420"/>
      <c r="T75" s="1420"/>
      <c r="U75" s="1420"/>
      <c r="V75" s="1420"/>
      <c r="W75" s="1420"/>
      <c r="X75" s="1420"/>
      <c r="Y75" s="1420"/>
      <c r="Z75" s="1420"/>
      <c r="AA75" s="1420"/>
      <c r="AB75" s="1420"/>
      <c r="AC75" s="1420"/>
    </row>
    <row r="76" spans="1:29" s="111" customFormat="1" ht="15.75" thickBot="1">
      <c r="A76" s="572"/>
      <c r="B76" s="536"/>
      <c r="C76" s="553"/>
      <c r="D76" s="529"/>
      <c r="E76" s="529"/>
      <c r="F76" s="529"/>
      <c r="G76" s="529"/>
      <c r="H76" s="529"/>
      <c r="I76" s="529"/>
      <c r="J76" s="529"/>
      <c r="K76" s="529"/>
      <c r="L76" s="529"/>
      <c r="M76" s="530"/>
      <c r="N76" s="1146"/>
      <c r="O76" s="1146"/>
      <c r="P76" s="1422"/>
      <c r="Q76" s="1416"/>
      <c r="R76" s="1420"/>
      <c r="S76" s="1420"/>
      <c r="T76" s="1420"/>
      <c r="U76" s="1420"/>
      <c r="V76" s="1420"/>
      <c r="W76" s="1420"/>
      <c r="X76" s="1420"/>
      <c r="Y76" s="1420"/>
      <c r="Z76" s="1420"/>
      <c r="AA76" s="1420"/>
      <c r="AB76" s="1420"/>
      <c r="AC76" s="1420"/>
    </row>
    <row r="77" spans="1:29" s="464" customFormat="1" ht="15.75" thickTop="1">
      <c r="A77" s="546"/>
      <c r="B77" s="531">
        <f>B25</f>
        <v>111</v>
      </c>
      <c r="C77" s="547"/>
      <c r="D77" s="547"/>
      <c r="E77" s="547"/>
      <c r="F77" s="547"/>
      <c r="G77" s="547"/>
      <c r="H77" s="548"/>
      <c r="I77" s="548"/>
      <c r="J77" s="548"/>
      <c r="K77" s="548"/>
      <c r="L77" s="549"/>
      <c r="M77" s="550"/>
      <c r="N77" s="1147"/>
      <c r="O77" s="1147"/>
      <c r="P77" s="1423"/>
      <c r="Q77" s="1424"/>
      <c r="R77" s="1425"/>
      <c r="S77" s="1425"/>
      <c r="T77" s="1425"/>
      <c r="U77" s="1425"/>
      <c r="V77" s="1425"/>
      <c r="W77" s="1425"/>
      <c r="X77" s="1425"/>
      <c r="Y77" s="1425"/>
      <c r="Z77" s="1425"/>
      <c r="AA77" s="1425"/>
      <c r="AB77" s="1425"/>
      <c r="AC77" s="1425"/>
    </row>
    <row r="78" spans="1:29" s="464" customFormat="1" ht="15.75" thickBot="1">
      <c r="A78" s="546"/>
      <c r="B78" s="536"/>
      <c r="C78" s="553"/>
      <c r="D78" s="553"/>
      <c r="E78" s="553"/>
      <c r="F78" s="553"/>
      <c r="G78" s="529"/>
      <c r="H78" s="529"/>
      <c r="I78" s="529"/>
      <c r="J78" s="529"/>
      <c r="K78" s="529"/>
      <c r="L78" s="529"/>
      <c r="M78" s="530"/>
      <c r="N78" s="1147"/>
      <c r="O78" s="1147"/>
      <c r="P78" s="1423"/>
      <c r="Q78" s="1424"/>
      <c r="R78" s="1425"/>
      <c r="S78" s="1425"/>
      <c r="T78" s="1425"/>
      <c r="U78" s="1425"/>
      <c r="V78" s="1425"/>
      <c r="W78" s="1425"/>
      <c r="X78" s="1425"/>
      <c r="Y78" s="1425"/>
      <c r="Z78" s="1425"/>
      <c r="AA78" s="1425"/>
      <c r="AB78" s="1425"/>
      <c r="AC78" s="1425"/>
    </row>
    <row r="79" spans="1:29" ht="27.75" thickTop="1">
      <c r="A79" s="520" t="s">
        <v>2563</v>
      </c>
      <c r="B79" s="521" t="s">
        <v>2730</v>
      </c>
      <c r="C79" s="522" t="str">
        <f>C26</f>
        <v>车库</v>
      </c>
      <c r="D79" s="523"/>
      <c r="E79" s="523"/>
      <c r="F79" s="523"/>
      <c r="G79" s="523"/>
      <c r="H79" s="523"/>
      <c r="I79" s="523"/>
      <c r="J79" s="523"/>
      <c r="K79" s="524"/>
      <c r="L79" s="525"/>
      <c r="M79" s="526"/>
      <c r="N79" s="1145"/>
      <c r="O79" s="1145"/>
      <c r="P79" s="1422"/>
      <c r="Q79" s="1416"/>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2"/>
      <c r="Q81" s="1416"/>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3"/>
      <c r="Q82" s="1424"/>
      <c r="R82" s="1425"/>
      <c r="S82" s="1425"/>
      <c r="T82" s="1425"/>
      <c r="U82" s="1425"/>
      <c r="V82" s="1425"/>
      <c r="W82" s="1425"/>
      <c r="X82" s="1425"/>
      <c r="Y82" s="1425"/>
      <c r="Z82" s="1425"/>
      <c r="AA82" s="1425"/>
      <c r="AB82" s="1425"/>
      <c r="AC82" s="1425"/>
    </row>
    <row r="83" spans="1:29" ht="15" thickTop="1">
      <c r="A83" s="592"/>
      <c r="B83" s="531" t="s">
        <v>2616</v>
      </c>
      <c r="C83" s="547"/>
      <c r="D83" s="547"/>
      <c r="E83" s="576"/>
      <c r="F83" s="576"/>
      <c r="G83" s="576"/>
      <c r="H83" s="576"/>
      <c r="I83" s="576"/>
      <c r="J83" s="576"/>
      <c r="K83" s="577"/>
      <c r="L83" s="578"/>
      <c r="M83" s="579"/>
      <c r="N83" s="1145"/>
      <c r="O83" s="1145"/>
      <c r="P83" s="1422"/>
      <c r="Q83" s="1416"/>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2"/>
      <c r="Q85" s="1416"/>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2"/>
      <c r="Q86" s="1416"/>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2"/>
      <c r="Q88" s="1416"/>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2"/>
      <c r="Q89" s="1416"/>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3"/>
      <c r="Q90" s="1424"/>
      <c r="R90" s="1425"/>
      <c r="S90" s="1425"/>
      <c r="T90" s="1425"/>
      <c r="U90" s="1425"/>
      <c r="V90" s="1425"/>
      <c r="W90" s="1425"/>
      <c r="X90" s="1425"/>
      <c r="Y90" s="1425"/>
      <c r="Z90" s="1425"/>
      <c r="AA90" s="1425"/>
      <c r="AB90" s="1425"/>
      <c r="AC90" s="1425"/>
    </row>
    <row r="91" spans="1:29" s="464" customFormat="1">
      <c r="A91" s="586"/>
      <c r="B91" s="539"/>
      <c r="C91" s="588"/>
      <c r="D91" s="588"/>
      <c r="E91" s="588"/>
      <c r="F91" s="588"/>
      <c r="G91" s="588"/>
      <c r="H91" s="588"/>
      <c r="I91" s="588"/>
      <c r="J91" s="589"/>
      <c r="K91" s="589"/>
      <c r="L91" s="590"/>
      <c r="M91" s="591"/>
      <c r="N91" s="1147"/>
      <c r="O91" s="1147"/>
      <c r="P91" s="1423"/>
      <c r="Q91" s="1424"/>
      <c r="R91" s="1425"/>
      <c r="S91" s="1425"/>
      <c r="T91" s="1425"/>
      <c r="U91" s="1425"/>
      <c r="V91" s="1425"/>
      <c r="W91" s="1425"/>
      <c r="X91" s="1425"/>
      <c r="Y91" s="1425"/>
      <c r="Z91" s="1425"/>
      <c r="AA91" s="1425"/>
      <c r="AB91" s="1425"/>
      <c r="AC91" s="1425"/>
    </row>
    <row r="92" spans="1:29" s="464" customFormat="1" ht="15.75" thickBot="1">
      <c r="A92" s="546"/>
      <c r="B92" s="536"/>
      <c r="C92" s="553"/>
      <c r="D92" s="529"/>
      <c r="E92" s="529"/>
      <c r="F92" s="529"/>
      <c r="G92" s="529"/>
      <c r="H92" s="529"/>
      <c r="I92" s="529"/>
      <c r="J92" s="529"/>
      <c r="K92" s="529"/>
      <c r="L92" s="529"/>
      <c r="M92" s="530"/>
      <c r="N92" s="1147"/>
      <c r="O92" s="1147"/>
      <c r="P92" s="1423"/>
      <c r="Q92" s="1424"/>
      <c r="R92" s="1425"/>
      <c r="S92" s="1425"/>
      <c r="T92" s="1425"/>
      <c r="U92" s="1425"/>
      <c r="V92" s="1425"/>
      <c r="W92" s="1425"/>
      <c r="X92" s="1425"/>
      <c r="Y92" s="1425"/>
      <c r="Z92" s="1425"/>
      <c r="AA92" s="1425"/>
      <c r="AB92" s="1425"/>
      <c r="AC92" s="1425"/>
    </row>
    <row r="93" spans="1:29" ht="15" thickTop="1">
      <c r="A93" s="592"/>
      <c r="B93" s="531" t="s">
        <v>2735</v>
      </c>
      <c r="C93" s="547"/>
      <c r="D93" s="547"/>
      <c r="E93" s="576"/>
      <c r="F93" s="576"/>
      <c r="G93" s="576"/>
      <c r="H93" s="576"/>
      <c r="I93" s="576"/>
      <c r="J93" s="576"/>
      <c r="K93" s="577"/>
      <c r="L93" s="578"/>
      <c r="M93" s="579"/>
      <c r="N93" s="1145"/>
      <c r="O93" s="1145"/>
      <c r="P93" s="1422"/>
      <c r="Q93" s="1416"/>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2"/>
      <c r="Q95" s="1416"/>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2"/>
      <c r="Q96" s="1416"/>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9"/>
      <c r="Q97" s="1430"/>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2"/>
      <c r="Q98" s="1416"/>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3"/>
      <c r="Q99" s="1424"/>
      <c r="R99" s="1425"/>
      <c r="S99" s="1425"/>
      <c r="T99" s="1425"/>
      <c r="U99" s="1425"/>
      <c r="V99" s="1425"/>
      <c r="W99" s="1425"/>
      <c r="X99" s="1425"/>
      <c r="Y99" s="1425"/>
      <c r="Z99" s="1425"/>
      <c r="AA99" s="1425"/>
      <c r="AB99" s="1425"/>
      <c r="AC99" s="1425"/>
    </row>
    <row r="100" spans="1:29" s="464" customFormat="1" ht="15.75" thickBot="1">
      <c r="A100" s="546"/>
      <c r="B100" s="528"/>
      <c r="C100" s="553"/>
      <c r="D100" s="529"/>
      <c r="E100" s="529"/>
      <c r="F100" s="529"/>
      <c r="G100" s="553"/>
      <c r="H100" s="555"/>
      <c r="I100" s="555"/>
      <c r="J100" s="555"/>
      <c r="K100" s="555"/>
      <c r="L100" s="555"/>
      <c r="M100" s="556"/>
      <c r="N100" s="1147"/>
      <c r="O100" s="1147"/>
      <c r="P100" s="1423"/>
      <c r="Q100" s="1424"/>
      <c r="R100" s="1425"/>
      <c r="S100" s="1425"/>
      <c r="T100" s="1425"/>
      <c r="U100" s="1425"/>
      <c r="V100" s="1425"/>
      <c r="W100" s="1425"/>
      <c r="X100" s="1425"/>
      <c r="Y100" s="1425"/>
      <c r="Z100" s="1425"/>
      <c r="AA100" s="1425"/>
      <c r="AB100" s="1425"/>
      <c r="AC100" s="1425"/>
    </row>
    <row r="101" spans="1:29" ht="15" thickTop="1">
      <c r="A101" s="592"/>
      <c r="B101" s="531">
        <f>B36</f>
        <v>111</v>
      </c>
      <c r="C101" s="547"/>
      <c r="D101" s="547"/>
      <c r="E101" s="547"/>
      <c r="F101" s="547"/>
      <c r="G101" s="547"/>
      <c r="H101" s="548"/>
      <c r="I101" s="548"/>
      <c r="J101" s="548"/>
      <c r="K101" s="548"/>
      <c r="L101" s="549"/>
      <c r="M101" s="550"/>
      <c r="N101" s="1145"/>
      <c r="O101" s="1145"/>
      <c r="P101" s="1422"/>
      <c r="Q101" s="1416"/>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IF(C2="——",ROUND(C37*D3/10000,0),ROUND(C37*D3/10000,0)-D2)</f>
        <v>#DIV/0!</v>
      </c>
      <c r="C2" s="2577"/>
      <c r="D2" s="1117" t="e">
        <f ca="1">SUMIF(INDIRECT("'"&amp;F2&amp;"'"&amp;"!A:A"),"承租人权益价值",INDIRECT("'"&amp;F2&amp;"'"&amp;"!c:c"))</f>
        <v>#REF!</v>
      </c>
      <c r="E2" s="2578" t="s">
        <v>2331</v>
      </c>
      <c r="F2" s="257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SUMIF(46:46,YEAR(E7)&amp;"-"&amp;MONTH(E7),47:47)</f>
        <v>0</v>
      </c>
      <c r="G7" s="2687"/>
      <c r="H7" s="404">
        <f>SUMIF(46:46,YEAR(G7)&amp;"-"&amp;MONTH(G7),47:47)</f>
        <v>0</v>
      </c>
      <c r="I7" s="405"/>
      <c r="J7" s="404">
        <f>SUMIF(46:46,YEAR(I7)&amp;"-"&amp;MONTH(I7),47:47)</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06" t="s">
        <v>2555</v>
      </c>
      <c r="Q9" s="1787" t="str">
        <f t="shared" ref="Q9:Q14" si="6">B9</f>
        <v>用途</v>
      </c>
      <c r="R9" s="763" t="s">
        <v>17</v>
      </c>
      <c r="S9" s="764">
        <f t="shared" si="0"/>
        <v>100</v>
      </c>
      <c r="T9" s="763" t="s">
        <v>17</v>
      </c>
      <c r="U9" s="764">
        <f t="shared" si="1"/>
        <v>100</v>
      </c>
      <c r="V9" s="763" t="s">
        <v>17</v>
      </c>
      <c r="W9" s="764">
        <f t="shared" si="2"/>
        <v>100</v>
      </c>
      <c r="X9" s="765"/>
      <c r="Y9" s="3053"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2591">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424"/>
      <c r="B12" s="2591">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421"/>
      <c r="B13" s="2591">
        <v>111</v>
      </c>
      <c r="C13" s="427"/>
      <c r="D13" s="428">
        <v>100</v>
      </c>
      <c r="E13" s="462"/>
      <c r="F13" s="418">
        <f>SUMIF(59:59,E13,60:60)-SUMIF(59:59,C13,60:60)+100</f>
        <v>100</v>
      </c>
      <c r="G13" s="2688"/>
      <c r="H13" s="431">
        <f>SUMIF(59:59,G13,60:60)-SUMIF(59:59,C13,60:60)+100</f>
        <v>100</v>
      </c>
      <c r="I13" s="462"/>
      <c r="J13" s="428">
        <f>SUMIF(59:59,I13,60:60)-SUMIF(59:59,C13,60:60)+100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433" t="s">
        <v>2559</v>
      </c>
      <c r="B14" s="67"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08" t="s">
        <v>2560</v>
      </c>
      <c r="Q14" s="1802" t="str">
        <f t="shared" si="6"/>
        <v>交通便捷度</v>
      </c>
      <c r="R14" s="767" t="s">
        <v>17</v>
      </c>
      <c r="S14" s="768">
        <f t="shared" si="0"/>
        <v>100</v>
      </c>
      <c r="T14" s="767" t="s">
        <v>17</v>
      </c>
      <c r="U14" s="768">
        <f t="shared" si="1"/>
        <v>100</v>
      </c>
      <c r="V14" s="767" t="s">
        <v>17</v>
      </c>
      <c r="W14" s="768">
        <f t="shared" si="2"/>
        <v>100</v>
      </c>
      <c r="X14" s="1805"/>
      <c r="Y14" s="3208" t="s">
        <v>2560</v>
      </c>
      <c r="Z14" s="1806" t="str">
        <f t="shared" si="7"/>
        <v>交通便捷度</v>
      </c>
      <c r="AA14" s="1803">
        <f t="shared" si="3"/>
        <v>1</v>
      </c>
      <c r="AB14" s="1803">
        <f t="shared" si="4"/>
        <v>1</v>
      </c>
      <c r="AC14" s="1803">
        <f t="shared" si="5"/>
        <v>1</v>
      </c>
    </row>
    <row r="15" spans="1:29" ht="15">
      <c r="A15" s="421"/>
      <c r="B15" s="439"/>
      <c r="C15" s="440"/>
      <c r="D15" s="441"/>
      <c r="E15" s="440"/>
      <c r="F15" s="442"/>
      <c r="G15" s="440"/>
      <c r="H15" s="443"/>
      <c r="I15" s="440"/>
      <c r="J15" s="441"/>
      <c r="K15" s="608"/>
      <c r="L15" s="1133"/>
      <c r="M15" s="1124"/>
      <c r="N15" s="1124"/>
      <c r="O15" s="1132"/>
      <c r="P15" s="3209"/>
      <c r="Q15" s="1802"/>
      <c r="R15" s="767"/>
      <c r="S15" s="768"/>
      <c r="T15" s="767"/>
      <c r="U15" s="768"/>
      <c r="V15" s="767"/>
      <c r="W15" s="768"/>
      <c r="X15" s="1805"/>
      <c r="Y15" s="3209"/>
      <c r="Z15" s="1806"/>
      <c r="AA15" s="1803">
        <v>1</v>
      </c>
      <c r="AB15" s="1803">
        <v>1</v>
      </c>
      <c r="AC15" s="1803">
        <v>1</v>
      </c>
    </row>
    <row r="16" spans="1:29" ht="71.25">
      <c r="A16" s="421"/>
      <c r="B16" s="444" t="s">
        <v>2688</v>
      </c>
      <c r="C16" s="2598"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09"/>
      <c r="Q16" s="1802" t="str">
        <f>B16</f>
        <v>公共配套设施</v>
      </c>
      <c r="R16" s="767" t="s">
        <v>17</v>
      </c>
      <c r="S16" s="768">
        <f>F16</f>
        <v>100</v>
      </c>
      <c r="T16" s="767" t="s">
        <v>17</v>
      </c>
      <c r="U16" s="768">
        <f>H16</f>
        <v>100</v>
      </c>
      <c r="V16" s="767" t="s">
        <v>17</v>
      </c>
      <c r="W16" s="768">
        <f>J16</f>
        <v>100</v>
      </c>
      <c r="X16" s="1805"/>
      <c r="Y16" s="3209"/>
      <c r="Z16" s="1806" t="str">
        <f>Q16</f>
        <v>公共配套设施</v>
      </c>
      <c r="AA16" s="1803">
        <f t="shared" si="3"/>
        <v>1</v>
      </c>
      <c r="AB16" s="1803">
        <f t="shared" si="4"/>
        <v>1</v>
      </c>
      <c r="AC16" s="1803">
        <f t="shared" si="5"/>
        <v>1</v>
      </c>
    </row>
    <row r="17" spans="1:29" ht="15">
      <c r="A17" s="421"/>
      <c r="B17" s="449"/>
      <c r="C17" s="2599"/>
      <c r="D17" s="441"/>
      <c r="E17" s="440"/>
      <c r="F17" s="442"/>
      <c r="G17" s="440"/>
      <c r="H17" s="441"/>
      <c r="I17" s="440"/>
      <c r="J17" s="441"/>
      <c r="K17" s="608"/>
      <c r="L17" s="1133"/>
      <c r="M17" s="1124"/>
      <c r="N17" s="1124"/>
      <c r="O17" s="1132"/>
      <c r="P17" s="3209"/>
      <c r="Q17" s="1802"/>
      <c r="R17" s="767"/>
      <c r="S17" s="768"/>
      <c r="T17" s="767"/>
      <c r="U17" s="768"/>
      <c r="V17" s="767"/>
      <c r="W17" s="768"/>
      <c r="X17" s="1805"/>
      <c r="Y17" s="3209"/>
      <c r="Z17" s="1806"/>
      <c r="AA17" s="1803">
        <v>1</v>
      </c>
      <c r="AB17" s="1803">
        <v>1</v>
      </c>
      <c r="AC17" s="1803">
        <v>1</v>
      </c>
    </row>
    <row r="18" spans="1:29" ht="42.75">
      <c r="A18" s="421"/>
      <c r="B18" s="1377" t="s">
        <v>2689</v>
      </c>
      <c r="C18" s="2598"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09"/>
      <c r="Q18" s="1802" t="str">
        <f>B18</f>
        <v>基础设施水平</v>
      </c>
      <c r="R18" s="767" t="s">
        <v>17</v>
      </c>
      <c r="S18" s="768">
        <f>F18</f>
        <v>100</v>
      </c>
      <c r="T18" s="767" t="s">
        <v>17</v>
      </c>
      <c r="U18" s="768">
        <f>H18</f>
        <v>100</v>
      </c>
      <c r="V18" s="767" t="s">
        <v>17</v>
      </c>
      <c r="W18" s="768">
        <f>J18</f>
        <v>100</v>
      </c>
      <c r="X18" s="1805"/>
      <c r="Y18" s="3209"/>
      <c r="Z18" s="1806" t="str">
        <f>Q18</f>
        <v>基础设施水平</v>
      </c>
      <c r="AA18" s="1803">
        <f t="shared" ref="AA18" si="8">D18/F18</f>
        <v>1</v>
      </c>
      <c r="AB18" s="1803">
        <f t="shared" ref="AB18" si="9">D18/H18</f>
        <v>1</v>
      </c>
      <c r="AC18" s="1803">
        <f t="shared" ref="AC18" si="10">D18/J18</f>
        <v>1</v>
      </c>
    </row>
    <row r="19" spans="1:29" ht="15">
      <c r="A19" s="421"/>
      <c r="B19" s="1377"/>
      <c r="C19" s="2599"/>
      <c r="D19" s="443"/>
      <c r="E19" s="2599"/>
      <c r="F19" s="446"/>
      <c r="G19" s="2599"/>
      <c r="H19" s="441"/>
      <c r="I19" s="440"/>
      <c r="J19" s="441"/>
      <c r="K19" s="1376"/>
      <c r="L19" s="1133"/>
      <c r="M19" s="1124"/>
      <c r="N19" s="1124"/>
      <c r="O19" s="1132"/>
      <c r="P19" s="3209"/>
      <c r="Q19" s="1802"/>
      <c r="R19" s="767"/>
      <c r="S19" s="768"/>
      <c r="T19" s="767"/>
      <c r="U19" s="768"/>
      <c r="V19" s="767"/>
      <c r="W19" s="768"/>
      <c r="X19" s="1805"/>
      <c r="Y19" s="3209"/>
      <c r="Z19" s="1806"/>
      <c r="AA19" s="1803">
        <v>1</v>
      </c>
      <c r="AB19" s="1803">
        <v>1</v>
      </c>
      <c r="AC19" s="1803">
        <v>1</v>
      </c>
    </row>
    <row r="20" spans="1:29" ht="128.25">
      <c r="A20" s="421"/>
      <c r="B20" s="44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09"/>
      <c r="Q20" s="1802" t="str">
        <f>B20</f>
        <v>自然及人文环境</v>
      </c>
      <c r="R20" s="767" t="s">
        <v>17</v>
      </c>
      <c r="S20" s="768">
        <f>F20</f>
        <v>100</v>
      </c>
      <c r="T20" s="767" t="s">
        <v>17</v>
      </c>
      <c r="U20" s="768">
        <f>H20</f>
        <v>100</v>
      </c>
      <c r="V20" s="767" t="s">
        <v>17</v>
      </c>
      <c r="W20" s="768">
        <f>J20</f>
        <v>100</v>
      </c>
      <c r="X20" s="1805"/>
      <c r="Y20" s="3209"/>
      <c r="Z20" s="1806" t="str">
        <f>Q20</f>
        <v>自然及人文环境</v>
      </c>
      <c r="AA20" s="1803">
        <f t="shared" si="3"/>
        <v>1</v>
      </c>
      <c r="AB20" s="1803">
        <f t="shared" si="4"/>
        <v>1</v>
      </c>
      <c r="AC20" s="1803">
        <f t="shared" si="5"/>
        <v>1</v>
      </c>
    </row>
    <row r="21" spans="1:29" ht="15">
      <c r="A21" s="421"/>
      <c r="B21" s="449"/>
      <c r="C21" s="440"/>
      <c r="D21" s="441"/>
      <c r="E21" s="440"/>
      <c r="F21" s="442"/>
      <c r="G21" s="440"/>
      <c r="H21" s="441"/>
      <c r="I21" s="440"/>
      <c r="J21" s="441"/>
      <c r="K21" s="608"/>
      <c r="L21" s="1133"/>
      <c r="M21" s="1124"/>
      <c r="N21" s="1124"/>
      <c r="O21" s="1132"/>
      <c r="P21" s="3209"/>
      <c r="Q21" s="1802"/>
      <c r="R21" s="767"/>
      <c r="S21" s="768"/>
      <c r="T21" s="767"/>
      <c r="U21" s="768"/>
      <c r="V21" s="767"/>
      <c r="W21" s="768"/>
      <c r="X21" s="1805"/>
      <c r="Y21" s="3209"/>
      <c r="Z21" s="1806"/>
      <c r="AA21" s="1803">
        <v>1</v>
      </c>
      <c r="AB21" s="1803">
        <v>1</v>
      </c>
      <c r="AC21" s="1803">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2591">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421"/>
      <c r="B24" s="2591">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09"/>
      <c r="Q24" s="1802">
        <f t="shared" ref="Q24:Q34"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424"/>
      <c r="B25" s="2591">
        <v>111</v>
      </c>
      <c r="C25" s="2689"/>
      <c r="D25" s="658">
        <v>100</v>
      </c>
      <c r="E25" s="2689"/>
      <c r="F25" s="659">
        <f>SUMIF(75:75,E25,76:76)-SUMIF(75:75,C25,76:76)+100</f>
        <v>100</v>
      </c>
      <c r="G25" s="2689"/>
      <c r="H25" s="658">
        <f>SUMIF(75:75,G25,76:76)-SUMIF(75:75,C25,76:76)+100</f>
        <v>100</v>
      </c>
      <c r="I25" s="2689"/>
      <c r="J25" s="658">
        <f>SUMIF(75:75,I25,76:76)-SUMIF(75:75,C25,76:76)+100</f>
        <v>100</v>
      </c>
      <c r="K25" s="606"/>
      <c r="L25" s="1125"/>
      <c r="M25" s="1126"/>
      <c r="N25" s="1126"/>
      <c r="O25" s="1127"/>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459" t="s">
        <v>2563</v>
      </c>
      <c r="B26" s="69" t="s">
        <v>2714</v>
      </c>
      <c r="C26" s="2670"/>
      <c r="D26" s="460">
        <v>100</v>
      </c>
      <c r="E26" s="2670"/>
      <c r="F26" s="660">
        <f>SUMIF(77:77,E26,78:78)-SUMIF(77:77,C26,78:78)+100</f>
        <v>100</v>
      </c>
      <c r="G26" s="2670"/>
      <c r="H26" s="460">
        <f>SUMIF(77:77,G26,78:78)-SUMIF(77:77,C26,78:78)+100</f>
        <v>100</v>
      </c>
      <c r="I26" s="2670"/>
      <c r="J26" s="460">
        <f>SUMIF(77:77,I26,78:78)-SUMIF(77:77,C26,78:78)+100</f>
        <v>100</v>
      </c>
      <c r="K26" s="605"/>
      <c r="L26" s="1133"/>
      <c r="M26" s="1124"/>
      <c r="N26" s="1124"/>
      <c r="O26" s="1132"/>
      <c r="P26" s="3210" t="s">
        <v>2565</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11" t="s">
        <v>2565</v>
      </c>
      <c r="Z26" s="1806" t="str">
        <f t="shared" ref="Z26:Z34" si="15">Q26</f>
        <v>公共部分装修</v>
      </c>
      <c r="AA26" s="1803">
        <f t="shared" si="3"/>
        <v>1</v>
      </c>
      <c r="AB26" s="1803">
        <f t="shared" si="4"/>
        <v>1</v>
      </c>
      <c r="AC26" s="1803">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11"/>
      <c r="Q27" s="769" t="str">
        <f t="shared" si="11"/>
        <v>成新率</v>
      </c>
      <c r="R27" s="770" t="s">
        <v>17</v>
      </c>
      <c r="S27" s="771" t="e">
        <f t="shared" si="12"/>
        <v>#N/A</v>
      </c>
      <c r="T27" s="770" t="s">
        <v>17</v>
      </c>
      <c r="U27" s="771" t="e">
        <f t="shared" si="13"/>
        <v>#N/A</v>
      </c>
      <c r="V27" s="770" t="s">
        <v>17</v>
      </c>
      <c r="W27" s="771" t="e">
        <f t="shared" si="14"/>
        <v>#N/A</v>
      </c>
      <c r="X27" s="772"/>
      <c r="Y27" s="3211"/>
      <c r="Z27" s="773" t="str">
        <f t="shared" si="15"/>
        <v>成新率</v>
      </c>
      <c r="AA27" s="1803" t="e">
        <f t="shared" si="3"/>
        <v>#N/A</v>
      </c>
      <c r="AB27" s="1803" t="e">
        <f t="shared" si="4"/>
        <v>#N/A</v>
      </c>
      <c r="AC27" s="1803"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11"/>
      <c r="Q28" s="1802" t="str">
        <f t="shared" si="11"/>
        <v>物业等级</v>
      </c>
      <c r="R28" s="767" t="s">
        <v>17</v>
      </c>
      <c r="S28" s="768">
        <f t="shared" si="12"/>
        <v>100</v>
      </c>
      <c r="T28" s="767" t="s">
        <v>17</v>
      </c>
      <c r="U28" s="768">
        <f t="shared" si="13"/>
        <v>100</v>
      </c>
      <c r="V28" s="767" t="s">
        <v>17</v>
      </c>
      <c r="W28" s="768">
        <f t="shared" si="14"/>
        <v>100</v>
      </c>
      <c r="X28" s="1805"/>
      <c r="Y28" s="3211"/>
      <c r="Z28" s="1806" t="str">
        <f t="shared" si="15"/>
        <v>物业等级</v>
      </c>
      <c r="AA28" s="1803">
        <f t="shared" si="3"/>
        <v>1</v>
      </c>
      <c r="AB28" s="1803">
        <f t="shared" si="4"/>
        <v>1</v>
      </c>
      <c r="AC28" s="1803">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11"/>
      <c r="Q29" s="1802" t="str">
        <f t="shared" si="11"/>
        <v>有无电梯</v>
      </c>
      <c r="R29" s="767" t="s">
        <v>17</v>
      </c>
      <c r="S29" s="768">
        <f t="shared" si="12"/>
        <v>100</v>
      </c>
      <c r="T29" s="767" t="s">
        <v>17</v>
      </c>
      <c r="U29" s="768">
        <f t="shared" si="13"/>
        <v>100</v>
      </c>
      <c r="V29" s="767" t="s">
        <v>17</v>
      </c>
      <c r="W29" s="768">
        <f t="shared" si="14"/>
        <v>100</v>
      </c>
      <c r="X29" s="1805"/>
      <c r="Y29" s="3211"/>
      <c r="Z29" s="1806" t="str">
        <f t="shared" si="15"/>
        <v>有无电梯</v>
      </c>
      <c r="AA29" s="1803">
        <f t="shared" si="3"/>
        <v>1</v>
      </c>
      <c r="AB29" s="1803">
        <f t="shared" si="4"/>
        <v>1</v>
      </c>
      <c r="AC29" s="1803">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11"/>
      <c r="Q30" s="1802" t="str">
        <f t="shared" si="11"/>
        <v>建筑面积</v>
      </c>
      <c r="R30" s="767" t="s">
        <v>17</v>
      </c>
      <c r="S30" s="768" t="e">
        <f t="shared" si="12"/>
        <v>#N/A</v>
      </c>
      <c r="T30" s="767" t="s">
        <v>17</v>
      </c>
      <c r="U30" s="768" t="e">
        <f t="shared" si="13"/>
        <v>#N/A</v>
      </c>
      <c r="V30" s="767" t="s">
        <v>17</v>
      </c>
      <c r="W30" s="768" t="e">
        <f t="shared" si="14"/>
        <v>#N/A</v>
      </c>
      <c r="X30" s="1805"/>
      <c r="Y30" s="3211"/>
      <c r="Z30" s="1806" t="str">
        <f t="shared" si="15"/>
        <v>建筑面积</v>
      </c>
      <c r="AA30" s="1803" t="e">
        <f t="shared" si="3"/>
        <v>#N/A</v>
      </c>
      <c r="AB30" s="1803" t="e">
        <f t="shared" si="4"/>
        <v>#N/A</v>
      </c>
      <c r="AC30" s="1803"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11"/>
      <c r="Q31" s="1787" t="str">
        <f t="shared" si="11"/>
        <v>是否封闭</v>
      </c>
      <c r="R31" s="763" t="s">
        <v>17</v>
      </c>
      <c r="S31" s="764">
        <f t="shared" si="12"/>
        <v>100</v>
      </c>
      <c r="T31" s="763" t="s">
        <v>17</v>
      </c>
      <c r="U31" s="764">
        <f t="shared" si="13"/>
        <v>100</v>
      </c>
      <c r="V31" s="763" t="s">
        <v>17</v>
      </c>
      <c r="W31" s="764">
        <f t="shared" si="14"/>
        <v>100</v>
      </c>
      <c r="X31" s="765"/>
      <c r="Y31" s="3211"/>
      <c r="Z31" s="55" t="str">
        <f t="shared" si="15"/>
        <v>是否封闭</v>
      </c>
      <c r="AA31" s="766">
        <f t="shared" si="3"/>
        <v>1</v>
      </c>
      <c r="AB31" s="766">
        <f t="shared" si="4"/>
        <v>1</v>
      </c>
      <c r="AC31" s="766">
        <f t="shared" si="5"/>
        <v>1</v>
      </c>
    </row>
    <row r="32" spans="1:29" ht="15">
      <c r="A32" s="465"/>
      <c r="B32" s="2591">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11" t="s">
        <v>2565</v>
      </c>
      <c r="Q32" s="1802">
        <f t="shared" si="11"/>
        <v>111</v>
      </c>
      <c r="R32" s="767" t="s">
        <v>17</v>
      </c>
      <c r="S32" s="768">
        <f t="shared" si="12"/>
        <v>100</v>
      </c>
      <c r="T32" s="767" t="s">
        <v>17</v>
      </c>
      <c r="U32" s="768">
        <f t="shared" si="13"/>
        <v>100</v>
      </c>
      <c r="V32" s="767" t="s">
        <v>17</v>
      </c>
      <c r="W32" s="768">
        <f t="shared" si="14"/>
        <v>100</v>
      </c>
      <c r="X32" s="1805"/>
      <c r="Y32" s="3211" t="s">
        <v>2565</v>
      </c>
      <c r="Z32" s="1806">
        <f t="shared" si="15"/>
        <v>111</v>
      </c>
      <c r="AA32" s="1803">
        <f t="shared" si="3"/>
        <v>1</v>
      </c>
      <c r="AB32" s="1803">
        <f t="shared" si="4"/>
        <v>1</v>
      </c>
      <c r="AC32" s="1803">
        <f t="shared" si="5"/>
        <v>1</v>
      </c>
    </row>
    <row r="33" spans="1:29" ht="15">
      <c r="A33" s="465"/>
      <c r="B33" s="2591">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11"/>
      <c r="Q33" s="1802">
        <f t="shared" si="11"/>
        <v>111</v>
      </c>
      <c r="R33" s="767" t="s">
        <v>17</v>
      </c>
      <c r="S33" s="768">
        <f t="shared" si="12"/>
        <v>100</v>
      </c>
      <c r="T33" s="767" t="s">
        <v>17</v>
      </c>
      <c r="U33" s="768">
        <f t="shared" si="13"/>
        <v>100</v>
      </c>
      <c r="V33" s="767" t="s">
        <v>17</v>
      </c>
      <c r="W33" s="768">
        <f t="shared" si="14"/>
        <v>100</v>
      </c>
      <c r="X33" s="1805"/>
      <c r="Y33" s="3211"/>
      <c r="Z33" s="1806">
        <f t="shared" si="15"/>
        <v>111</v>
      </c>
      <c r="AA33" s="1803">
        <f t="shared" si="3"/>
        <v>1</v>
      </c>
      <c r="AB33" s="1803">
        <f t="shared" si="4"/>
        <v>1</v>
      </c>
      <c r="AC33" s="1803">
        <f t="shared" si="5"/>
        <v>1</v>
      </c>
    </row>
    <row r="34" spans="1:29" ht="15.75" thickBot="1">
      <c r="A34" s="471"/>
      <c r="B34" s="2593">
        <v>111</v>
      </c>
      <c r="C34" s="430"/>
      <c r="D34" s="431">
        <v>100</v>
      </c>
      <c r="E34" s="2688"/>
      <c r="F34" s="432">
        <f>SUMIF(95:95,E34,96:96)-SUMIF(95:95,C34,96:96)+100</f>
        <v>100</v>
      </c>
      <c r="G34" s="2688"/>
      <c r="H34" s="431">
        <f>SUMIF(95:95,G34,96:96)-SUMIF(95:95,C34,96:96)+100</f>
        <v>100</v>
      </c>
      <c r="I34" s="2688"/>
      <c r="J34" s="431">
        <f>SUMIF(95:95,I34,96:96)-SUMIF(95:95,C34,96:96)+100</f>
        <v>100</v>
      </c>
      <c r="K34" s="606"/>
      <c r="L34" s="1133"/>
      <c r="M34" s="1124"/>
      <c r="N34" s="1124"/>
      <c r="O34" s="1132"/>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ht="15">
      <c r="A35" s="472" t="s">
        <v>2577</v>
      </c>
      <c r="B35" s="473"/>
      <c r="C35" s="1400" t="s">
        <v>1</v>
      </c>
      <c r="D35" s="1401"/>
      <c r="E35" s="1402"/>
      <c r="F35" s="1403"/>
      <c r="G35" s="1404"/>
      <c r="H35" s="1405"/>
      <c r="I35" s="1402"/>
      <c r="J35" s="1405"/>
      <c r="K35" s="776"/>
      <c r="L35" s="1136"/>
      <c r="M35" s="1137"/>
      <c r="N35" s="1124"/>
      <c r="O35" s="1137"/>
      <c r="P35" s="3206" t="str">
        <f>A35</f>
        <v>成交单价（元/平方米）</v>
      </c>
      <c r="Q35" s="3206"/>
      <c r="R35" s="3242">
        <f>E35</f>
        <v>0</v>
      </c>
      <c r="S35" s="3242"/>
      <c r="T35" s="3242">
        <f>G35</f>
        <v>0</v>
      </c>
      <c r="U35" s="3242"/>
      <c r="V35" s="3242">
        <f>I35</f>
        <v>0</v>
      </c>
      <c r="W35" s="3242"/>
      <c r="X35" s="752"/>
      <c r="Y35" s="774"/>
      <c r="Z35" s="752"/>
      <c r="AA35" s="752"/>
      <c r="AB35" s="752"/>
      <c r="AC35" s="752"/>
    </row>
    <row r="36" spans="1:29" ht="15.75" thickBot="1">
      <c r="A36" s="479" t="s">
        <v>2669</v>
      </c>
      <c r="B36" s="480"/>
      <c r="C36" s="1406" t="e">
        <f>R37</f>
        <v>#DIV/0!</v>
      </c>
      <c r="D36" s="1407"/>
      <c r="E36" s="1408" t="e">
        <f>R36</f>
        <v>#DIV/0!</v>
      </c>
      <c r="F36" s="1408"/>
      <c r="G36" s="1406" t="e">
        <f>T36</f>
        <v>#DIV/0!</v>
      </c>
      <c r="H36" s="1407"/>
      <c r="I36" s="1408" t="e">
        <f>V36</f>
        <v>#DIV/0!</v>
      </c>
      <c r="J36" s="1407"/>
      <c r="K36" s="777"/>
      <c r="L36" s="1136"/>
      <c r="M36" s="1137"/>
      <c r="N36" s="1124"/>
      <c r="O36" s="1137"/>
      <c r="P36" s="3206" t="str">
        <f>A36</f>
        <v>比较价值（元/平方米）</v>
      </c>
      <c r="Q36" s="3206"/>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2"/>
      <c r="Y36" s="752"/>
      <c r="Z36" s="752"/>
      <c r="AA36" s="752"/>
      <c r="AB36" s="752"/>
      <c r="AC36" s="752"/>
    </row>
    <row r="37" spans="1:29" ht="15.75" thickBot="1">
      <c r="A37" s="485" t="s">
        <v>2670</v>
      </c>
      <c r="B37" s="486"/>
      <c r="C37" s="1410" t="e">
        <f>R37</f>
        <v>#DIV/0!</v>
      </c>
      <c r="D37" s="1410"/>
      <c r="E37" s="1410"/>
      <c r="F37" s="1410"/>
      <c r="G37" s="1410"/>
      <c r="H37" s="1410"/>
      <c r="I37" s="1410"/>
      <c r="J37" s="1410"/>
      <c r="K37" s="778"/>
      <c r="L37" s="1136"/>
      <c r="M37" s="1137"/>
      <c r="N37" s="1137"/>
      <c r="O37" s="1137"/>
      <c r="P37" s="3200" t="str">
        <f>A37</f>
        <v>估价对象XX用房的比较价值（楼面单价，元/平方米）</v>
      </c>
      <c r="Q37" s="3201"/>
      <c r="R37" s="3266" t="e">
        <f>IF(F1="售价",ROUND(AVERAGE(R36:V36),0),ROUND(AVERAGE(R36:V36),1))</f>
        <v>#DIV/0!</v>
      </c>
      <c r="S37" s="3266"/>
      <c r="T37" s="3266"/>
      <c r="U37" s="3266"/>
      <c r="V37" s="3266"/>
      <c r="W37" s="3266"/>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6" t="str">
        <f>YEAR(C7)&amp;"-"&amp;MONTH(C7)</f>
        <v>2018-3</v>
      </c>
      <c r="D46" s="1567">
        <f>EDATE(C46,-1)</f>
        <v>43132</v>
      </c>
      <c r="E46" s="1567">
        <f t="shared" ref="E46:O46" si="16">EDATE(D46,-1)</f>
        <v>43101</v>
      </c>
      <c r="F46" s="1567">
        <f t="shared" si="16"/>
        <v>43070</v>
      </c>
      <c r="G46" s="1567">
        <f t="shared" si="16"/>
        <v>43040</v>
      </c>
      <c r="H46" s="1567">
        <f t="shared" si="16"/>
        <v>43009</v>
      </c>
      <c r="I46" s="1567">
        <f t="shared" si="16"/>
        <v>42979</v>
      </c>
      <c r="J46" s="1567">
        <f t="shared" si="16"/>
        <v>42948</v>
      </c>
      <c r="K46" s="1567">
        <f t="shared" si="16"/>
        <v>42917</v>
      </c>
      <c r="L46" s="1567">
        <f t="shared" si="16"/>
        <v>42887</v>
      </c>
      <c r="M46" s="1567">
        <f t="shared" si="16"/>
        <v>42856</v>
      </c>
      <c r="N46" s="1567">
        <f t="shared" si="16"/>
        <v>42826</v>
      </c>
      <c r="O46" s="1567">
        <f t="shared" si="16"/>
        <v>42795</v>
      </c>
      <c r="P46" s="500"/>
    </row>
    <row r="47" spans="1:29" s="111" customFormat="1" ht="15">
      <c r="A47" s="502"/>
      <c r="B47" s="503"/>
      <c r="C47" s="1565">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5"/>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2796</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94" t="s">
        <v>2797</v>
      </c>
      <c r="D6" s="3295"/>
      <c r="E6" s="3296" t="s">
        <v>2797</v>
      </c>
      <c r="F6" s="3297"/>
      <c r="G6" s="3294" t="s">
        <v>2797</v>
      </c>
      <c r="H6" s="3295"/>
      <c r="I6" s="3294" t="s">
        <v>2797</v>
      </c>
      <c r="J6" s="3295"/>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SUMIF(65:65,YEAR(E7)&amp;"-"&amp;INT((MONTH(E7)+2)/3),66:66)</f>
        <v>0</v>
      </c>
      <c r="G7" s="2687"/>
      <c r="H7" s="404">
        <f>SUMIF(65:65,YEAR(G7)&amp;"-"&amp;INT((MONTH(G7)+2)/3),66:66)</f>
        <v>0</v>
      </c>
      <c r="I7" s="2687"/>
      <c r="J7" s="404">
        <f>SUMIF(65:65,YEAR(I7)&amp;"-"&amp;INT((MONTH(I7)+2)/3),66:66)</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2690"/>
      <c r="D9" s="128">
        <v>100</v>
      </c>
      <c r="E9" s="2690"/>
      <c r="F9" s="128">
        <f>SUMIF(70:70,E9,71:71)-SUMIF(70:70,C9,71:71)+100</f>
        <v>100</v>
      </c>
      <c r="G9" s="2690"/>
      <c r="H9" s="128">
        <f>SUMIF(70:70,G9,71:71)-SUMIF(70:70,C9,71:71)+100</f>
        <v>100</v>
      </c>
      <c r="I9" s="2690"/>
      <c r="J9" s="128">
        <f>SUMIF(70:70,I9,71:71)-SUMIF(70:70,C9,71:71)+100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22" t="s">
        <v>2798</v>
      </c>
      <c r="C15" s="2684"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623"/>
      <c r="C16" s="440"/>
      <c r="D16" s="441"/>
      <c r="E16" s="2602"/>
      <c r="F16" s="441"/>
      <c r="G16" s="2602"/>
      <c r="H16" s="443"/>
      <c r="I16" s="2602"/>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624" t="s">
        <v>2709</v>
      </c>
      <c r="C17" s="2598"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625"/>
      <c r="C18" s="440"/>
      <c r="D18" s="441"/>
      <c r="E18" s="2596"/>
      <c r="F18" s="441"/>
      <c r="G18" s="2596"/>
      <c r="H18" s="441"/>
      <c r="I18" s="2595"/>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15">
      <c r="A19" s="421"/>
      <c r="B19" s="624" t="s">
        <v>2748</v>
      </c>
      <c r="C19" s="2598">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09"/>
      <c r="Q19" s="1802" t="str">
        <f t="shared" ref="Q19:Q33" si="8">B19</f>
        <v>区域土地利用方向</v>
      </c>
      <c r="R19" s="767" t="s">
        <v>17</v>
      </c>
      <c r="S19" s="768">
        <f>F19</f>
        <v>100</v>
      </c>
      <c r="T19" s="767" t="s">
        <v>17</v>
      </c>
      <c r="U19" s="768">
        <f>H19</f>
        <v>100</v>
      </c>
      <c r="V19" s="767" t="s">
        <v>17</v>
      </c>
      <c r="W19" s="768">
        <f>J19</f>
        <v>100</v>
      </c>
      <c r="X19" s="1805"/>
      <c r="Y19" s="3209"/>
      <c r="Z19" s="1806" t="str">
        <f>Q19</f>
        <v>区域土地利用方向</v>
      </c>
      <c r="AA19" s="1803">
        <f t="shared" si="3"/>
        <v>1</v>
      </c>
      <c r="AB19" s="1803">
        <f t="shared" si="4"/>
        <v>1</v>
      </c>
      <c r="AC19" s="1803">
        <f t="shared" si="5"/>
        <v>1</v>
      </c>
    </row>
    <row r="20" spans="1:29" ht="15">
      <c r="A20" s="397"/>
      <c r="B20" s="625"/>
      <c r="C20" s="440"/>
      <c r="D20" s="441"/>
      <c r="E20" s="2596"/>
      <c r="F20" s="441"/>
      <c r="G20" s="2596"/>
      <c r="H20" s="441"/>
      <c r="I20" s="2596"/>
      <c r="J20" s="441"/>
      <c r="K20" s="802"/>
      <c r="L20" s="1133"/>
      <c r="M20" s="1124"/>
      <c r="N20" s="1124"/>
      <c r="O20" s="1132"/>
      <c r="P20" s="3209"/>
      <c r="Q20" s="1802"/>
      <c r="R20" s="767"/>
      <c r="S20" s="768"/>
      <c r="T20" s="767"/>
      <c r="U20" s="768"/>
      <c r="V20" s="767"/>
      <c r="W20" s="768"/>
      <c r="X20" s="1805"/>
      <c r="Y20" s="3209"/>
      <c r="Z20" s="1806"/>
      <c r="AA20" s="1803"/>
      <c r="AB20" s="1803"/>
      <c r="AC20" s="1803"/>
    </row>
    <row r="21" spans="1:29" ht="71.25">
      <c r="A21" s="397"/>
      <c r="B21" s="624" t="s">
        <v>2799</v>
      </c>
      <c r="C21" s="2598"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09"/>
      <c r="Q21" s="1802" t="str">
        <f t="shared" si="8"/>
        <v>环境状况</v>
      </c>
      <c r="R21" s="767" t="s">
        <v>17</v>
      </c>
      <c r="S21" s="768">
        <f>F21</f>
        <v>100</v>
      </c>
      <c r="T21" s="767" t="s">
        <v>17</v>
      </c>
      <c r="U21" s="768">
        <f>H21</f>
        <v>100</v>
      </c>
      <c r="V21" s="767" t="s">
        <v>17</v>
      </c>
      <c r="W21" s="768">
        <f>J21</f>
        <v>100</v>
      </c>
      <c r="X21" s="1805"/>
      <c r="Y21" s="3209"/>
      <c r="Z21" s="1806" t="str">
        <f>Q21</f>
        <v>环境状况</v>
      </c>
      <c r="AA21" s="1803">
        <f t="shared" si="3"/>
        <v>1</v>
      </c>
      <c r="AB21" s="1803">
        <f t="shared" si="4"/>
        <v>1</v>
      </c>
      <c r="AC21" s="1803">
        <f t="shared" si="5"/>
        <v>1</v>
      </c>
    </row>
    <row r="22" spans="1:29" ht="15">
      <c r="A22" s="397"/>
      <c r="B22" s="625"/>
      <c r="C22" s="440"/>
      <c r="D22" s="441"/>
      <c r="E22" s="2602"/>
      <c r="F22" s="441"/>
      <c r="G22" s="2602"/>
      <c r="H22" s="441"/>
      <c r="I22" s="440"/>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s="111" customFormat="1" ht="42.75">
      <c r="A23" s="642"/>
      <c r="B23" s="626" t="s">
        <v>2654</v>
      </c>
      <c r="C23" s="2598"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09"/>
      <c r="Q23" s="1787" t="str">
        <f t="shared" si="8"/>
        <v>公共配套设施</v>
      </c>
      <c r="R23" s="763" t="s">
        <v>17</v>
      </c>
      <c r="S23" s="764">
        <f>F23</f>
        <v>100</v>
      </c>
      <c r="T23" s="763" t="s">
        <v>17</v>
      </c>
      <c r="U23" s="764">
        <f>H23</f>
        <v>100</v>
      </c>
      <c r="V23" s="763" t="s">
        <v>17</v>
      </c>
      <c r="W23" s="764">
        <f>J23</f>
        <v>100</v>
      </c>
      <c r="X23" s="765"/>
      <c r="Y23" s="3209"/>
      <c r="Z23" s="55" t="str">
        <f>Q23</f>
        <v>公共配套设施</v>
      </c>
      <c r="AA23" s="1803">
        <f>D23/F23</f>
        <v>1</v>
      </c>
      <c r="AB23" s="1803">
        <f>D23/H23</f>
        <v>1</v>
      </c>
      <c r="AC23" s="1803">
        <f>D23/J23</f>
        <v>1</v>
      </c>
    </row>
    <row r="24" spans="1:29" s="111" customFormat="1" ht="15">
      <c r="A24" s="642"/>
      <c r="B24" s="625"/>
      <c r="C24" s="2691"/>
      <c r="D24" s="441"/>
      <c r="E24" s="2602"/>
      <c r="F24" s="441"/>
      <c r="G24" s="2602"/>
      <c r="H24" s="441"/>
      <c r="I24" s="440"/>
      <c r="J24" s="441"/>
      <c r="K24" s="665"/>
      <c r="L24" s="1125"/>
      <c r="M24" s="1126"/>
      <c r="N24" s="1126"/>
      <c r="O24" s="1127"/>
      <c r="P24" s="3209"/>
      <c r="Q24" s="1787"/>
      <c r="R24" s="763"/>
      <c r="S24" s="764"/>
      <c r="T24" s="763"/>
      <c r="U24" s="764"/>
      <c r="V24" s="763"/>
      <c r="W24" s="764"/>
      <c r="X24" s="765"/>
      <c r="Y24" s="3209"/>
      <c r="Z24" s="55"/>
      <c r="AA24" s="766">
        <v>1</v>
      </c>
      <c r="AB24" s="766">
        <v>1</v>
      </c>
      <c r="AC24" s="766">
        <v>1</v>
      </c>
    </row>
    <row r="25" spans="1:29" s="111" customFormat="1" ht="28.5">
      <c r="A25" s="642"/>
      <c r="B25" s="626" t="s">
        <v>2655</v>
      </c>
      <c r="C25" s="2598"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09"/>
      <c r="Q25" s="1787" t="str">
        <f t="shared" ref="Q25" si="9">B25</f>
        <v>基础设施水平</v>
      </c>
      <c r="R25" s="763" t="s">
        <v>17</v>
      </c>
      <c r="S25" s="764">
        <f>F25</f>
        <v>100</v>
      </c>
      <c r="T25" s="763" t="s">
        <v>17</v>
      </c>
      <c r="U25" s="764">
        <f>H25</f>
        <v>100</v>
      </c>
      <c r="V25" s="763" t="s">
        <v>17</v>
      </c>
      <c r="W25" s="764">
        <f>J25</f>
        <v>100</v>
      </c>
      <c r="X25" s="765"/>
      <c r="Y25" s="3209"/>
      <c r="Z25" s="55" t="str">
        <f>Q25</f>
        <v>基础设施水平</v>
      </c>
      <c r="AA25" s="1803">
        <f>D25/F25</f>
        <v>1</v>
      </c>
      <c r="AB25" s="1803">
        <f>D25/H25</f>
        <v>1</v>
      </c>
      <c r="AC25" s="1803">
        <f>D25/J25</f>
        <v>1</v>
      </c>
    </row>
    <row r="26" spans="1:29" s="111" customFormat="1" ht="15">
      <c r="A26" s="642"/>
      <c r="B26" s="625"/>
      <c r="C26" s="2691"/>
      <c r="D26" s="441"/>
      <c r="E26" s="2692"/>
      <c r="F26" s="441"/>
      <c r="G26" s="2692"/>
      <c r="H26" s="441"/>
      <c r="I26" s="2692"/>
      <c r="J26" s="441"/>
      <c r="K26" s="665"/>
      <c r="L26" s="1125"/>
      <c r="M26" s="1126"/>
      <c r="N26" s="1126"/>
      <c r="O26" s="1127"/>
      <c r="P26" s="3209"/>
      <c r="Q26" s="1787"/>
      <c r="R26" s="763"/>
      <c r="S26" s="764"/>
      <c r="T26" s="763"/>
      <c r="U26" s="764"/>
      <c r="V26" s="763"/>
      <c r="W26" s="764"/>
      <c r="X26" s="765"/>
      <c r="Y26" s="3209"/>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09"/>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09"/>
      <c r="Z27" s="1806" t="str">
        <f t="shared" ref="Z27:Z40" si="13">Q27</f>
        <v>临街状况</v>
      </c>
      <c r="AA27" s="1803">
        <f t="shared" si="3"/>
        <v>1</v>
      </c>
      <c r="AB27" s="1803">
        <f t="shared" si="4"/>
        <v>1</v>
      </c>
      <c r="AC27" s="1803">
        <f t="shared" si="5"/>
        <v>1</v>
      </c>
    </row>
    <row r="28" spans="1:29" ht="27">
      <c r="A28" s="421"/>
      <c r="B28" s="626" t="s">
        <v>2691</v>
      </c>
      <c r="C28" s="2704">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09"/>
      <c r="Q28" s="1802" t="str">
        <f t="shared" si="8"/>
        <v>毗邻道路的类型与等级</v>
      </c>
      <c r="R28" s="767" t="s">
        <v>17</v>
      </c>
      <c r="S28" s="768">
        <f t="shared" si="10"/>
        <v>100</v>
      </c>
      <c r="T28" s="767" t="s">
        <v>17</v>
      </c>
      <c r="U28" s="768">
        <f t="shared" si="11"/>
        <v>100</v>
      </c>
      <c r="V28" s="767" t="s">
        <v>17</v>
      </c>
      <c r="W28" s="768">
        <f t="shared" si="12"/>
        <v>100</v>
      </c>
      <c r="X28" s="1805"/>
      <c r="Y28" s="3209"/>
      <c r="Z28" s="1806" t="str">
        <f t="shared" si="13"/>
        <v>毗邻道路的类型与等级</v>
      </c>
      <c r="AA28" s="1803">
        <f t="shared" si="3"/>
        <v>1</v>
      </c>
      <c r="AB28" s="1803">
        <f t="shared" si="4"/>
        <v>1</v>
      </c>
      <c r="AC28" s="1803">
        <f t="shared" si="5"/>
        <v>1</v>
      </c>
    </row>
    <row r="29" spans="1:29" ht="15">
      <c r="A29" s="421"/>
      <c r="B29" s="625"/>
      <c r="C29" s="440"/>
      <c r="D29" s="441"/>
      <c r="E29" s="2602"/>
      <c r="F29" s="441"/>
      <c r="G29" s="2602"/>
      <c r="H29" s="441"/>
      <c r="I29" s="2602"/>
      <c r="J29" s="441"/>
      <c r="K29" s="606"/>
      <c r="L29" s="1133"/>
      <c r="M29" s="1124"/>
      <c r="N29" s="1124"/>
      <c r="O29" s="1132"/>
      <c r="P29" s="3209"/>
      <c r="Q29" s="1802"/>
      <c r="R29" s="767"/>
      <c r="S29" s="768"/>
      <c r="T29" s="767"/>
      <c r="U29" s="768"/>
      <c r="V29" s="767"/>
      <c r="W29" s="768"/>
      <c r="X29" s="1805"/>
      <c r="Y29" s="3209"/>
      <c r="Z29" s="1806"/>
      <c r="AA29" s="1803">
        <v>1</v>
      </c>
      <c r="AB29" s="1803">
        <v>1</v>
      </c>
      <c r="AC29" s="1803">
        <v>1</v>
      </c>
    </row>
    <row r="30" spans="1:29" ht="15">
      <c r="A30" s="421"/>
      <c r="B30" s="647" t="s">
        <v>2750</v>
      </c>
      <c r="C30" s="1382">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09"/>
      <c r="Q30" s="1802" t="str">
        <f t="shared" si="8"/>
        <v>土地级别</v>
      </c>
      <c r="R30" s="767" t="s">
        <v>17</v>
      </c>
      <c r="S30" s="768">
        <f t="shared" si="10"/>
        <v>100</v>
      </c>
      <c r="T30" s="767" t="s">
        <v>17</v>
      </c>
      <c r="U30" s="768">
        <f t="shared" si="11"/>
        <v>100</v>
      </c>
      <c r="V30" s="767" t="s">
        <v>17</v>
      </c>
      <c r="W30" s="768">
        <f t="shared" si="12"/>
        <v>100</v>
      </c>
      <c r="X30" s="1805"/>
      <c r="Y30" s="3209"/>
      <c r="Z30" s="1806" t="str">
        <f t="shared" si="13"/>
        <v>土地级别</v>
      </c>
      <c r="AA30" s="1803">
        <f t="shared" si="3"/>
        <v>1</v>
      </c>
      <c r="AB30" s="1803">
        <f t="shared" si="4"/>
        <v>1</v>
      </c>
      <c r="AC30" s="1803">
        <f t="shared" si="5"/>
        <v>1</v>
      </c>
    </row>
    <row r="31" spans="1:29" ht="15">
      <c r="A31" s="397"/>
      <c r="B31" s="2669">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09"/>
      <c r="Q31" s="1802">
        <f t="shared" si="8"/>
        <v>111</v>
      </c>
      <c r="R31" s="767" t="s">
        <v>17</v>
      </c>
      <c r="S31" s="768">
        <f t="shared" si="10"/>
        <v>100</v>
      </c>
      <c r="T31" s="767" t="s">
        <v>17</v>
      </c>
      <c r="U31" s="768">
        <f t="shared" si="11"/>
        <v>100</v>
      </c>
      <c r="V31" s="767" t="s">
        <v>17</v>
      </c>
      <c r="W31" s="768">
        <f t="shared" si="12"/>
        <v>100</v>
      </c>
      <c r="X31" s="1805"/>
      <c r="Y31" s="3209"/>
      <c r="Z31" s="1806">
        <f t="shared" si="13"/>
        <v>111</v>
      </c>
      <c r="AA31" s="1803">
        <f t="shared" si="3"/>
        <v>1</v>
      </c>
      <c r="AB31" s="1803">
        <f t="shared" si="4"/>
        <v>1</v>
      </c>
      <c r="AC31" s="1803">
        <f t="shared" si="5"/>
        <v>1</v>
      </c>
    </row>
    <row r="32" spans="1:29" ht="15">
      <c r="A32" s="668"/>
      <c r="B32" s="2705">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10" t="s">
        <v>2565</v>
      </c>
      <c r="Q32" s="1802">
        <f t="shared" si="8"/>
        <v>111</v>
      </c>
      <c r="R32" s="767" t="s">
        <v>17</v>
      </c>
      <c r="S32" s="768">
        <f t="shared" si="10"/>
        <v>100</v>
      </c>
      <c r="T32" s="767" t="s">
        <v>17</v>
      </c>
      <c r="U32" s="768">
        <f t="shared" si="11"/>
        <v>100</v>
      </c>
      <c r="V32" s="767" t="s">
        <v>17</v>
      </c>
      <c r="W32" s="768">
        <f t="shared" si="12"/>
        <v>100</v>
      </c>
      <c r="X32" s="1805"/>
      <c r="Y32" s="3211" t="s">
        <v>2565</v>
      </c>
      <c r="Z32" s="1806">
        <f t="shared" si="13"/>
        <v>111</v>
      </c>
      <c r="AA32" s="1803">
        <f t="shared" si="3"/>
        <v>1</v>
      </c>
      <c r="AB32" s="1803">
        <f t="shared" si="4"/>
        <v>1</v>
      </c>
      <c r="AC32" s="1803">
        <f t="shared" si="5"/>
        <v>1</v>
      </c>
    </row>
    <row r="33" spans="1:29" s="464" customFormat="1" ht="15.75" thickBot="1">
      <c r="A33" s="669"/>
      <c r="B33" s="2706">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11"/>
      <c r="Q33" s="1802">
        <f t="shared" si="8"/>
        <v>111</v>
      </c>
      <c r="R33" s="770" t="s">
        <v>17</v>
      </c>
      <c r="S33" s="771">
        <f t="shared" si="10"/>
        <v>100</v>
      </c>
      <c r="T33" s="770" t="s">
        <v>17</v>
      </c>
      <c r="U33" s="771">
        <f t="shared" si="11"/>
        <v>100</v>
      </c>
      <c r="V33" s="770" t="s">
        <v>17</v>
      </c>
      <c r="W33" s="771">
        <f t="shared" si="12"/>
        <v>100</v>
      </c>
      <c r="X33" s="772"/>
      <c r="Y33" s="3211"/>
      <c r="Z33" s="773">
        <f t="shared" si="13"/>
        <v>111</v>
      </c>
      <c r="AA33" s="1803">
        <f t="shared" si="3"/>
        <v>1</v>
      </c>
      <c r="AB33" s="1803">
        <f t="shared" si="4"/>
        <v>1</v>
      </c>
      <c r="AC33" s="1803">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11"/>
      <c r="Q34" s="1802" t="str">
        <f>B34</f>
        <v>宗地面积</v>
      </c>
      <c r="R34" s="767" t="s">
        <v>17</v>
      </c>
      <c r="S34" s="768" t="e">
        <f t="shared" si="10"/>
        <v>#N/A</v>
      </c>
      <c r="T34" s="767" t="s">
        <v>17</v>
      </c>
      <c r="U34" s="768" t="e">
        <f t="shared" si="11"/>
        <v>#N/A</v>
      </c>
      <c r="V34" s="767" t="s">
        <v>17</v>
      </c>
      <c r="W34" s="768" t="e">
        <f t="shared" si="12"/>
        <v>#N/A</v>
      </c>
      <c r="X34" s="1805"/>
      <c r="Y34" s="3211"/>
      <c r="Z34" s="1806" t="str">
        <f t="shared" si="13"/>
        <v>宗地面积</v>
      </c>
      <c r="AA34" s="1803" t="e">
        <f t="shared" si="3"/>
        <v>#N/A</v>
      </c>
      <c r="AB34" s="1803" t="e">
        <f t="shared" si="4"/>
        <v>#N/A</v>
      </c>
      <c r="AC34" s="1803" t="e">
        <f t="shared" si="5"/>
        <v>#N/A</v>
      </c>
    </row>
    <row r="35" spans="1:29" ht="15">
      <c r="A35" s="465"/>
      <c r="B35" s="415" t="s">
        <v>2752</v>
      </c>
      <c r="C35" s="2604"/>
      <c r="D35" s="428">
        <v>100</v>
      </c>
      <c r="E35" s="2604"/>
      <c r="F35" s="428">
        <f>SUMIF(110:110,E35,111:111)-SUMIF(110:110,C35,111:111)+100</f>
        <v>100</v>
      </c>
      <c r="G35" s="2604"/>
      <c r="H35" s="428">
        <f>SUMIF(110:110,G35,111:111)-SUMIF(110:110,C35,111:111)+100</f>
        <v>100</v>
      </c>
      <c r="I35" s="2604"/>
      <c r="J35" s="428">
        <f>SUMIF(110:110,I35,111:111)-SUMIF(110:110,C35,111:111)+100</f>
        <v>100</v>
      </c>
      <c r="K35" s="605"/>
      <c r="L35" s="1133"/>
      <c r="M35" s="1124"/>
      <c r="N35" s="1124"/>
      <c r="O35" s="1132"/>
      <c r="P35" s="3211"/>
      <c r="Q35" s="1802" t="str">
        <f t="shared" ref="Q35:Q40" si="14">B35</f>
        <v>宗地形状</v>
      </c>
      <c r="R35" s="767" t="s">
        <v>17</v>
      </c>
      <c r="S35" s="768">
        <f t="shared" si="10"/>
        <v>100</v>
      </c>
      <c r="T35" s="767" t="s">
        <v>17</v>
      </c>
      <c r="U35" s="768">
        <f t="shared" si="11"/>
        <v>100</v>
      </c>
      <c r="V35" s="767" t="s">
        <v>17</v>
      </c>
      <c r="W35" s="768">
        <f t="shared" si="12"/>
        <v>100</v>
      </c>
      <c r="X35" s="1805"/>
      <c r="Y35" s="3211"/>
      <c r="Z35" s="1806" t="str">
        <f t="shared" si="13"/>
        <v>宗地形状</v>
      </c>
      <c r="AA35" s="1803">
        <f t="shared" si="3"/>
        <v>1</v>
      </c>
      <c r="AB35" s="1803">
        <f t="shared" si="4"/>
        <v>1</v>
      </c>
      <c r="AC35" s="1803">
        <f t="shared" si="5"/>
        <v>1</v>
      </c>
    </row>
    <row r="36" spans="1:29" s="111" customFormat="1" ht="15">
      <c r="A36" s="466"/>
      <c r="B36" s="415" t="s">
        <v>2754</v>
      </c>
      <c r="C36" s="2693"/>
      <c r="D36" s="129">
        <v>100</v>
      </c>
      <c r="E36" s="2693"/>
      <c r="F36" s="428">
        <f>SUMIF(112:112,E36,113:113)-SUMIF(112:112,C36,113:113)+100</f>
        <v>100</v>
      </c>
      <c r="G36" s="2693"/>
      <c r="H36" s="428">
        <f>SUMIF(112:112,G36,113:113)-SUMIF(112:112,C36,113:113)+100</f>
        <v>100</v>
      </c>
      <c r="I36" s="2693"/>
      <c r="J36" s="428">
        <f>SUMIF(112:112,I36,113:113)-SUMIF(112:112,C36,113:113)+100</f>
        <v>100</v>
      </c>
      <c r="K36" s="605"/>
      <c r="L36" s="1125"/>
      <c r="M36" s="1126"/>
      <c r="N36" s="1126"/>
      <c r="O36" s="1127"/>
      <c r="P36" s="3211"/>
      <c r="Q36" s="1802" t="str">
        <f t="shared" si="14"/>
        <v>宗地开发程度</v>
      </c>
      <c r="R36" s="763" t="s">
        <v>17</v>
      </c>
      <c r="S36" s="764">
        <f t="shared" si="10"/>
        <v>100</v>
      </c>
      <c r="T36" s="763" t="s">
        <v>17</v>
      </c>
      <c r="U36" s="764">
        <f t="shared" si="11"/>
        <v>100</v>
      </c>
      <c r="V36" s="763" t="s">
        <v>17</v>
      </c>
      <c r="W36" s="764">
        <f t="shared" si="12"/>
        <v>100</v>
      </c>
      <c r="X36" s="765"/>
      <c r="Y36" s="3211"/>
      <c r="Z36" s="55" t="str">
        <f t="shared" si="13"/>
        <v>宗地开发程度</v>
      </c>
      <c r="AA36" s="766">
        <f t="shared" si="3"/>
        <v>1</v>
      </c>
      <c r="AB36" s="766">
        <f t="shared" si="4"/>
        <v>1</v>
      </c>
      <c r="AC36" s="766">
        <f t="shared" si="5"/>
        <v>1</v>
      </c>
    </row>
    <row r="37" spans="1:29" ht="15">
      <c r="A37" s="465"/>
      <c r="B37" s="415" t="s">
        <v>2755</v>
      </c>
      <c r="C37" s="2604"/>
      <c r="D37" s="428">
        <v>100</v>
      </c>
      <c r="E37" s="2604"/>
      <c r="F37" s="428">
        <f>SUMIF(114:114,E37,115:115)-SUMIF(114:114,C37,115:115)+100</f>
        <v>100</v>
      </c>
      <c r="G37" s="2604"/>
      <c r="H37" s="428">
        <f>SUMIF(114:114,G37,115:115)-SUMIF(114:114,C37,115:115)+100</f>
        <v>100</v>
      </c>
      <c r="I37" s="2604"/>
      <c r="J37" s="428">
        <f>SUMIF(114:114,I37,115:115)-SUMIF(114:114,C37,115:115)+100</f>
        <v>100</v>
      </c>
      <c r="K37" s="605"/>
      <c r="L37" s="1133"/>
      <c r="M37" s="1124"/>
      <c r="N37" s="1124"/>
      <c r="O37" s="1132"/>
      <c r="P37" s="3211" t="s">
        <v>2565</v>
      </c>
      <c r="Q37" s="1802" t="str">
        <f t="shared" si="14"/>
        <v>工程地质条件</v>
      </c>
      <c r="R37" s="767" t="s">
        <v>17</v>
      </c>
      <c r="S37" s="768">
        <f t="shared" si="10"/>
        <v>100</v>
      </c>
      <c r="T37" s="767" t="s">
        <v>17</v>
      </c>
      <c r="U37" s="768">
        <f t="shared" si="11"/>
        <v>100</v>
      </c>
      <c r="V37" s="767" t="s">
        <v>17</v>
      </c>
      <c r="W37" s="768">
        <f t="shared" si="12"/>
        <v>100</v>
      </c>
      <c r="X37" s="1805"/>
      <c r="Y37" s="3211" t="s">
        <v>2565</v>
      </c>
      <c r="Z37" s="1806" t="str">
        <f t="shared" si="13"/>
        <v>工程地质条件</v>
      </c>
      <c r="AA37" s="1803">
        <f t="shared" si="3"/>
        <v>1</v>
      </c>
      <c r="AB37" s="1803">
        <f t="shared" si="4"/>
        <v>1</v>
      </c>
      <c r="AC37" s="1803">
        <f t="shared" si="5"/>
        <v>1</v>
      </c>
    </row>
    <row r="38" spans="1:29" ht="15">
      <c r="A38" s="465"/>
      <c r="B38" s="1380">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11"/>
      <c r="Q38" s="1802">
        <f t="shared" si="14"/>
        <v>111</v>
      </c>
      <c r="R38" s="767" t="s">
        <v>17</v>
      </c>
      <c r="S38" s="768">
        <f t="shared" si="10"/>
        <v>100</v>
      </c>
      <c r="T38" s="767" t="s">
        <v>17</v>
      </c>
      <c r="U38" s="768">
        <f t="shared" si="11"/>
        <v>100</v>
      </c>
      <c r="V38" s="767" t="s">
        <v>17</v>
      </c>
      <c r="W38" s="768">
        <f t="shared" si="12"/>
        <v>100</v>
      </c>
      <c r="X38" s="1805"/>
      <c r="Y38" s="3211"/>
      <c r="Z38" s="1806">
        <f t="shared" si="13"/>
        <v>111</v>
      </c>
      <c r="AA38" s="1803">
        <f t="shared" si="3"/>
        <v>1</v>
      </c>
      <c r="AB38" s="1803">
        <f t="shared" si="4"/>
        <v>1</v>
      </c>
      <c r="AC38" s="1803">
        <f t="shared" si="5"/>
        <v>1</v>
      </c>
    </row>
    <row r="39" spans="1:29" ht="15">
      <c r="A39" s="465"/>
      <c r="B39" s="1380">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11"/>
      <c r="Q39" s="1802">
        <f t="shared" si="14"/>
        <v>111</v>
      </c>
      <c r="R39" s="767" t="s">
        <v>17</v>
      </c>
      <c r="S39" s="768">
        <f t="shared" si="10"/>
        <v>100</v>
      </c>
      <c r="T39" s="767" t="s">
        <v>17</v>
      </c>
      <c r="U39" s="768">
        <f t="shared" si="11"/>
        <v>100</v>
      </c>
      <c r="V39" s="767" t="s">
        <v>17</v>
      </c>
      <c r="W39" s="768">
        <f t="shared" si="12"/>
        <v>100</v>
      </c>
      <c r="X39" s="1805"/>
      <c r="Y39" s="3211"/>
      <c r="Z39" s="1806">
        <f t="shared" si="13"/>
        <v>111</v>
      </c>
      <c r="AA39" s="1803">
        <f t="shared" si="3"/>
        <v>1</v>
      </c>
      <c r="AB39" s="1803">
        <f t="shared" si="4"/>
        <v>1</v>
      </c>
      <c r="AC39" s="1803">
        <f t="shared" si="5"/>
        <v>1</v>
      </c>
    </row>
    <row r="40" spans="1:29" s="464" customFormat="1" ht="15.75" thickBot="1">
      <c r="A40" s="461"/>
      <c r="B40" s="1380">
        <v>111</v>
      </c>
      <c r="C40" s="2694"/>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11"/>
      <c r="Q40" s="1802">
        <f t="shared" si="14"/>
        <v>111</v>
      </c>
      <c r="R40" s="770" t="s">
        <v>17</v>
      </c>
      <c r="S40" s="771">
        <f t="shared" si="10"/>
        <v>100</v>
      </c>
      <c r="T40" s="770" t="s">
        <v>17</v>
      </c>
      <c r="U40" s="771">
        <f t="shared" si="11"/>
        <v>100</v>
      </c>
      <c r="V40" s="770" t="s">
        <v>17</v>
      </c>
      <c r="W40" s="771">
        <f t="shared" si="12"/>
        <v>100</v>
      </c>
      <c r="X40" s="772"/>
      <c r="Y40" s="3211"/>
      <c r="Z40" s="773">
        <f t="shared" si="13"/>
        <v>111</v>
      </c>
      <c r="AA40" s="1803">
        <f t="shared" si="3"/>
        <v>1</v>
      </c>
      <c r="AB40" s="1803">
        <f t="shared" si="4"/>
        <v>1</v>
      </c>
      <c r="AC40" s="1803">
        <f t="shared" si="5"/>
        <v>1</v>
      </c>
    </row>
    <row r="41" spans="1:29" ht="15">
      <c r="A41" s="472" t="s">
        <v>2720</v>
      </c>
      <c r="B41" s="2695" t="s">
        <v>2800</v>
      </c>
      <c r="C41" s="675" t="s">
        <v>1</v>
      </c>
      <c r="D41" s="474"/>
      <c r="E41" s="475"/>
      <c r="F41" s="476"/>
      <c r="G41" s="477"/>
      <c r="H41" s="478"/>
      <c r="I41" s="475"/>
      <c r="J41" s="478"/>
      <c r="K41" s="776"/>
      <c r="L41" s="1136"/>
      <c r="M41" s="1124"/>
      <c r="N41" s="1124"/>
      <c r="O41" s="1137"/>
      <c r="P41" s="3206" t="str">
        <f>A41</f>
        <v>成交单价</v>
      </c>
      <c r="Q41" s="3206"/>
      <c r="R41" s="3212">
        <f>E41</f>
        <v>0</v>
      </c>
      <c r="S41" s="3212"/>
      <c r="T41" s="3212">
        <f>G41</f>
        <v>0</v>
      </c>
      <c r="U41" s="3212"/>
      <c r="V41" s="3212">
        <f>I41</f>
        <v>0</v>
      </c>
      <c r="W41" s="3212"/>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06" t="str">
        <f>A42</f>
        <v>比较价值（元/平方米）</v>
      </c>
      <c r="Q42" s="3206"/>
      <c r="R42" s="3199" t="e">
        <f>ROUND(PRODUCT(R41,AA7:AA40),0)</f>
        <v>#DIV/0!</v>
      </c>
      <c r="S42" s="3199"/>
      <c r="T42" s="3199" t="e">
        <f>ROUND(PRODUCT(T41,AB7:AB40),0)</f>
        <v>#DIV/0!</v>
      </c>
      <c r="U42" s="3199"/>
      <c r="V42" s="3199" t="e">
        <f>ROUND(PRODUCT(V41,AC7:AC40),0)</f>
        <v>#DIV/0!</v>
      </c>
      <c r="W42" s="3199"/>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00" t="str">
        <f>A43</f>
        <v>估价对象XX用房的比较价值（楼面单价，元/平方米）</v>
      </c>
      <c r="Q43" s="3201"/>
      <c r="R43" s="3202" t="e">
        <f>ROUND(AVERAGE(R42:V42),0)</f>
        <v>#DIV/0!</v>
      </c>
      <c r="S43" s="3202"/>
      <c r="T43" s="3202"/>
      <c r="U43" s="3202"/>
      <c r="V43" s="3202"/>
      <c r="W43" s="3202"/>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6" t="s">
        <v>2760</v>
      </c>
      <c r="D50" s="2697" t="s">
        <v>2761</v>
      </c>
      <c r="E50" s="679" t="s">
        <v>2762</v>
      </c>
      <c r="F50" s="680" t="s">
        <v>2763</v>
      </c>
      <c r="G50" s="3203" t="s">
        <v>2764</v>
      </c>
      <c r="H50" s="3204"/>
      <c r="I50" s="1806" t="s">
        <v>2801</v>
      </c>
      <c r="J50" s="1806">
        <f>项目基本情况!F35</f>
        <v>0</v>
      </c>
      <c r="K50" s="2699" t="s">
        <v>2766</v>
      </c>
      <c r="L50" s="1099"/>
      <c r="M50" s="1137"/>
      <c r="N50" s="1137"/>
      <c r="O50" s="1137"/>
    </row>
    <row r="51" spans="1:17" s="685" customFormat="1">
      <c r="A51" s="681" t="s">
        <v>2767</v>
      </c>
      <c r="B51" s="682" t="e">
        <f>C43</f>
        <v>#DIV/0!</v>
      </c>
      <c r="C51" s="683">
        <v>1</v>
      </c>
      <c r="D51" s="1156">
        <v>1</v>
      </c>
      <c r="E51" s="683">
        <f>'数据-汇总表'!E8+'数据-汇总表'!E9</f>
        <v>96330.540000000008</v>
      </c>
      <c r="F51" s="684" t="e">
        <f t="shared" ref="F51:F60" si="15">ROUND(B51*E51/10000,0)</f>
        <v>#DIV/0!</v>
      </c>
      <c r="G51" s="3205"/>
      <c r="H51" s="3206"/>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07"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07"/>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07"/>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07"/>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700"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6564.2199999999993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700"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1"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38798.11</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2" t="s">
        <v>2782</v>
      </c>
      <c r="B65" s="1352"/>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0"/>
    </row>
    <row r="66" spans="1:17" s="111" customFormat="1" ht="30.75" customHeight="1">
      <c r="A66" s="2707" t="s">
        <v>2802</v>
      </c>
      <c r="B66" s="325" t="str">
        <f>"北京市平均增长率"&amp;TEXT(基准地价修正!P24,"0.00%")</f>
        <v>北京市平均增长率1.31%</v>
      </c>
      <c r="C66" s="596">
        <v>100</v>
      </c>
      <c r="D66" s="588"/>
      <c r="E66" s="588"/>
      <c r="F66" s="588"/>
      <c r="G66" s="588"/>
      <c r="H66" s="588"/>
      <c r="I66" s="588"/>
      <c r="J66" s="588"/>
      <c r="K66" s="588"/>
      <c r="L66" s="588"/>
      <c r="M66" s="1560"/>
      <c r="N66" s="1560"/>
      <c r="O66" s="1561"/>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2785</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2786</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2803</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8"/>
      <c r="N94" s="1147"/>
      <c r="O94" s="1147"/>
      <c r="P94" s="551"/>
      <c r="Q94" s="552"/>
    </row>
    <row r="95" spans="1:17" ht="15.75" thickTop="1">
      <c r="A95" s="527"/>
      <c r="B95" s="531" t="str">
        <f>B27</f>
        <v>临街状况</v>
      </c>
      <c r="C95" s="532" t="s">
        <v>2787</v>
      </c>
      <c r="D95" s="532" t="s">
        <v>2788</v>
      </c>
      <c r="E95" s="532" t="s">
        <v>2789</v>
      </c>
      <c r="F95" s="532" t="s">
        <v>2790</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8" t="str">
        <f t="shared" si="25"/>
        <v>(含)-</v>
      </c>
      <c r="L107" s="1758" t="str">
        <f t="shared" si="25"/>
        <v>(含)-</v>
      </c>
      <c r="M107" s="1759"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2792</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2794</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2795</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3" t="s">
        <v>2804</v>
      </c>
      <c r="B1" s="234"/>
      <c r="C1" s="238" t="s">
        <v>2805</v>
      </c>
      <c r="D1" s="381">
        <f>SUM(D29:D30,D33:D39)</f>
        <v>0</v>
      </c>
      <c r="E1" s="2708"/>
      <c r="F1" s="2708"/>
      <c r="G1" s="2708"/>
      <c r="H1" s="2708"/>
      <c r="I1" s="2708"/>
      <c r="J1" s="2708"/>
      <c r="K1" s="1363"/>
      <c r="L1" s="2709" t="s">
        <v>2806</v>
      </c>
      <c r="M1" s="1073">
        <f>SUMPRODUCT((区片价!B5:B9=I2)*(区片价!C3:F3=E2)*(区片价!C5:F9))</f>
        <v>0</v>
      </c>
      <c r="N1" s="1076">
        <f>SUMPRODUCT((因素修正幅度!B5:B9=I2)*(因素修正幅度!C3:F3=E2)*(因素修正幅度!C5:F9))</f>
        <v>0</v>
      </c>
      <c r="O1" s="2710"/>
      <c r="P1" s="2710"/>
      <c r="Q1" s="1363"/>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38" t="s">
        <v>2812</v>
      </c>
      <c r="B2" s="241"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0" t="s">
        <v>2818</v>
      </c>
      <c r="B3" s="241" t="e">
        <f>ROUND(B2*10000/D1,0)</f>
        <v>#DIV/0!</v>
      </c>
      <c r="C3" s="2712" t="s">
        <v>2819</v>
      </c>
      <c r="D3" s="2713" t="s">
        <v>2820</v>
      </c>
      <c r="E3" s="2718"/>
      <c r="F3" s="2719" t="s">
        <v>2821</v>
      </c>
      <c r="G3" s="906">
        <f>IF(F3="宗地容积率",'数据-汇总表'!I4,IF(F3="估价对象容积率",'数据-汇总表'!I6,'数据-汇总表'!I7))</f>
        <v>2.48</v>
      </c>
      <c r="H3" s="191" t="s">
        <v>2822</v>
      </c>
      <c r="I3" s="937"/>
      <c r="J3" s="2716" t="s">
        <v>2823</v>
      </c>
      <c r="K3" s="1363"/>
      <c r="L3" s="2717" t="s">
        <v>2824</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01"/>
      <c r="B4" s="3302"/>
      <c r="C4" s="3302"/>
      <c r="D4" s="3303"/>
      <c r="E4" s="3303"/>
      <c r="F4" s="3303"/>
      <c r="G4" s="3303"/>
      <c r="H4" s="3303"/>
      <c r="I4" s="3303"/>
      <c r="J4" s="3304"/>
      <c r="K4" s="1363"/>
      <c r="L4" s="2717" t="s">
        <v>2825</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9" customFormat="1" ht="15.75" thickBot="1">
      <c r="A5" s="2720" t="s">
        <v>807</v>
      </c>
      <c r="B5" s="2721" t="s">
        <v>2826</v>
      </c>
      <c r="C5" s="907" t="e">
        <f>ROUND(IF(E2="商业",IF(F16="增加",C6*C7+C16,C6*C7-C16),IF(E2="住宅",IF(F16="增加",C6*C12+C16,C6*C12-C16),IF(F16="增加",C6+C16,C6-C16))),0)</f>
        <v>#DIV/0!</v>
      </c>
      <c r="D5" s="1779">
        <f>ROUND(IF(E2="商业",IF(F16="增加",C6+C16,C6-C16)),0)</f>
        <v>0</v>
      </c>
      <c r="E5" s="2722"/>
      <c r="F5" s="2722"/>
      <c r="G5" s="2723"/>
      <c r="H5" s="2723"/>
      <c r="I5" s="2723"/>
      <c r="J5" s="2724"/>
      <c r="K5" s="2725"/>
      <c r="L5" s="2717" t="s">
        <v>2827</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6"/>
      <c r="AD5" s="2727"/>
      <c r="AE5" s="2727"/>
      <c r="AF5" s="2727"/>
      <c r="AG5" s="2727"/>
      <c r="AH5" s="2727"/>
      <c r="AI5" s="2727"/>
      <c r="AJ5" s="2728"/>
    </row>
    <row r="6" spans="1:36" ht="15.75" thickBot="1">
      <c r="A6" s="2730" t="s">
        <v>2828</v>
      </c>
      <c r="B6" s="2731" t="s">
        <v>2829</v>
      </c>
      <c r="C6" s="908">
        <f>SUMIF(L1:L12,G2,M1:M12)</f>
        <v>0</v>
      </c>
      <c r="D6" s="2732" t="s">
        <v>2830</v>
      </c>
      <c r="E6" s="2733"/>
      <c r="F6" s="2733"/>
      <c r="G6" s="2734"/>
      <c r="H6" s="2734"/>
      <c r="I6" s="2734"/>
      <c r="J6" s="2735"/>
      <c r="K6" s="1834"/>
      <c r="L6" s="2717" t="s">
        <v>2831</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6"/>
      <c r="AD6" s="2727"/>
      <c r="AE6" s="2727"/>
      <c r="AF6" s="2727"/>
      <c r="AG6" s="2727"/>
      <c r="AH6" s="2727"/>
      <c r="AI6" s="2727"/>
      <c r="AJ6" s="2728"/>
    </row>
    <row r="7" spans="1:36" ht="24">
      <c r="A7" s="3305" t="str">
        <f>IF(E2="商业",IF(C8="不临58条商业街","",2),"")</f>
        <v/>
      </c>
      <c r="B7" s="2736" t="s">
        <v>2832</v>
      </c>
      <c r="C7" s="909" t="e">
        <f>IF(C8="不临58条商业街",1,ROUND(1+(1.6*E8+1.2*E9+0.8*E10+0.4*E11)*C9,4))</f>
        <v>#DIV/0!</v>
      </c>
      <c r="D7" s="2737" t="s">
        <v>2833</v>
      </c>
      <c r="E7" s="938"/>
      <c r="F7" s="2738"/>
      <c r="G7" s="2739"/>
      <c r="H7" s="2739"/>
      <c r="I7" s="2739"/>
      <c r="J7" s="2740"/>
      <c r="K7" s="1834"/>
      <c r="L7" s="2717" t="s">
        <v>2834</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2835</v>
      </c>
      <c r="X7" s="1596">
        <f>G2</f>
        <v>0</v>
      </c>
      <c r="Y7" s="1596" t="s">
        <v>2836</v>
      </c>
      <c r="Z7" s="1597">
        <f>G3</f>
        <v>2.48</v>
      </c>
      <c r="AA7" s="1598"/>
      <c r="AB7" s="1598"/>
      <c r="AC7" s="1599"/>
      <c r="AD7" s="1600"/>
      <c r="AE7" s="1600"/>
      <c r="AF7" s="1600"/>
      <c r="AG7" s="1600"/>
      <c r="AH7" s="1600"/>
      <c r="AI7" s="1600"/>
      <c r="AJ7" s="1601"/>
    </row>
    <row r="8" spans="1:36" ht="15">
      <c r="A8" s="3306"/>
      <c r="B8" s="191" t="s">
        <v>2837</v>
      </c>
      <c r="C8" s="2741"/>
      <c r="D8" s="910" t="s">
        <v>139</v>
      </c>
      <c r="E8" s="911" t="e">
        <f>ROUND(C11/E7,4)</f>
        <v>#DIV/0!</v>
      </c>
      <c r="F8" s="2742" t="s">
        <v>2838</v>
      </c>
      <c r="G8" s="2743"/>
      <c r="H8" s="2743"/>
      <c r="I8" s="2743"/>
      <c r="J8" s="2744"/>
      <c r="K8" s="1363"/>
      <c r="L8" s="2717" t="s">
        <v>2839</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298" t="s">
        <v>2840</v>
      </c>
      <c r="X8" s="3299"/>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306"/>
      <c r="B9" s="191" t="s">
        <v>2853</v>
      </c>
      <c r="C9" s="912">
        <f>SUMIF(修正!C59:C119,C8,修正!E59:E119)</f>
        <v>0</v>
      </c>
      <c r="D9" s="193" t="s">
        <v>140</v>
      </c>
      <c r="E9" s="193" t="e">
        <f>ROUND(C11/E7,4)</f>
        <v>#DIV/0!</v>
      </c>
      <c r="F9" s="2742" t="s">
        <v>2854</v>
      </c>
      <c r="G9" s="2743"/>
      <c r="H9" s="2743"/>
      <c r="I9" s="2743"/>
      <c r="J9" s="2744"/>
      <c r="K9" s="1363"/>
      <c r="L9" s="2717" t="s">
        <v>2855</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00" t="s">
        <v>2856</v>
      </c>
      <c r="X9" s="1603" t="s">
        <v>2857</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06"/>
      <c r="B10" s="191" t="s">
        <v>2858</v>
      </c>
      <c r="C10" s="193">
        <f>SUMIF(修正!C59:C119,C8,修正!F59:F119)</f>
        <v>0</v>
      </c>
      <c r="D10" s="193" t="s">
        <v>141</v>
      </c>
      <c r="E10" s="193" t="e">
        <f>ROUND(C11/E7,4)</f>
        <v>#DIV/0!</v>
      </c>
      <c r="F10" s="2742" t="s">
        <v>2859</v>
      </c>
      <c r="G10" s="2743"/>
      <c r="H10" s="2743"/>
      <c r="I10" s="2743"/>
      <c r="J10" s="2744"/>
      <c r="K10" s="1363"/>
      <c r="L10" s="2717" t="s">
        <v>2860</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00"/>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06"/>
      <c r="B11" s="2745" t="s">
        <v>2861</v>
      </c>
      <c r="C11" s="913">
        <f>C10/4</f>
        <v>0</v>
      </c>
      <c r="D11" s="913" t="s">
        <v>142</v>
      </c>
      <c r="E11" s="913" t="e">
        <f>ROUND(C11/E7,4)</f>
        <v>#DIV/0!</v>
      </c>
      <c r="F11" s="2746" t="s">
        <v>2862</v>
      </c>
      <c r="G11" s="2747"/>
      <c r="H11" s="2747"/>
      <c r="I11" s="2747"/>
      <c r="J11" s="2748"/>
      <c r="K11" s="1363"/>
      <c r="L11" s="2717" t="s">
        <v>2863</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00" t="s">
        <v>2864</v>
      </c>
      <c r="X11" s="1606" t="s">
        <v>2865</v>
      </c>
      <c r="Y11" s="1607">
        <f>$G$3</f>
        <v>2.48</v>
      </c>
      <c r="Z11" s="1607">
        <f t="shared" ref="Z11:AJ11" si="3">$G$3</f>
        <v>2.48</v>
      </c>
      <c r="AA11" s="1607">
        <f t="shared" si="3"/>
        <v>2.48</v>
      </c>
      <c r="AB11" s="1607">
        <f t="shared" si="3"/>
        <v>2.48</v>
      </c>
      <c r="AC11" s="1607">
        <f t="shared" si="3"/>
        <v>2.48</v>
      </c>
      <c r="AD11" s="1607">
        <f t="shared" si="3"/>
        <v>2.48</v>
      </c>
      <c r="AE11" s="1607">
        <f t="shared" si="3"/>
        <v>2.48</v>
      </c>
      <c r="AF11" s="1607">
        <f t="shared" si="3"/>
        <v>2.48</v>
      </c>
      <c r="AG11" s="1607">
        <f t="shared" si="3"/>
        <v>2.48</v>
      </c>
      <c r="AH11" s="1607">
        <f t="shared" si="3"/>
        <v>2.48</v>
      </c>
      <c r="AI11" s="1607">
        <f t="shared" si="3"/>
        <v>2.48</v>
      </c>
      <c r="AJ11" s="1607">
        <f t="shared" si="3"/>
        <v>2.48</v>
      </c>
    </row>
    <row r="12" spans="1:36" ht="25.5" thickBot="1">
      <c r="A12" s="3305" t="s">
        <v>2866</v>
      </c>
      <c r="B12" s="2749" t="s">
        <v>2867</v>
      </c>
      <c r="C12" s="909">
        <f>ROUND(C15*D15*E15*F15*G15*H15*I15*J15,4)</f>
        <v>1</v>
      </c>
      <c r="D12" s="2750" t="s">
        <v>2868</v>
      </c>
      <c r="E12" s="2751"/>
      <c r="F12" s="2751"/>
      <c r="G12" s="2752"/>
      <c r="H12" s="2752"/>
      <c r="I12" s="2752"/>
      <c r="J12" s="2753"/>
      <c r="K12" s="1363"/>
      <c r="L12" s="2754" t="s">
        <v>2869</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00"/>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07"/>
      <c r="B13" s="2755" t="s">
        <v>2871</v>
      </c>
      <c r="C13" s="2756" t="s">
        <v>2872</v>
      </c>
      <c r="D13" s="1800" t="s">
        <v>2873</v>
      </c>
      <c r="E13" s="1800" t="s">
        <v>2874</v>
      </c>
      <c r="F13" s="30" t="s">
        <v>2875</v>
      </c>
      <c r="G13" s="2757" t="s">
        <v>2876</v>
      </c>
      <c r="H13" s="2757" t="s">
        <v>2876</v>
      </c>
      <c r="I13" s="2757" t="s">
        <v>2876</v>
      </c>
      <c r="J13" s="2758" t="s">
        <v>2876</v>
      </c>
      <c r="K13" s="1363"/>
      <c r="L13" s="1363"/>
      <c r="M13" s="1363"/>
      <c r="N13" s="1363"/>
      <c r="O13" s="1363"/>
      <c r="P13" s="1363"/>
      <c r="Q13" s="1363"/>
      <c r="R13" s="1594">
        <v>12</v>
      </c>
      <c r="S13" s="1595"/>
      <c r="T13" s="1594" t="e">
        <f t="shared" si="0"/>
        <v>#DIV/0!</v>
      </c>
      <c r="U13" s="1595"/>
      <c r="V13" s="1594" t="e">
        <f t="shared" si="1"/>
        <v>#DIV/0!</v>
      </c>
      <c r="W13" s="3300"/>
      <c r="X13" s="1608"/>
      <c r="Y13" s="1605">
        <f>(-0.163*(Y12^2)-0.59*Y12+7617)*(10^(-4))/Y11</f>
        <v>0.30713709677419354</v>
      </c>
      <c r="Z13" s="1605">
        <f t="shared" ref="Z13:AJ13" si="5">(-0.163*(Z12^2)-0.59*Z12+7617)*(10^(-4))/Z11</f>
        <v>0.30713709677419354</v>
      </c>
      <c r="AA13" s="1605">
        <f t="shared" si="5"/>
        <v>0.30713709677419354</v>
      </c>
      <c r="AB13" s="1605">
        <f t="shared" si="5"/>
        <v>0.30713709677419354</v>
      </c>
      <c r="AC13" s="1605">
        <f t="shared" si="5"/>
        <v>0.30713709677419354</v>
      </c>
      <c r="AD13" s="1605">
        <f t="shared" si="5"/>
        <v>0.30713709677419354</v>
      </c>
      <c r="AE13" s="1605">
        <f t="shared" si="5"/>
        <v>0.30713709677419354</v>
      </c>
      <c r="AF13" s="1605">
        <f t="shared" si="5"/>
        <v>0.30713709677419354</v>
      </c>
      <c r="AG13" s="1605">
        <f t="shared" si="5"/>
        <v>0.30713709677419354</v>
      </c>
      <c r="AH13" s="1605">
        <f t="shared" si="5"/>
        <v>0.30713709677419354</v>
      </c>
      <c r="AI13" s="1605">
        <f t="shared" si="5"/>
        <v>0.30713709677419354</v>
      </c>
      <c r="AJ13" s="1605">
        <f t="shared" si="5"/>
        <v>0.30713709677419354</v>
      </c>
    </row>
    <row r="14" spans="1:36" ht="15">
      <c r="A14" s="3307"/>
      <c r="B14" s="2759"/>
      <c r="C14" s="2760"/>
      <c r="D14" s="2761"/>
      <c r="E14" s="2761"/>
      <c r="F14" s="2762"/>
      <c r="G14" s="2763" t="s">
        <v>2877</v>
      </c>
      <c r="H14" s="2764"/>
      <c r="I14" s="2765"/>
      <c r="J14" s="276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08"/>
      <c r="B15" s="2767" t="s">
        <v>2878</v>
      </c>
      <c r="C15" s="222">
        <f>IF(C14="有",1.1,1)</f>
        <v>1</v>
      </c>
      <c r="D15" s="222">
        <f>IF(D14="有",1.1,1)</f>
        <v>1</v>
      </c>
      <c r="E15" s="222">
        <f>IF(E14="有",1.1,1)</f>
        <v>1</v>
      </c>
      <c r="F15" s="222">
        <f>IF(F14="500米范围内",1.2,IF(F14="500-1000米",1.1,1))</f>
        <v>1</v>
      </c>
      <c r="G15" s="939">
        <v>1</v>
      </c>
      <c r="H15" s="939">
        <v>1</v>
      </c>
      <c r="I15" s="939">
        <v>1</v>
      </c>
      <c r="J15" s="940">
        <v>1</v>
      </c>
      <c r="K15" s="1363"/>
      <c r="L15" s="2768" t="s">
        <v>2814</v>
      </c>
      <c r="M15" s="910" t="s">
        <v>2879</v>
      </c>
      <c r="N15" s="910" t="s">
        <v>2880</v>
      </c>
      <c r="O15" s="910" t="s">
        <v>2881</v>
      </c>
      <c r="P15" s="2769" t="s">
        <v>2882</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305" t="s">
        <v>2883</v>
      </c>
      <c r="B16" s="2736" t="s">
        <v>2884</v>
      </c>
      <c r="C16" s="1793" t="e">
        <f>ROUND(SUM(G17:J17)/C17,0)</f>
        <v>#DIV/0!</v>
      </c>
      <c r="D16" s="2770" t="s">
        <v>2885</v>
      </c>
      <c r="E16" s="2771"/>
      <c r="F16" s="2772"/>
      <c r="G16" s="2773"/>
      <c r="H16" s="2773"/>
      <c r="I16" s="2773"/>
      <c r="J16" s="2774"/>
      <c r="K16" s="1363"/>
      <c r="L16" s="2775" t="s">
        <v>2886</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306"/>
      <c r="B17" s="2776" t="s">
        <v>2887</v>
      </c>
      <c r="C17" s="914">
        <f>SUMPRODUCT((修正!A2:A5=E2)*(修正!B1:M1=G2)*(修正!B2:M5))</f>
        <v>0</v>
      </c>
      <c r="D17" s="2777" t="s">
        <v>2888</v>
      </c>
      <c r="E17" s="913" t="str">
        <f>IF(OR(G2="八级",G2="九级",G2="十级",G2="十一级",G2="十二级"),"五通一平","七通一平")</f>
        <v>七通一平</v>
      </c>
      <c r="F17" s="914" t="s">
        <v>2889</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8" t="s">
        <v>2890</v>
      </c>
      <c r="M17" s="204">
        <f ca="1">ROUND($E$20*(1+M16),3)</f>
        <v>5.3999999999999999E-2</v>
      </c>
      <c r="N17" s="204">
        <f ca="1">ROUND($E$20*(1+N16),3)</f>
        <v>5.1999999999999998E-2</v>
      </c>
      <c r="O17" s="204">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16">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17" t="e">
        <f>ROUND(IF(H19="按公示增长率计算",SUMPRODUCT((地价!A3:A21=YEAR(G19)&amp;"-"&amp;ROUNDUP(MONTH(G19)/3,0))*(地价!X2:AB2=E2)*(地价!X3:AB21)),IF(H19="地价指数",M20/M19,(1+I19)^O19)),4)</f>
        <v>#DIV/0!</v>
      </c>
      <c r="D19" s="2788" t="s">
        <v>2893</v>
      </c>
      <c r="E19" s="918">
        <v>41640</v>
      </c>
      <c r="F19" s="2788" t="s">
        <v>2894</v>
      </c>
      <c r="G19" s="919">
        <f>'数据-取费表'!B2</f>
        <v>43168</v>
      </c>
      <c r="H19" s="2789" t="s">
        <v>2895</v>
      </c>
      <c r="I19" s="920" t="str">
        <f>IF(H19="季度增幅（自定义）",SUMIF(N21:N24,E2,O21:O24),"")</f>
        <v/>
      </c>
      <c r="J19" s="2786"/>
      <c r="K19" s="1370"/>
      <c r="L19" s="2790" t="s">
        <v>2896</v>
      </c>
      <c r="M19" s="1726">
        <f>ROUND(SUMIF(地价!B2:F2,E2,地价!B21:F21),0)</f>
        <v>0</v>
      </c>
      <c r="N19" s="2791" t="s">
        <v>2897</v>
      </c>
      <c r="O19" s="921">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2" t="e">
        <f>ROUND(POWER(1+G20,J20-I20)*(POWER(1+G20,I20)-1)/(POWER(1+G20,J20)-1),4)</f>
        <v>#DIV/0!</v>
      </c>
      <c r="D20" s="2797" t="s">
        <v>2899</v>
      </c>
      <c r="E20" s="1760">
        <f ca="1">存贷款利率!D4/100</f>
        <v>4.3499999999999997E-2</v>
      </c>
      <c r="F20" s="2797" t="s">
        <v>2890</v>
      </c>
      <c r="G20" s="927">
        <f>SUMIF(M15:P15,E2,M17:P17)</f>
        <v>0</v>
      </c>
      <c r="H20" s="2797" t="s">
        <v>2900</v>
      </c>
      <c r="I20" s="928" t="e">
        <f>SUMIF('数据-取费表'!C6:C15,E2,'数据-取费表'!F6:F15)/COUNTIF('数据-取费表'!C6:C15,E2)</f>
        <v>#DIV/0!</v>
      </c>
      <c r="J20" s="929">
        <f>IF(E2="住宅",70,IF(E2="商业",40,50))</f>
        <v>50</v>
      </c>
      <c r="K20" s="1370"/>
      <c r="L20" s="2798" t="s">
        <v>2901</v>
      </c>
      <c r="M20" s="1727">
        <f>ROUND(SUMPRODUCT((地价!A4:A21=YEAR(G19)&amp;"-"&amp;ROUNDUP(MONTH(G19)/3,0))*(地价!B2:F2=E2)*(地价!B4:F21)),0)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0">
        <f>IF(B21="容积率修正",IF(G3&lt;=10,D22,J22),C23)</f>
        <v>0</v>
      </c>
      <c r="D21" s="2804"/>
      <c r="E21" s="2804"/>
      <c r="F21" s="2804"/>
      <c r="G21" s="2804"/>
      <c r="H21" s="2804"/>
      <c r="I21" s="2804"/>
      <c r="J21" s="2805"/>
      <c r="K21" s="1370"/>
      <c r="N21" s="2806" t="s">
        <v>2906</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2" t="s">
        <v>2909</v>
      </c>
      <c r="D22" s="1802">
        <f>IF(E22=G22,F22,IF(G3&lt;=10,ROUND(F22+(H22-F22)*(G3-E22)/(G22-E22),4),"——"))</f>
        <v>0</v>
      </c>
      <c r="E22" s="906">
        <f>ROUNDDOWN(G3,1)</f>
        <v>2.4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6" t="s">
        <v>2910</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06">
        <f>ROUND(IF(G3&gt;1,IF(I3&lt;7,SUMPRODUCT((B93:B98=I3)*(C92:N92=G2)*(C93:N98)),SUMIF(C92:N92,G2,C100:N100)),IF(I3&lt;7,SUMPRODUCT((B102:B107=I3)*(C92:N92=G2)*(C102:N107)),SUMIF(C92:N92,G2,C109:N109))),4)</f>
        <v>0</v>
      </c>
      <c r="D23" s="2764"/>
      <c r="E23" s="2764"/>
      <c r="F23" s="2809"/>
      <c r="G23" s="2810"/>
      <c r="H23" s="2811"/>
      <c r="I23" s="2812"/>
      <c r="J23" s="2813"/>
      <c r="K23" s="1363"/>
      <c r="N23" s="2806" t="s">
        <v>2913</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17">
        <f>SUMIF(A45:A88,E2,B45:B88)</f>
        <v>0</v>
      </c>
      <c r="D24" s="2784"/>
      <c r="E24" s="2814"/>
      <c r="F24" s="2814"/>
      <c r="G24" s="2814"/>
      <c r="H24" s="2814"/>
      <c r="I24" s="2814"/>
      <c r="J24" s="2815"/>
      <c r="K24" s="1370"/>
      <c r="N24" s="2816" t="s">
        <v>2915</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3"/>
      <c r="D25" s="2739"/>
      <c r="E25" s="2739"/>
      <c r="F25" s="2818"/>
      <c r="G25" s="2739"/>
      <c r="H25" s="2739"/>
      <c r="I25" s="2739"/>
      <c r="J25" s="2740"/>
      <c r="K25" s="1363"/>
      <c r="N25" s="2819" t="s">
        <v>2917</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2918</v>
      </c>
      <c r="C26" s="199"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4"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199" t="e">
        <f>ROUND(C5*C18*C19*C20*C21*C24,0)</f>
        <v>#DIV/0!</v>
      </c>
      <c r="D29" s="2836"/>
      <c r="E29" s="935"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2" t="e">
        <f>ROUND(IF(E2="工业",C29*M39,C29*M38),0)</f>
        <v>#DIV/0!</v>
      </c>
      <c r="D30" s="2842"/>
      <c r="E30" s="935"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494" t="s">
        <v>2921</v>
      </c>
      <c r="D32" s="491" t="s">
        <v>2922</v>
      </c>
      <c r="E32" s="491" t="s">
        <v>2923</v>
      </c>
      <c r="F32" s="381" t="s">
        <v>2931</v>
      </c>
      <c r="G32" s="2851" t="s">
        <v>2921</v>
      </c>
      <c r="H32" s="2851" t="s">
        <v>2922</v>
      </c>
      <c r="I32" s="2851" t="s">
        <v>2923</v>
      </c>
      <c r="J32" s="280"/>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315" t="s">
        <v>2932</v>
      </c>
      <c r="B33" s="2852" t="s">
        <v>2933</v>
      </c>
      <c r="C33" s="199" t="e">
        <f>ROUND(D5*C19*C20*C24*F33,0)</f>
        <v>#DIV/0!</v>
      </c>
      <c r="D33" s="2836"/>
      <c r="E33" s="193" t="e">
        <f>ROUND(C33*D33/10000,0)</f>
        <v>#DIV/0!</v>
      </c>
      <c r="F33" s="193">
        <f>SUMIF(修正!A45:A56,G2,修正!B45:B56)</f>
        <v>0</v>
      </c>
      <c r="G33" s="193" t="e">
        <f t="shared" ref="G33:G39" si="6">ROUND(IF(E2="工业",C33*$M$39,C33*$M$38),0)</f>
        <v>#DIV/0!</v>
      </c>
      <c r="H33" s="193">
        <f>D33</f>
        <v>0</v>
      </c>
      <c r="I33" s="193"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16"/>
      <c r="B34" s="2756" t="s">
        <v>2934</v>
      </c>
      <c r="C34" s="199" t="e">
        <f>ROUND(D5*C19*C20*C24*F34,0)</f>
        <v>#DIV/0!</v>
      </c>
      <c r="D34" s="2836"/>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16"/>
      <c r="B35" s="2756" t="s">
        <v>2935</v>
      </c>
      <c r="C35" s="199" t="e">
        <f>ROUND(D5*C19*C20*C24*F35,0)</f>
        <v>#DIV/0!</v>
      </c>
      <c r="D35" s="2836"/>
      <c r="E35" s="193" t="e">
        <f t="shared" si="7"/>
        <v>#DIV/0!</v>
      </c>
      <c r="F35" s="193">
        <f>SUMIF(修正!A45:A56,G2,修正!D45:D56)</f>
        <v>0</v>
      </c>
      <c r="G35" s="193" t="e">
        <f t="shared" si="6"/>
        <v>#DIV/0!</v>
      </c>
      <c r="H35" s="193">
        <f t="shared" si="8"/>
        <v>0</v>
      </c>
      <c r="I35" s="193"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17"/>
      <c r="B36" s="2756" t="s">
        <v>2936</v>
      </c>
      <c r="C36" s="199" t="e">
        <f>ROUND(D5*C19*C20*C24*F36,0)</f>
        <v>#DIV/0!</v>
      </c>
      <c r="D36" s="2836"/>
      <c r="E36" s="193" t="e">
        <f t="shared" si="7"/>
        <v>#DIV/0!</v>
      </c>
      <c r="F36" s="193">
        <f>SUMIF(修正!A45:A56,G2,修正!E45:E56)</f>
        <v>0</v>
      </c>
      <c r="G36" s="193" t="e">
        <f t="shared" si="6"/>
        <v>#DIV/0!</v>
      </c>
      <c r="H36" s="193">
        <f t="shared" si="8"/>
        <v>0</v>
      </c>
      <c r="I36" s="193"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193" t="e">
        <f>ROUND(C5*C19*C20*C24*F37,0)</f>
        <v>#DIV/0!</v>
      </c>
      <c r="D37" s="2836"/>
      <c r="E37" s="193" t="e">
        <f t="shared" si="7"/>
        <v>#DIV/0!</v>
      </c>
      <c r="F37" s="199">
        <f>SUMIF(修正!A45:A56,G2,修正!F45:F56)</f>
        <v>0</v>
      </c>
      <c r="G37" s="193" t="e">
        <f t="shared" si="6"/>
        <v>#DIV/0!</v>
      </c>
      <c r="H37" s="193">
        <f t="shared" si="8"/>
        <v>0</v>
      </c>
      <c r="I37" s="193"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193" t="e">
        <f>ROUND(C5*C19*C20*C24*F38,0)</f>
        <v>#DIV/0!</v>
      </c>
      <c r="D38" s="2836"/>
      <c r="E38" s="193" t="e">
        <f t="shared" si="7"/>
        <v>#DIV/0!</v>
      </c>
      <c r="F38" s="199">
        <f>SUMIF(修正!A45:A56,G2,修正!G45:G56)</f>
        <v>0</v>
      </c>
      <c r="G38" s="193" t="e">
        <f t="shared" si="6"/>
        <v>#DIV/0!</v>
      </c>
      <c r="H38" s="193">
        <f t="shared" si="8"/>
        <v>0</v>
      </c>
      <c r="I38" s="193" t="e">
        <f t="shared" si="9"/>
        <v>#DIV/0!</v>
      </c>
      <c r="J38" s="2853"/>
      <c r="K38" s="1363"/>
      <c r="L38" s="1879"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2" t="e">
        <f>ROUND(C5*C19*C20*C24*F39,0)</f>
        <v>#DIV/0!</v>
      </c>
      <c r="D39" s="2842"/>
      <c r="E39" s="222" t="e">
        <f t="shared" si="7"/>
        <v>#DIV/0!</v>
      </c>
      <c r="F39" s="925">
        <f>SUMIF(修正!A45:A56,G2,修正!H45:H56)</f>
        <v>0</v>
      </c>
      <c r="G39" s="222" t="e">
        <f t="shared" si="6"/>
        <v>#DIV/0!</v>
      </c>
      <c r="H39" s="222">
        <f t="shared" si="8"/>
        <v>0</v>
      </c>
      <c r="I39" s="222"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4"/>
      <c r="E46" s="805"/>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1" t="s">
        <v>2945</v>
      </c>
      <c r="C47" s="1801" t="s">
        <v>2946</v>
      </c>
      <c r="D47" s="1801" t="s">
        <v>2947</v>
      </c>
      <c r="E47" s="809" t="s">
        <v>2948</v>
      </c>
      <c r="F47" s="2870" t="s">
        <v>2949</v>
      </c>
      <c r="G47" s="1801" t="s">
        <v>754</v>
      </c>
      <c r="H47" s="2871" t="s">
        <v>2950</v>
      </c>
      <c r="I47" s="1801" t="s">
        <v>2951</v>
      </c>
      <c r="J47" s="596" t="s">
        <v>2597</v>
      </c>
      <c r="K47" s="596" t="s">
        <v>2598</v>
      </c>
      <c r="L47" s="596" t="s">
        <v>2599</v>
      </c>
      <c r="M47" s="596" t="s">
        <v>2600</v>
      </c>
      <c r="N47" s="596" t="s">
        <v>2601</v>
      </c>
      <c r="AA47" s="1364"/>
      <c r="AB47" s="1364"/>
      <c r="AC47" s="1364"/>
      <c r="AD47" s="1364"/>
      <c r="AE47" s="1364"/>
      <c r="AF47" s="1364"/>
      <c r="AG47" s="1364"/>
      <c r="AH47" s="1364"/>
      <c r="AI47" s="1364"/>
      <c r="AJ47" s="1364"/>
      <c r="AK47" s="1364"/>
    </row>
    <row r="48" spans="1:37" s="1363" customFormat="1" ht="51">
      <c r="A48" s="2869" t="s">
        <v>2952</v>
      </c>
      <c r="B48" s="2872" t="str">
        <f>估价对象房地状况!C4</f>
        <v>估价对象位于顺义区南法信，周边商业氛围一般，人流量一般，商业繁华度一般</v>
      </c>
      <c r="C48" s="2761"/>
      <c r="D48" s="1279">
        <f t="shared" ref="D48:D56" si="10">SUMIF($J$47:$N$47,C48,J48:N48)</f>
        <v>0</v>
      </c>
      <c r="E48" s="811">
        <f>ROUND(SUM(D48:D56),4)</f>
        <v>0</v>
      </c>
      <c r="F48" s="2492"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869" t="s">
        <v>2953</v>
      </c>
      <c r="B49" s="2873" t="str">
        <f>估价对象房地状况!C18</f>
        <v>估价对象周边道路路网密集度较好、公共交通通达情况较好，临近15号线南法信站、停车便捷程度较好，综合评价交通便捷度较好</v>
      </c>
      <c r="C49" s="2761"/>
      <c r="D49" s="1279">
        <f t="shared" si="10"/>
        <v>0</v>
      </c>
      <c r="E49" s="812"/>
      <c r="F49" s="2492"/>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2"/>
      <c r="F50" s="2492"/>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2"/>
      <c r="F51" s="2492"/>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t="str">
        <f>估价对象房地状况!C24</f>
        <v>城市支路-东兴街</v>
      </c>
      <c r="C52" s="2761"/>
      <c r="D52" s="1279">
        <f t="shared" si="10"/>
        <v>0</v>
      </c>
      <c r="E52" s="812"/>
      <c r="F52" s="2492"/>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2"/>
      <c r="F53" s="2492"/>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76" t="s">
        <v>2960</v>
      </c>
      <c r="B54" s="1717" t="str">
        <f>估价对象房地状况!C21</f>
        <v>估价对象所在区域公共配套设施齐备情况较好，有邮储银行、华联超市</v>
      </c>
      <c r="C54" s="2761"/>
      <c r="D54" s="1279">
        <f t="shared" si="10"/>
        <v>0</v>
      </c>
      <c r="E54" s="812"/>
      <c r="F54" s="2492"/>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估价对象所在区域基础设施水平达到七通</v>
      </c>
      <c r="C55" s="2761"/>
      <c r="D55" s="1279">
        <f t="shared" si="10"/>
        <v>0</v>
      </c>
      <c r="E55" s="812"/>
      <c r="F55" s="2492"/>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77" t="s">
        <v>2962</v>
      </c>
      <c r="B56" s="2878" t="str">
        <f>估价对象房地状况!C20</f>
        <v>区域自然环境：2公里内绿化条件较好，无污染，无公园等景观；人文环境：2公里内无图书馆、剧院等设施；综合评价环境状况较差</v>
      </c>
      <c r="C56" s="2761"/>
      <c r="D56" s="1279">
        <f t="shared" si="10"/>
        <v>0</v>
      </c>
      <c r="E56" s="815"/>
      <c r="F56" s="2492"/>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4"/>
      <c r="D57" s="804"/>
      <c r="E57" s="805"/>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1"/>
      <c r="C58" s="1801" t="s">
        <v>2946</v>
      </c>
      <c r="D58" s="1801" t="s">
        <v>2947</v>
      </c>
      <c r="E58" s="809" t="s">
        <v>2948</v>
      </c>
      <c r="F58" s="2870" t="s">
        <v>2964</v>
      </c>
      <c r="G58" s="1801" t="s">
        <v>754</v>
      </c>
      <c r="H58" s="2871" t="s">
        <v>2950</v>
      </c>
      <c r="I58" s="1801" t="s">
        <v>2951</v>
      </c>
      <c r="J58" s="596" t="s">
        <v>2597</v>
      </c>
      <c r="K58" s="596" t="s">
        <v>2598</v>
      </c>
      <c r="L58" s="596" t="s">
        <v>2599</v>
      </c>
      <c r="M58" s="596" t="s">
        <v>2600</v>
      </c>
      <c r="N58" s="596" t="s">
        <v>2601</v>
      </c>
      <c r="AA58" s="1364"/>
      <c r="AB58" s="1364"/>
      <c r="AC58" s="1364"/>
      <c r="AD58" s="1364"/>
      <c r="AE58" s="1364"/>
      <c r="AF58" s="1364"/>
      <c r="AG58" s="1364"/>
      <c r="AH58" s="1364"/>
      <c r="AI58" s="1364"/>
      <c r="AJ58" s="1364"/>
      <c r="AK58" s="1364"/>
    </row>
    <row r="59" spans="1:37" s="1363" customFormat="1" ht="51">
      <c r="A59" s="2869" t="s">
        <v>2965</v>
      </c>
      <c r="B59" s="2872" t="str">
        <f>估价对象房地状况!C17</f>
        <v>估价对象位于顺义区南法信，周边写字楼项目聚集度一般，出租率一般，综合确定办公聚集度一般</v>
      </c>
      <c r="C59" s="2761"/>
      <c r="D59" s="1279">
        <f t="shared" ref="D59:D67" si="15">SUMIF($J$58:$N$58,C59,J59:N59)</f>
        <v>0</v>
      </c>
      <c r="E59" s="811">
        <f>ROUND(SUM(D59:D67),4)</f>
        <v>0</v>
      </c>
      <c r="F59" s="2492"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869" t="s">
        <v>2953</v>
      </c>
      <c r="B60" s="2873" t="str">
        <f>估价对象房地状况!C18</f>
        <v>估价对象周边道路路网密集度较好、公共交通通达情况较好，临近15号线南法信站、停车便捷程度较好，综合评价交通便捷度较好</v>
      </c>
      <c r="C60" s="2761"/>
      <c r="D60" s="1279">
        <f t="shared" si="15"/>
        <v>0</v>
      </c>
      <c r="E60" s="812"/>
      <c r="F60" s="2492"/>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2"/>
      <c r="F61" s="2492"/>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2"/>
      <c r="F62" s="2492"/>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t="str">
        <f>估价对象房地状况!C24</f>
        <v>城市支路-东兴街</v>
      </c>
      <c r="C63" s="2761"/>
      <c r="D63" s="1279">
        <f t="shared" si="15"/>
        <v>0</v>
      </c>
      <c r="E63" s="812"/>
      <c r="F63" s="2492"/>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2"/>
      <c r="F64" s="2492"/>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9" t="s">
        <v>2960</v>
      </c>
      <c r="B65" s="1717" t="str">
        <f>估价对象房地状况!C21</f>
        <v>估价对象所在区域公共配套设施齐备情况较好，有邮储银行、华联超市</v>
      </c>
      <c r="C65" s="2761"/>
      <c r="D65" s="1279">
        <f t="shared" si="15"/>
        <v>0</v>
      </c>
      <c r="E65" s="812"/>
      <c r="F65" s="2492"/>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估价对象所在区域基础设施水平达到七通</v>
      </c>
      <c r="C66" s="2761"/>
      <c r="D66" s="1279">
        <f t="shared" si="15"/>
        <v>0</v>
      </c>
      <c r="E66" s="812"/>
      <c r="F66" s="2492"/>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77" t="s">
        <v>2962</v>
      </c>
      <c r="B67" s="2879" t="str">
        <f>估价对象房地状况!C20</f>
        <v>区域自然环境：2公里内绿化条件较好，无污染，无公园等景观；人文环境：2公里内无图书馆、剧院等设施；综合评价环境状况较差</v>
      </c>
      <c r="C67" s="2761"/>
      <c r="D67" s="1279">
        <f t="shared" si="15"/>
        <v>0</v>
      </c>
      <c r="E67" s="815"/>
      <c r="F67" s="2492"/>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4"/>
      <c r="D68" s="804"/>
      <c r="E68" s="805"/>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1"/>
      <c r="C69" s="1801" t="s">
        <v>2946</v>
      </c>
      <c r="D69" s="1801" t="s">
        <v>2947</v>
      </c>
      <c r="E69" s="809" t="s">
        <v>2948</v>
      </c>
      <c r="F69" s="2870" t="s">
        <v>2964</v>
      </c>
      <c r="G69" s="1801" t="s">
        <v>754</v>
      </c>
      <c r="H69" s="2871" t="s">
        <v>2950</v>
      </c>
      <c r="I69" s="1801" t="s">
        <v>2951</v>
      </c>
      <c r="J69" s="596" t="s">
        <v>2597</v>
      </c>
      <c r="K69" s="596" t="s">
        <v>2598</v>
      </c>
      <c r="L69" s="596" t="s">
        <v>2599</v>
      </c>
      <c r="M69" s="596" t="s">
        <v>2600</v>
      </c>
      <c r="N69" s="596" t="s">
        <v>2601</v>
      </c>
      <c r="AA69" s="1364"/>
      <c r="AB69" s="1364"/>
      <c r="AC69" s="1364"/>
      <c r="AD69" s="1364"/>
      <c r="AE69" s="1364"/>
      <c r="AF69" s="1364"/>
      <c r="AG69" s="1364"/>
      <c r="AH69" s="1364"/>
      <c r="AI69" s="1364"/>
      <c r="AJ69" s="1364"/>
      <c r="AK69" s="1364"/>
    </row>
    <row r="70" spans="1:37" s="1363" customFormat="1" ht="24">
      <c r="A70" s="2869" t="s">
        <v>2967</v>
      </c>
      <c r="B70" s="2872">
        <f>估价对象房地状况!C15</f>
        <v>0</v>
      </c>
      <c r="C70" s="2761"/>
      <c r="D70" s="1279">
        <f t="shared" ref="D70:D78" si="20">SUMIF($J$69:$N$69,C70,J70:N70)</f>
        <v>0</v>
      </c>
      <c r="E70" s="811">
        <f>ROUND(SUM(D70:D78),4)</f>
        <v>0</v>
      </c>
      <c r="F70" s="2492"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869" t="s">
        <v>2953</v>
      </c>
      <c r="B71" s="2873" t="str">
        <f>估价对象房地状况!C18</f>
        <v>估价对象周边道路路网密集度较好、公共交通通达情况较好，临近15号线南法信站、停车便捷程度较好，综合评价交通便捷度较好</v>
      </c>
      <c r="C71" s="2761"/>
      <c r="D71" s="1279">
        <f t="shared" si="20"/>
        <v>0</v>
      </c>
      <c r="E71" s="816"/>
      <c r="F71" s="2492"/>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16"/>
      <c r="F72" s="2492"/>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t="str">
        <f>估价对象房地状况!C24</f>
        <v>城市支路-东兴街</v>
      </c>
      <c r="C73" s="2761"/>
      <c r="D73" s="1279">
        <f t="shared" si="20"/>
        <v>0</v>
      </c>
      <c r="E73" s="816"/>
      <c r="F73" s="2492"/>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9" t="s">
        <v>2960</v>
      </c>
      <c r="B74" s="1717" t="str">
        <f>估价对象房地状况!C21</f>
        <v>估价对象所在区域公共配套设施齐备情况较好，有邮储银行、华联超市</v>
      </c>
      <c r="C74" s="2761"/>
      <c r="D74" s="1279">
        <f t="shared" si="20"/>
        <v>0</v>
      </c>
      <c r="E74" s="816"/>
      <c r="F74" s="2492"/>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估价对象所在区域基础设施水平达到七通</v>
      </c>
      <c r="C75" s="2761"/>
      <c r="D75" s="1279">
        <f t="shared" si="20"/>
        <v>0</v>
      </c>
      <c r="E75" s="816"/>
      <c r="F75" s="2492"/>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16"/>
      <c r="F76" s="2492"/>
      <c r="G76" s="1277"/>
      <c r="H76" s="1281" t="str">
        <f t="shared" si="21"/>
        <v>——</v>
      </c>
      <c r="I76" s="810">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76.5">
      <c r="A77" s="2869" t="s">
        <v>2962</v>
      </c>
      <c r="B77" s="2872" t="str">
        <f>估价对象房地状况!C20</f>
        <v>区域自然环境：2公里内绿化条件较好，无污染，无公园等景观；人文环境：2公里内无图书馆、剧院等设施；综合评价环境状况较差</v>
      </c>
      <c r="C77" s="2761"/>
      <c r="D77" s="1279">
        <f t="shared" si="20"/>
        <v>0</v>
      </c>
      <c r="E77" s="816"/>
      <c r="F77" s="2492"/>
      <c r="G77" s="1277"/>
      <c r="H77" s="1281" t="str">
        <f t="shared" si="21"/>
        <v>——</v>
      </c>
      <c r="I77" s="810">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17"/>
      <c r="F78" s="2492"/>
      <c r="G78" s="1277"/>
      <c r="H78" s="1281" t="str">
        <f t="shared" si="21"/>
        <v>——</v>
      </c>
      <c r="I78" s="814">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4"/>
      <c r="D79" s="804"/>
      <c r="E79" s="805"/>
      <c r="F79" s="2868"/>
      <c r="G79" s="6"/>
      <c r="H79" s="6"/>
      <c r="I79" s="6"/>
      <c r="J79" s="7"/>
      <c r="K79" s="7"/>
      <c r="L79" s="7"/>
      <c r="M79" s="7"/>
      <c r="N79" s="7"/>
      <c r="Z79" s="2711"/>
      <c r="AA79" s="2787"/>
      <c r="AG79" s="1365"/>
      <c r="AK79" s="2787"/>
    </row>
    <row r="80" spans="1:37" ht="24.75">
      <c r="A80" s="2869" t="s">
        <v>2944</v>
      </c>
      <c r="B80" s="1801"/>
      <c r="C80" s="1801" t="s">
        <v>2946</v>
      </c>
      <c r="D80" s="1801" t="s">
        <v>2947</v>
      </c>
      <c r="E80" s="809" t="s">
        <v>2948</v>
      </c>
      <c r="F80" s="2870" t="s">
        <v>2964</v>
      </c>
      <c r="G80" s="1801" t="s">
        <v>754</v>
      </c>
      <c r="H80" s="2871" t="s">
        <v>2950</v>
      </c>
      <c r="I80" s="1801" t="s">
        <v>2951</v>
      </c>
      <c r="J80" s="596" t="s">
        <v>2597</v>
      </c>
      <c r="K80" s="596" t="s">
        <v>2598</v>
      </c>
      <c r="L80" s="596" t="s">
        <v>2599</v>
      </c>
      <c r="M80" s="596" t="s">
        <v>2600</v>
      </c>
      <c r="N80" s="596"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1">
        <f>ROUND(SUM(D81:D88),4)</f>
        <v>0</v>
      </c>
      <c r="F81" s="2492"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16"/>
      <c r="F82" s="2492"/>
      <c r="G82" s="1277"/>
      <c r="H82" s="1281" t="str">
        <f t="shared" si="26"/>
        <v>——</v>
      </c>
      <c r="I82" s="810">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16"/>
      <c r="F83" s="2492"/>
      <c r="G83" s="1277"/>
      <c r="H83" s="1281" t="str">
        <f t="shared" si="26"/>
        <v>——</v>
      </c>
      <c r="I83" s="810">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16"/>
      <c r="F84" s="2492"/>
      <c r="G84" s="1277"/>
      <c r="H84" s="1281" t="str">
        <f t="shared" si="26"/>
        <v>——</v>
      </c>
      <c r="I84" s="810">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16"/>
      <c r="F85" s="2492"/>
      <c r="G85" s="1277"/>
      <c r="H85" s="1281" t="str">
        <f t="shared" si="26"/>
        <v>——</v>
      </c>
      <c r="I85" s="810">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16"/>
      <c r="F86" s="2492"/>
      <c r="G86" s="1277"/>
      <c r="H86" s="1281" t="str">
        <f t="shared" si="26"/>
        <v>——</v>
      </c>
      <c r="I86" s="810">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16"/>
      <c r="F87" s="2492"/>
      <c r="G87" s="1277"/>
      <c r="H87" s="1281" t="str">
        <f t="shared" si="26"/>
        <v>——</v>
      </c>
      <c r="I87" s="810">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17"/>
      <c r="F88" s="2492"/>
      <c r="G88" s="1277"/>
      <c r="H88" s="1281" t="str">
        <f t="shared" si="26"/>
        <v>——</v>
      </c>
      <c r="I88" s="814">
        <v>0.06</v>
      </c>
      <c r="J88" s="1278">
        <f t="shared" si="27"/>
        <v>0</v>
      </c>
      <c r="K88" s="1278">
        <f t="shared" si="28"/>
        <v>0</v>
      </c>
      <c r="L88" s="1278">
        <v>0</v>
      </c>
      <c r="M88" s="1278">
        <f t="shared" si="29"/>
        <v>0</v>
      </c>
      <c r="N88" s="1278">
        <f t="shared" si="29"/>
        <v>0</v>
      </c>
      <c r="Z88" s="2711"/>
      <c r="AA88" s="2787"/>
      <c r="AG88" s="1365"/>
      <c r="AK88" s="2787"/>
    </row>
    <row r="90" spans="1:37">
      <c r="A90" s="3309" t="s">
        <v>2974</v>
      </c>
      <c r="B90" s="3309"/>
      <c r="C90" s="3309"/>
      <c r="D90" s="3309"/>
      <c r="E90" s="3309"/>
      <c r="F90" s="3309"/>
      <c r="G90" s="3309"/>
      <c r="H90" s="3309"/>
      <c r="I90" s="3309"/>
      <c r="J90" s="3309"/>
      <c r="K90" s="2883"/>
      <c r="L90" s="2883"/>
      <c r="M90" s="2883"/>
      <c r="N90" s="2883"/>
    </row>
    <row r="91" spans="1:37">
      <c r="A91" s="3311" t="s">
        <v>2975</v>
      </c>
      <c r="B91" s="3311" t="s">
        <v>2976</v>
      </c>
      <c r="C91" s="2837" t="s">
        <v>2977</v>
      </c>
      <c r="D91" s="2838"/>
      <c r="E91" s="2838"/>
      <c r="F91" s="2838"/>
      <c r="G91" s="2838"/>
      <c r="H91" s="2838"/>
      <c r="I91" s="2838"/>
      <c r="J91" s="2884"/>
      <c r="K91" s="2885"/>
      <c r="L91" s="2885"/>
      <c r="M91" s="2885"/>
      <c r="N91" s="2885"/>
    </row>
    <row r="92" spans="1:37">
      <c r="A92" s="3311"/>
      <c r="B92" s="3311"/>
      <c r="C92" s="935" t="s">
        <v>2841</v>
      </c>
      <c r="D92" s="935" t="s">
        <v>2842</v>
      </c>
      <c r="E92" s="935" t="s">
        <v>2843</v>
      </c>
      <c r="F92" s="935" t="s">
        <v>2844</v>
      </c>
      <c r="G92" s="935" t="s">
        <v>2845</v>
      </c>
      <c r="H92" s="935" t="s">
        <v>2846</v>
      </c>
      <c r="I92" s="935" t="s">
        <v>2847</v>
      </c>
      <c r="J92" s="935" t="s">
        <v>2848</v>
      </c>
      <c r="K92" s="935" t="s">
        <v>2849</v>
      </c>
      <c r="L92" s="935" t="s">
        <v>2850</v>
      </c>
      <c r="M92" s="935" t="s">
        <v>2851</v>
      </c>
      <c r="N92" s="935" t="s">
        <v>2852</v>
      </c>
    </row>
    <row r="93" spans="1:37">
      <c r="A93" s="3312"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3"/>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2" t="s">
        <v>2979</v>
      </c>
      <c r="B101" s="2890" t="s">
        <v>2980</v>
      </c>
      <c r="C101" s="2891">
        <f>$G$3</f>
        <v>2.48</v>
      </c>
      <c r="D101" s="2891">
        <f t="shared" ref="D101:N101" si="31">$G$3</f>
        <v>2.48</v>
      </c>
      <c r="E101" s="2891">
        <f t="shared" si="31"/>
        <v>2.48</v>
      </c>
      <c r="F101" s="2891">
        <f t="shared" si="31"/>
        <v>2.48</v>
      </c>
      <c r="G101" s="2891">
        <f t="shared" si="31"/>
        <v>2.48</v>
      </c>
      <c r="H101" s="2891">
        <f t="shared" si="31"/>
        <v>2.48</v>
      </c>
      <c r="I101" s="2891">
        <f t="shared" si="31"/>
        <v>2.48</v>
      </c>
      <c r="J101" s="2891">
        <f t="shared" si="31"/>
        <v>2.48</v>
      </c>
      <c r="K101" s="2891">
        <f t="shared" si="31"/>
        <v>2.48</v>
      </c>
      <c r="L101" s="2891">
        <f t="shared" si="31"/>
        <v>2.48</v>
      </c>
      <c r="M101" s="2891">
        <f t="shared" si="31"/>
        <v>2.48</v>
      </c>
      <c r="N101" s="2891">
        <f t="shared" si="31"/>
        <v>2.48</v>
      </c>
    </row>
    <row r="102" spans="1:14">
      <c r="A102" s="3313"/>
      <c r="B102" s="2886">
        <v>1</v>
      </c>
      <c r="C102" s="2887">
        <f>1.9362/C101</f>
        <v>0.78072580645161282</v>
      </c>
      <c r="D102" s="2887">
        <f>1.9362/D101</f>
        <v>0.78072580645161282</v>
      </c>
      <c r="E102" s="2887">
        <f>1.8629/E101</f>
        <v>0.75116935483870972</v>
      </c>
      <c r="F102" s="2887">
        <f>1.8629/F101</f>
        <v>0.75116935483870972</v>
      </c>
      <c r="G102" s="2887">
        <f>1.8629/G101</f>
        <v>0.75116935483870972</v>
      </c>
      <c r="H102" s="2887">
        <f>1.8629/H101</f>
        <v>0.75116935483870972</v>
      </c>
      <c r="I102" s="2887">
        <f>1.8629/I101</f>
        <v>0.75116935483870972</v>
      </c>
      <c r="J102" s="2887">
        <f>1.942/J101</f>
        <v>0.78306451612903227</v>
      </c>
      <c r="K102" s="2887">
        <f>1.942/K101</f>
        <v>0.78306451612903227</v>
      </c>
      <c r="L102" s="2887">
        <f>1.942/L101</f>
        <v>0.78306451612903227</v>
      </c>
      <c r="M102" s="2887">
        <f>1.942/M101</f>
        <v>0.78306451612903227</v>
      </c>
      <c r="N102" s="2887">
        <f>1.942/N101</f>
        <v>0.78306451612903227</v>
      </c>
    </row>
    <row r="103" spans="1:14">
      <c r="A103" s="3313"/>
      <c r="B103" s="2886">
        <v>2</v>
      </c>
      <c r="C103" s="2887">
        <f>1.4198/C101</f>
        <v>0.57250000000000001</v>
      </c>
      <c r="D103" s="2887">
        <f>1.4198/D101</f>
        <v>0.57250000000000001</v>
      </c>
      <c r="E103" s="2887">
        <f>1.3372/E101</f>
        <v>0.53919354838709677</v>
      </c>
      <c r="F103" s="2887">
        <f>1.3372/F101</f>
        <v>0.53919354838709677</v>
      </c>
      <c r="G103" s="2887">
        <f>1.3372/G101</f>
        <v>0.53919354838709677</v>
      </c>
      <c r="H103" s="2887">
        <f>1.3372/H101</f>
        <v>0.53919354838709677</v>
      </c>
      <c r="I103" s="2887">
        <f>1.3372/I101</f>
        <v>0.53919354838709677</v>
      </c>
      <c r="J103" s="2887">
        <f>1.2799/J101</f>
        <v>0.51608870967741938</v>
      </c>
      <c r="K103" s="2887">
        <f>1.2799/K101</f>
        <v>0.51608870967741938</v>
      </c>
      <c r="L103" s="2887">
        <f>1.2799/L101</f>
        <v>0.51608870967741938</v>
      </c>
      <c r="M103" s="2887">
        <f>1.2799/M101</f>
        <v>0.51608870967741938</v>
      </c>
      <c r="N103" s="2887">
        <f>1.2799/N101</f>
        <v>0.51608870967741938</v>
      </c>
    </row>
    <row r="104" spans="1:14">
      <c r="A104" s="3313"/>
      <c r="B104" s="2886">
        <v>3</v>
      </c>
      <c r="C104" s="2887">
        <f>1.1594/C101</f>
        <v>0.46749999999999997</v>
      </c>
      <c r="D104" s="2887">
        <f>1.1594/D101</f>
        <v>0.46749999999999997</v>
      </c>
      <c r="E104" s="2887">
        <f>1.0788/E101</f>
        <v>0.435</v>
      </c>
      <c r="F104" s="2887">
        <f>1.0788/F101</f>
        <v>0.435</v>
      </c>
      <c r="G104" s="2887">
        <f>1.0788/G101</f>
        <v>0.435</v>
      </c>
      <c r="H104" s="2887">
        <f>1.0788/H101</f>
        <v>0.435</v>
      </c>
      <c r="I104" s="2887">
        <f>1.0788/I101</f>
        <v>0.435</v>
      </c>
      <c r="J104" s="2887">
        <f>1.0072/J101</f>
        <v>0.40612903225806457</v>
      </c>
      <c r="K104" s="2887">
        <f>1.0072/K101</f>
        <v>0.40612903225806457</v>
      </c>
      <c r="L104" s="2887">
        <f>1.0072/L101</f>
        <v>0.40612903225806457</v>
      </c>
      <c r="M104" s="2887">
        <f>1.0072/M101</f>
        <v>0.40612903225806457</v>
      </c>
      <c r="N104" s="2887">
        <f>1.0072/N101</f>
        <v>0.40612903225806457</v>
      </c>
    </row>
    <row r="105" spans="1:14">
      <c r="A105" s="3313"/>
      <c r="B105" s="2886">
        <v>4</v>
      </c>
      <c r="C105" s="2887">
        <f>0.9622/C101</f>
        <v>0.38798387096774195</v>
      </c>
      <c r="D105" s="2887">
        <f>0.9622/D101</f>
        <v>0.38798387096774195</v>
      </c>
      <c r="E105" s="2887">
        <f>0.8656/E101</f>
        <v>0.34903225806451615</v>
      </c>
      <c r="F105" s="2887">
        <f>0.8656/F101</f>
        <v>0.34903225806451615</v>
      </c>
      <c r="G105" s="2887">
        <f>0.8656/G101</f>
        <v>0.34903225806451615</v>
      </c>
      <c r="H105" s="2887">
        <f>0.8656/H101</f>
        <v>0.34903225806451615</v>
      </c>
      <c r="I105" s="2887">
        <f>0.8656/I101</f>
        <v>0.34903225806451615</v>
      </c>
      <c r="J105" s="2887">
        <f>0.7525/J101</f>
        <v>0.30342741935483869</v>
      </c>
      <c r="K105" s="2887">
        <f>0.7525/K101</f>
        <v>0.30342741935483869</v>
      </c>
      <c r="L105" s="2887">
        <f>0.7525/L101</f>
        <v>0.30342741935483869</v>
      </c>
      <c r="M105" s="2887">
        <f>0.7525/M101</f>
        <v>0.30342741935483869</v>
      </c>
      <c r="N105" s="2887">
        <f>0.7525/N101</f>
        <v>0.30342741935483869</v>
      </c>
    </row>
    <row r="106" spans="1:14">
      <c r="A106" s="3313"/>
      <c r="B106" s="2886">
        <v>5</v>
      </c>
      <c r="C106" s="2887">
        <f>0.8417/C101</f>
        <v>0.3393951612903226</v>
      </c>
      <c r="D106" s="2887">
        <f>0.8417/D101</f>
        <v>0.3393951612903226</v>
      </c>
      <c r="E106" s="2887">
        <f>0.7371/E101</f>
        <v>0.29721774193548384</v>
      </c>
      <c r="F106" s="2887">
        <f>0.7371/F101</f>
        <v>0.29721774193548384</v>
      </c>
      <c r="G106" s="2887">
        <f>0.7371/G101</f>
        <v>0.29721774193548384</v>
      </c>
      <c r="H106" s="2887">
        <f>0.7371/H101</f>
        <v>0.29721774193548384</v>
      </c>
      <c r="I106" s="2887">
        <f>0.7371/I101</f>
        <v>0.29721774193548384</v>
      </c>
      <c r="J106" s="2887">
        <f>0.5659/J101</f>
        <v>0.22818548387096774</v>
      </c>
      <c r="K106" s="2887">
        <f>0.5659/K101</f>
        <v>0.22818548387096774</v>
      </c>
      <c r="L106" s="2887">
        <f>0.5659/L101</f>
        <v>0.22818548387096774</v>
      </c>
      <c r="M106" s="2887">
        <f>0.5659/M101</f>
        <v>0.22818548387096774</v>
      </c>
      <c r="N106" s="2887">
        <f>0.5659/N101</f>
        <v>0.22818548387096774</v>
      </c>
    </row>
    <row r="107" spans="1:14">
      <c r="A107" s="3313"/>
      <c r="B107" s="2886">
        <v>6</v>
      </c>
      <c r="C107" s="2887">
        <f>0.7608/C101</f>
        <v>0.30677419354838709</v>
      </c>
      <c r="D107" s="2887">
        <f>0.7608/D101</f>
        <v>0.30677419354838709</v>
      </c>
      <c r="E107" s="2887">
        <f>0.6482/E101</f>
        <v>0.26137096774193547</v>
      </c>
      <c r="F107" s="2887">
        <f>0.6482/F101</f>
        <v>0.26137096774193547</v>
      </c>
      <c r="G107" s="2887">
        <f>0.6482/G101</f>
        <v>0.26137096774193547</v>
      </c>
      <c r="H107" s="2887">
        <f>0.6482/H101</f>
        <v>0.26137096774193547</v>
      </c>
      <c r="I107" s="2887">
        <f>0.6482/I101</f>
        <v>0.26137096774193547</v>
      </c>
      <c r="J107" s="2887">
        <f>0.4525/J101</f>
        <v>0.18245967741935484</v>
      </c>
      <c r="K107" s="2887">
        <f>0.4525/K101</f>
        <v>0.18245967741935484</v>
      </c>
      <c r="L107" s="2887">
        <f>0.4525/L101</f>
        <v>0.18245967741935484</v>
      </c>
      <c r="M107" s="2887">
        <f>0.4525/M101</f>
        <v>0.18245967741935484</v>
      </c>
      <c r="N107" s="2887">
        <f>0.4525/N101</f>
        <v>0.18245967741935484</v>
      </c>
    </row>
    <row r="108" spans="1:14">
      <c r="A108" s="3313"/>
      <c r="B108" s="3169"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4"/>
      <c r="B109" s="3170"/>
      <c r="C109" s="2889">
        <f>(-0.163*(C108^2)-0.59*C108+7617)*(10^(-4))/C101</f>
        <v>0.30713709677419354</v>
      </c>
      <c r="D109" s="2889">
        <f>(-0.163*(D108^2)-0.59*D108+7617)*(10^(-4))/D101</f>
        <v>0.30713709677419354</v>
      </c>
      <c r="E109" s="2889">
        <f>(-0.161*(E108^2)-7.509*E108+6533)*(10^(-4))/E101</f>
        <v>0.26342741935483871</v>
      </c>
      <c r="F109" s="2889">
        <f>(-0.161*(F108^2)-7.509*F108+6533)*(10^(-4))/F101</f>
        <v>0.26342741935483871</v>
      </c>
      <c r="G109" s="2889">
        <f>(-0.161*(G108^2)-7.509*G108+6533)*(10^(-4))/G101</f>
        <v>0.26342741935483871</v>
      </c>
      <c r="H109" s="2889">
        <f>(-0.161*(H108^2)-7.509*H108+6533)*(10^(-4))/H101</f>
        <v>0.26342741935483871</v>
      </c>
      <c r="I109" s="2889">
        <f>(-0.161*(I108^2)-7.509*I108+6533)*(10^(-4))/I101</f>
        <v>0.26342741935483871</v>
      </c>
      <c r="J109" s="2889">
        <f>(-0.214*(J108^2)-21.991*J108+4665)*(10^(-4))/J101</f>
        <v>0.18810483870967742</v>
      </c>
      <c r="K109" s="2889">
        <f>(-0.214*(K108^2)-21.991*K108+4665)*(10^(-4))/K101</f>
        <v>0.18810483870967742</v>
      </c>
      <c r="L109" s="2889">
        <f>(-0.214*(L108^2)-21.991*L108+4665)*(10^(-4))/L101</f>
        <v>0.18810483870967742</v>
      </c>
      <c r="M109" s="2889">
        <f>(-0.214*(M108^2)-21.991*M108+4665)*(10^(-4))/M101</f>
        <v>0.18810483870967742</v>
      </c>
      <c r="N109" s="2889">
        <f>(-0.214*(N108^2)-21.991*N108+4665)*(10^(-4))/N101</f>
        <v>0.18810483870967742</v>
      </c>
    </row>
    <row r="110" spans="1:14">
      <c r="A110" s="3310" t="s">
        <v>2982</v>
      </c>
      <c r="B110" s="3310"/>
      <c r="C110" s="3310"/>
      <c r="D110" s="3310"/>
      <c r="E110" s="3310"/>
      <c r="F110" s="3310"/>
      <c r="G110" s="3310"/>
      <c r="H110" s="3310"/>
      <c r="I110" s="3310"/>
      <c r="J110" s="3310"/>
      <c r="K110" s="2892"/>
      <c r="L110" s="2892"/>
      <c r="M110" s="2892"/>
      <c r="N110" s="2892"/>
    </row>
    <row r="112" spans="1:14" ht="13.5" thickBot="1"/>
    <row r="113" spans="1:13" ht="25.5" thickBot="1">
      <c r="A113" s="893" t="s">
        <v>2983</v>
      </c>
      <c r="B113" s="1280">
        <f>G3</f>
        <v>2.48</v>
      </c>
      <c r="C113" s="894" t="s">
        <v>2984</v>
      </c>
      <c r="D113" s="895">
        <f>SUMPRODUCT((A115:A118=F113)*(B114:M114=H113)*B115:M118)</f>
        <v>0</v>
      </c>
      <c r="E113" s="2715" t="s">
        <v>2814</v>
      </c>
      <c r="F113" s="2894">
        <f>E2</f>
        <v>0</v>
      </c>
      <c r="G113" s="2715" t="s">
        <v>2815</v>
      </c>
      <c r="H113" s="2894">
        <f>G2</f>
        <v>0</v>
      </c>
      <c r="I113" s="2715"/>
      <c r="J113" s="2895"/>
      <c r="K113" s="2895"/>
      <c r="L113" s="2895"/>
      <c r="M113" s="2895"/>
    </row>
    <row r="114" spans="1:13">
      <c r="A114" s="898"/>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899" t="s">
        <v>2879</v>
      </c>
      <c r="B115" s="900">
        <f>ROUND(0.9335-0.0094*B113,4)</f>
        <v>0.91020000000000001</v>
      </c>
      <c r="C115" s="900">
        <f>B115</f>
        <v>0.91020000000000001</v>
      </c>
      <c r="D115" s="900">
        <f>ROUND(0.8331-0.0109*B113,4)</f>
        <v>0.80610000000000004</v>
      </c>
      <c r="E115" s="900">
        <f>D115</f>
        <v>0.80610000000000004</v>
      </c>
      <c r="F115" s="900">
        <f>E115</f>
        <v>0.80610000000000004</v>
      </c>
      <c r="G115" s="900">
        <f>F115</f>
        <v>0.80610000000000004</v>
      </c>
      <c r="H115" s="900">
        <f>G115</f>
        <v>0.80610000000000004</v>
      </c>
      <c r="I115" s="900">
        <f>ROUND(0.689-0.0155*B113,4)</f>
        <v>0.65059999999999996</v>
      </c>
      <c r="J115" s="900">
        <f t="shared" ref="J115:M118" si="33">I115</f>
        <v>0.65059999999999996</v>
      </c>
      <c r="K115" s="900">
        <f t="shared" si="33"/>
        <v>0.65059999999999996</v>
      </c>
      <c r="L115" s="900">
        <f t="shared" si="33"/>
        <v>0.65059999999999996</v>
      </c>
      <c r="M115" s="901">
        <f t="shared" si="33"/>
        <v>0.65059999999999996</v>
      </c>
    </row>
    <row r="116" spans="1:13">
      <c r="A116" s="899" t="s">
        <v>2880</v>
      </c>
      <c r="B116" s="900">
        <f>ROUND(0.949-0.012*B113,4)</f>
        <v>0.91920000000000002</v>
      </c>
      <c r="C116" s="900">
        <f>B116</f>
        <v>0.91920000000000002</v>
      </c>
      <c r="D116" s="900">
        <f>ROUND(0.8567-0.013*B113,4)</f>
        <v>0.82450000000000001</v>
      </c>
      <c r="E116" s="900">
        <f t="shared" ref="E116:H117" si="34">D116</f>
        <v>0.82450000000000001</v>
      </c>
      <c r="F116" s="900">
        <f t="shared" si="34"/>
        <v>0.82450000000000001</v>
      </c>
      <c r="G116" s="900">
        <f t="shared" si="34"/>
        <v>0.82450000000000001</v>
      </c>
      <c r="H116" s="900">
        <f t="shared" si="34"/>
        <v>0.82450000000000001</v>
      </c>
      <c r="I116" s="900">
        <f>ROUND(0.7694-0.014*B113,4)</f>
        <v>0.73470000000000002</v>
      </c>
      <c r="J116" s="900">
        <f t="shared" si="33"/>
        <v>0.73470000000000002</v>
      </c>
      <c r="K116" s="900">
        <f t="shared" si="33"/>
        <v>0.73470000000000002</v>
      </c>
      <c r="L116" s="900">
        <f t="shared" si="33"/>
        <v>0.73470000000000002</v>
      </c>
      <c r="M116" s="901">
        <f t="shared" si="33"/>
        <v>0.73470000000000002</v>
      </c>
    </row>
    <row r="117" spans="1:13">
      <c r="A117" s="899" t="s">
        <v>2881</v>
      </c>
      <c r="B117" s="900">
        <f>ROUND(0.8808-0.006*B113,4)</f>
        <v>0.8659</v>
      </c>
      <c r="C117" s="900">
        <f>B117</f>
        <v>0.8659</v>
      </c>
      <c r="D117" s="900">
        <f>ROUND(0.8748-0.008*B113,4)</f>
        <v>0.85499999999999998</v>
      </c>
      <c r="E117" s="900">
        <f t="shared" si="34"/>
        <v>0.85499999999999998</v>
      </c>
      <c r="F117" s="900">
        <f t="shared" si="34"/>
        <v>0.85499999999999998</v>
      </c>
      <c r="G117" s="900">
        <f t="shared" si="34"/>
        <v>0.85499999999999998</v>
      </c>
      <c r="H117" s="900">
        <f t="shared" si="34"/>
        <v>0.85499999999999998</v>
      </c>
      <c r="I117" s="900">
        <f>ROUND(0.7412-0.0095*B113,4)</f>
        <v>0.71760000000000002</v>
      </c>
      <c r="J117" s="900">
        <f t="shared" si="33"/>
        <v>0.71760000000000002</v>
      </c>
      <c r="K117" s="900">
        <f t="shared" si="33"/>
        <v>0.71760000000000002</v>
      </c>
      <c r="L117" s="900">
        <f t="shared" si="33"/>
        <v>0.71760000000000002</v>
      </c>
      <c r="M117" s="901">
        <f t="shared" si="33"/>
        <v>0.71760000000000002</v>
      </c>
    </row>
    <row r="118" spans="1:13" ht="13.5" thickBot="1">
      <c r="A118" s="707" t="s">
        <v>2882</v>
      </c>
      <c r="B118" s="902">
        <f>ROUND(0.7275-0.01*B113,4)</f>
        <v>0.70269999999999999</v>
      </c>
      <c r="C118" s="902">
        <f>B118</f>
        <v>0.70269999999999999</v>
      </c>
      <c r="D118" s="902">
        <f>ROUND(0.7043-0.012*B113,4)</f>
        <v>0.67449999999999999</v>
      </c>
      <c r="E118" s="902">
        <f>D118</f>
        <v>0.67449999999999999</v>
      </c>
      <c r="F118" s="902">
        <f>E118</f>
        <v>0.67449999999999999</v>
      </c>
      <c r="G118" s="902">
        <f>ROUND(0.6299-0.0122*B113,4)</f>
        <v>0.59960000000000002</v>
      </c>
      <c r="H118" s="902">
        <f>G118</f>
        <v>0.59960000000000002</v>
      </c>
      <c r="I118" s="902">
        <f>ROUND(0.5667-0.0136*B113,4)</f>
        <v>0.53300000000000003</v>
      </c>
      <c r="J118" s="902">
        <f t="shared" si="33"/>
        <v>0.53300000000000003</v>
      </c>
      <c r="K118" s="902">
        <f t="shared" si="33"/>
        <v>0.53300000000000003</v>
      </c>
      <c r="L118" s="902">
        <f t="shared" si="33"/>
        <v>0.53300000000000003</v>
      </c>
      <c r="M118" s="903">
        <f t="shared" si="33"/>
        <v>0.53300000000000003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18" t="s">
        <v>183</v>
      </c>
      <c r="B18" s="872" t="s">
        <v>560</v>
      </c>
      <c r="C18" s="873" t="s">
        <v>561</v>
      </c>
      <c r="D18" s="874"/>
      <c r="E18" s="872">
        <v>1</v>
      </c>
      <c r="F18" s="875" t="s">
        <v>562</v>
      </c>
      <c r="G18" s="876"/>
      <c r="H18" s="868"/>
      <c r="I18" s="868"/>
    </row>
    <row r="19" spans="1:9" s="877" customFormat="1" ht="19.5" customHeight="1">
      <c r="A19" s="3318"/>
      <c r="B19" s="3318" t="s">
        <v>563</v>
      </c>
      <c r="C19" s="873" t="s">
        <v>564</v>
      </c>
      <c r="D19" s="874"/>
      <c r="E19" s="872">
        <v>0.9</v>
      </c>
      <c r="F19" s="875" t="s">
        <v>565</v>
      </c>
      <c r="G19" s="876"/>
      <c r="H19" s="868"/>
      <c r="I19" s="868"/>
    </row>
    <row r="20" spans="1:9" s="877" customFormat="1" ht="19.5" customHeight="1">
      <c r="A20" s="3318"/>
      <c r="B20" s="3318"/>
      <c r="C20" s="873" t="s">
        <v>566</v>
      </c>
      <c r="D20" s="874"/>
      <c r="E20" s="872">
        <v>1.1000000000000001</v>
      </c>
      <c r="F20" s="875" t="s">
        <v>567</v>
      </c>
      <c r="G20" s="876"/>
      <c r="H20" s="868"/>
      <c r="I20" s="868"/>
    </row>
    <row r="21" spans="1:9" s="877" customFormat="1" ht="19.5" customHeight="1">
      <c r="A21" s="3318"/>
      <c r="B21" s="3318"/>
      <c r="C21" s="873" t="s">
        <v>568</v>
      </c>
      <c r="D21" s="874"/>
      <c r="E21" s="872">
        <v>0.8</v>
      </c>
      <c r="F21" s="875" t="s">
        <v>569</v>
      </c>
      <c r="G21" s="876"/>
      <c r="H21" s="868"/>
      <c r="I21" s="868"/>
    </row>
    <row r="22" spans="1:9" s="877" customFormat="1" ht="19.5" customHeight="1">
      <c r="A22" s="3318"/>
      <c r="B22" s="3318"/>
      <c r="C22" s="873" t="s">
        <v>570</v>
      </c>
      <c r="D22" s="874"/>
      <c r="E22" s="872">
        <v>0.5</v>
      </c>
      <c r="F22" s="875"/>
      <c r="G22" s="876"/>
      <c r="H22" s="868"/>
      <c r="I22" s="868"/>
    </row>
    <row r="23" spans="1:9" s="877" customFormat="1" ht="19.5" customHeight="1">
      <c r="A23" s="3318" t="s">
        <v>184</v>
      </c>
      <c r="B23" s="872" t="s">
        <v>560</v>
      </c>
      <c r="C23" s="873" t="s">
        <v>571</v>
      </c>
      <c r="D23" s="874"/>
      <c r="E23" s="872">
        <v>1</v>
      </c>
      <c r="F23" s="875" t="s">
        <v>572</v>
      </c>
      <c r="G23" s="876"/>
      <c r="H23" s="868"/>
      <c r="I23" s="868"/>
    </row>
    <row r="24" spans="1:9" s="877" customFormat="1" ht="19.5" customHeight="1">
      <c r="A24" s="3318"/>
      <c r="B24" s="3318" t="s">
        <v>563</v>
      </c>
      <c r="C24" s="873" t="s">
        <v>573</v>
      </c>
      <c r="D24" s="874"/>
      <c r="E24" s="872">
        <v>0.5</v>
      </c>
      <c r="F24" s="875"/>
      <c r="G24" s="876"/>
      <c r="H24" s="868"/>
      <c r="I24" s="868"/>
    </row>
    <row r="25" spans="1:9" s="877" customFormat="1" ht="19.5" customHeight="1">
      <c r="A25" s="3318"/>
      <c r="B25" s="3318"/>
      <c r="C25" s="873" t="s">
        <v>574</v>
      </c>
      <c r="D25" s="874"/>
      <c r="E25" s="872">
        <v>1.1000000000000001</v>
      </c>
      <c r="F25" s="875"/>
      <c r="G25" s="876"/>
      <c r="H25" s="868"/>
      <c r="I25" s="868"/>
    </row>
    <row r="26" spans="1:9" s="877" customFormat="1" ht="19.5" customHeight="1">
      <c r="A26" s="3318"/>
      <c r="B26" s="3318"/>
      <c r="C26" s="873" t="s">
        <v>575</v>
      </c>
      <c r="D26" s="874"/>
      <c r="E26" s="872">
        <v>1.1000000000000001</v>
      </c>
      <c r="F26" s="875"/>
      <c r="G26" s="876"/>
      <c r="H26" s="868"/>
      <c r="I26" s="868"/>
    </row>
    <row r="27" spans="1:9" s="877" customFormat="1" ht="19.5" customHeight="1">
      <c r="A27" s="3318"/>
      <c r="B27" s="3318"/>
      <c r="C27" s="873" t="s">
        <v>576</v>
      </c>
      <c r="D27" s="874"/>
      <c r="E27" s="872">
        <v>0.9</v>
      </c>
      <c r="F27" s="875" t="s">
        <v>577</v>
      </c>
      <c r="G27" s="876"/>
      <c r="H27" s="868"/>
      <c r="I27" s="868"/>
    </row>
    <row r="28" spans="1:9" s="877" customFormat="1" ht="19.5" customHeight="1">
      <c r="A28" s="3318"/>
      <c r="B28" s="3318"/>
      <c r="C28" s="873" t="s">
        <v>578</v>
      </c>
      <c r="D28" s="874"/>
      <c r="E28" s="872">
        <v>0.9</v>
      </c>
      <c r="F28" s="875" t="s">
        <v>579</v>
      </c>
      <c r="G28" s="876"/>
      <c r="H28" s="868"/>
      <c r="I28" s="868"/>
    </row>
    <row r="29" spans="1:9" s="877" customFormat="1" ht="19.5" customHeight="1">
      <c r="A29" s="3318"/>
      <c r="B29" s="3318"/>
      <c r="C29" s="873" t="s">
        <v>580</v>
      </c>
      <c r="D29" s="874"/>
      <c r="E29" s="872">
        <v>0.9</v>
      </c>
      <c r="F29" s="875" t="s">
        <v>581</v>
      </c>
      <c r="G29" s="876"/>
      <c r="H29" s="868"/>
      <c r="I29" s="868"/>
    </row>
    <row r="30" spans="1:9" s="877" customFormat="1" ht="19.5" customHeight="1">
      <c r="A30" s="3318"/>
      <c r="B30" s="3318"/>
      <c r="C30" s="873" t="s">
        <v>582</v>
      </c>
      <c r="D30" s="874"/>
      <c r="E30" s="872">
        <v>0.9</v>
      </c>
      <c r="F30" s="875" t="s">
        <v>583</v>
      </c>
      <c r="G30" s="876"/>
      <c r="H30" s="868"/>
      <c r="I30" s="868"/>
    </row>
    <row r="31" spans="1:9" s="877" customFormat="1" ht="19.5" customHeight="1">
      <c r="A31" s="3318"/>
      <c r="B31" s="3318"/>
      <c r="C31" s="873" t="s">
        <v>584</v>
      </c>
      <c r="D31" s="874"/>
      <c r="E31" s="872">
        <v>0.8</v>
      </c>
      <c r="F31" s="875" t="s">
        <v>585</v>
      </c>
      <c r="G31" s="876"/>
      <c r="H31" s="868"/>
      <c r="I31" s="868"/>
    </row>
    <row r="32" spans="1:9" s="877" customFormat="1" ht="19.5" customHeight="1">
      <c r="A32" s="3318"/>
      <c r="B32" s="3318"/>
      <c r="C32" s="873" t="s">
        <v>586</v>
      </c>
      <c r="D32" s="874"/>
      <c r="E32" s="872">
        <v>0.8</v>
      </c>
      <c r="F32" s="875" t="s">
        <v>587</v>
      </c>
      <c r="G32" s="876"/>
      <c r="H32" s="868"/>
      <c r="I32" s="868"/>
    </row>
    <row r="33" spans="1:9" s="877" customFormat="1" ht="19.5" customHeight="1">
      <c r="A33" s="3318" t="s">
        <v>185</v>
      </c>
      <c r="B33" s="872" t="s">
        <v>560</v>
      </c>
      <c r="C33" s="873" t="s">
        <v>588</v>
      </c>
      <c r="D33" s="874"/>
      <c r="E33" s="872">
        <v>1</v>
      </c>
      <c r="F33" s="875" t="s">
        <v>589</v>
      </c>
      <c r="G33" s="876"/>
      <c r="H33" s="868"/>
      <c r="I33" s="868"/>
    </row>
    <row r="34" spans="1:9" s="877" customFormat="1" ht="19.5" customHeight="1">
      <c r="A34" s="3318"/>
      <c r="B34" s="872" t="s">
        <v>563</v>
      </c>
      <c r="C34" s="873" t="s">
        <v>590</v>
      </c>
      <c r="D34" s="874"/>
      <c r="E34" s="872">
        <v>1.5</v>
      </c>
      <c r="F34" s="875" t="s">
        <v>591</v>
      </c>
      <c r="G34" s="876"/>
      <c r="H34" s="868"/>
      <c r="I34" s="868"/>
    </row>
    <row r="35" spans="1:9" s="877" customFormat="1" ht="19.5" customHeight="1">
      <c r="A35" s="3318" t="s">
        <v>186</v>
      </c>
      <c r="B35" s="872" t="s">
        <v>560</v>
      </c>
      <c r="C35" s="873" t="s">
        <v>592</v>
      </c>
      <c r="D35" s="874"/>
      <c r="E35" s="872">
        <v>1</v>
      </c>
      <c r="F35" s="875" t="s">
        <v>593</v>
      </c>
      <c r="G35" s="876"/>
      <c r="H35" s="868"/>
      <c r="I35" s="868"/>
    </row>
    <row r="36" spans="1:9" s="877" customFormat="1" ht="19.5" customHeight="1">
      <c r="A36" s="3318"/>
      <c r="B36" s="3318" t="s">
        <v>563</v>
      </c>
      <c r="C36" s="873" t="s">
        <v>594</v>
      </c>
      <c r="D36" s="874"/>
      <c r="E36" s="872">
        <v>1</v>
      </c>
      <c r="F36" s="875" t="s">
        <v>595</v>
      </c>
      <c r="G36" s="876"/>
      <c r="H36" s="868"/>
      <c r="I36" s="868"/>
    </row>
    <row r="37" spans="1:9" s="877" customFormat="1" ht="19.5" customHeight="1">
      <c r="A37" s="3318"/>
      <c r="B37" s="3318"/>
      <c r="C37" s="873" t="s">
        <v>596</v>
      </c>
      <c r="D37" s="874"/>
      <c r="E37" s="872">
        <v>1.5</v>
      </c>
      <c r="F37" s="875" t="s">
        <v>597</v>
      </c>
      <c r="G37" s="876"/>
      <c r="H37" s="868"/>
      <c r="I37" s="868"/>
    </row>
    <row r="38" spans="1:9" s="877" customFormat="1" ht="19.5" customHeight="1">
      <c r="A38" s="3318"/>
      <c r="B38" s="3318"/>
      <c r="C38" s="873" t="s">
        <v>598</v>
      </c>
      <c r="D38" s="874"/>
      <c r="E38" s="872">
        <v>1</v>
      </c>
      <c r="F38" s="875" t="s">
        <v>599</v>
      </c>
      <c r="G38" s="876"/>
      <c r="H38" s="868"/>
      <c r="I38" s="868"/>
    </row>
    <row r="39" spans="1:9" s="877" customFormat="1" ht="19.5" customHeight="1">
      <c r="A39" s="3318"/>
      <c r="B39" s="331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18" t="s">
        <v>614</v>
      </c>
      <c r="C61" s="808" t="s">
        <v>615</v>
      </c>
      <c r="D61" s="808" t="s">
        <v>616</v>
      </c>
      <c r="E61" s="885">
        <v>0.5</v>
      </c>
      <c r="F61" s="872">
        <v>80</v>
      </c>
    </row>
    <row r="62" spans="1:8" s="868" customFormat="1" ht="24">
      <c r="A62" s="872">
        <v>2</v>
      </c>
      <c r="B62" s="3318"/>
      <c r="C62" s="808" t="s">
        <v>617</v>
      </c>
      <c r="D62" s="808" t="s">
        <v>618</v>
      </c>
      <c r="E62" s="885">
        <v>0.5</v>
      </c>
      <c r="F62" s="872">
        <v>80</v>
      </c>
    </row>
    <row r="63" spans="1:8" s="868" customFormat="1" ht="36">
      <c r="A63" s="872">
        <v>3</v>
      </c>
      <c r="B63" s="3318"/>
      <c r="C63" s="808" t="s">
        <v>619</v>
      </c>
      <c r="D63" s="808" t="s">
        <v>620</v>
      </c>
      <c r="E63" s="885">
        <v>0.5</v>
      </c>
      <c r="F63" s="872">
        <v>80</v>
      </c>
    </row>
    <row r="64" spans="1:8" s="868" customFormat="1" ht="36">
      <c r="A64" s="872">
        <v>4</v>
      </c>
      <c r="B64" s="3318"/>
      <c r="C64" s="808" t="s">
        <v>621</v>
      </c>
      <c r="D64" s="808" t="s">
        <v>622</v>
      </c>
      <c r="E64" s="885">
        <v>0.4</v>
      </c>
      <c r="F64" s="872">
        <v>60</v>
      </c>
    </row>
    <row r="65" spans="1:6" s="868" customFormat="1" ht="36">
      <c r="A65" s="872">
        <v>5</v>
      </c>
      <c r="B65" s="3318"/>
      <c r="C65" s="808" t="s">
        <v>623</v>
      </c>
      <c r="D65" s="808" t="s">
        <v>624</v>
      </c>
      <c r="E65" s="885">
        <v>0.2</v>
      </c>
      <c r="F65" s="872">
        <v>30</v>
      </c>
    </row>
    <row r="66" spans="1:6" s="868" customFormat="1" ht="36">
      <c r="A66" s="872">
        <v>6</v>
      </c>
      <c r="B66" s="3318"/>
      <c r="C66" s="808" t="s">
        <v>625</v>
      </c>
      <c r="D66" s="808" t="s">
        <v>626</v>
      </c>
      <c r="E66" s="885">
        <v>0.3</v>
      </c>
      <c r="F66" s="872">
        <v>50</v>
      </c>
    </row>
    <row r="67" spans="1:6" s="868" customFormat="1" ht="36">
      <c r="A67" s="872">
        <v>7</v>
      </c>
      <c r="B67" s="3318"/>
      <c r="C67" s="808" t="s">
        <v>627</v>
      </c>
      <c r="D67" s="808" t="s">
        <v>628</v>
      </c>
      <c r="E67" s="885">
        <v>0.2</v>
      </c>
      <c r="F67" s="872">
        <v>30</v>
      </c>
    </row>
    <row r="68" spans="1:6" s="868" customFormat="1" ht="36">
      <c r="A68" s="872">
        <v>8</v>
      </c>
      <c r="B68" s="3318"/>
      <c r="C68" s="808" t="s">
        <v>629</v>
      </c>
      <c r="D68" s="808" t="s">
        <v>630</v>
      </c>
      <c r="E68" s="885">
        <v>0.2</v>
      </c>
      <c r="F68" s="872">
        <v>30</v>
      </c>
    </row>
    <row r="69" spans="1:6" s="868" customFormat="1" ht="36">
      <c r="A69" s="872">
        <v>9</v>
      </c>
      <c r="B69" s="3318"/>
      <c r="C69" s="808" t="s">
        <v>631</v>
      </c>
      <c r="D69" s="808" t="s">
        <v>632</v>
      </c>
      <c r="E69" s="885">
        <v>0.2</v>
      </c>
      <c r="F69" s="872">
        <v>30</v>
      </c>
    </row>
    <row r="70" spans="1:6" s="868" customFormat="1" ht="48">
      <c r="A70" s="872">
        <v>10</v>
      </c>
      <c r="B70" s="3318"/>
      <c r="C70" s="808" t="s">
        <v>633</v>
      </c>
      <c r="D70" s="808" t="s">
        <v>634</v>
      </c>
      <c r="E70" s="885">
        <v>0.2</v>
      </c>
      <c r="F70" s="872">
        <v>30</v>
      </c>
    </row>
    <row r="71" spans="1:6" s="868" customFormat="1" ht="48">
      <c r="A71" s="872">
        <v>11</v>
      </c>
      <c r="B71" s="3318"/>
      <c r="C71" s="808" t="s">
        <v>635</v>
      </c>
      <c r="D71" s="808" t="s">
        <v>636</v>
      </c>
      <c r="E71" s="885">
        <v>0.2</v>
      </c>
      <c r="F71" s="872">
        <v>30</v>
      </c>
    </row>
    <row r="72" spans="1:6" s="868" customFormat="1" ht="36">
      <c r="A72" s="872">
        <v>12</v>
      </c>
      <c r="B72" s="3318"/>
      <c r="C72" s="808" t="s">
        <v>637</v>
      </c>
      <c r="D72" s="808" t="s">
        <v>638</v>
      </c>
      <c r="E72" s="885">
        <v>0.5</v>
      </c>
      <c r="F72" s="872">
        <v>80</v>
      </c>
    </row>
    <row r="73" spans="1:6" s="868" customFormat="1" ht="24">
      <c r="A73" s="872">
        <v>13</v>
      </c>
      <c r="B73" s="3318"/>
      <c r="C73" s="808" t="s">
        <v>639</v>
      </c>
      <c r="D73" s="808" t="s">
        <v>640</v>
      </c>
      <c r="E73" s="885">
        <v>0.4</v>
      </c>
      <c r="F73" s="872">
        <v>60</v>
      </c>
    </row>
    <row r="74" spans="1:6" s="868" customFormat="1" ht="24">
      <c r="A74" s="872">
        <v>14</v>
      </c>
      <c r="B74" s="3318"/>
      <c r="C74" s="808" t="s">
        <v>641</v>
      </c>
      <c r="D74" s="808" t="s">
        <v>642</v>
      </c>
      <c r="E74" s="885">
        <v>0.2</v>
      </c>
      <c r="F74" s="872">
        <v>30</v>
      </c>
    </row>
    <row r="75" spans="1:6" s="868" customFormat="1" ht="24">
      <c r="A75" s="872">
        <v>15</v>
      </c>
      <c r="B75" s="3318"/>
      <c r="C75" s="808" t="s">
        <v>643</v>
      </c>
      <c r="D75" s="808" t="s">
        <v>644</v>
      </c>
      <c r="E75" s="885">
        <v>0.2</v>
      </c>
      <c r="F75" s="872">
        <v>30</v>
      </c>
    </row>
    <row r="76" spans="1:6" s="868" customFormat="1" ht="24">
      <c r="A76" s="872">
        <v>16</v>
      </c>
      <c r="B76" s="3318" t="s">
        <v>645</v>
      </c>
      <c r="C76" s="808" t="s">
        <v>646</v>
      </c>
      <c r="D76" s="808" t="s">
        <v>647</v>
      </c>
      <c r="E76" s="885">
        <v>0.5</v>
      </c>
      <c r="F76" s="872">
        <v>80</v>
      </c>
    </row>
    <row r="77" spans="1:6" s="868" customFormat="1" ht="24">
      <c r="A77" s="872">
        <v>17</v>
      </c>
      <c r="B77" s="3318"/>
      <c r="C77" s="808" t="s">
        <v>648</v>
      </c>
      <c r="D77" s="808" t="s">
        <v>649</v>
      </c>
      <c r="E77" s="885">
        <v>0.5</v>
      </c>
      <c r="F77" s="872">
        <v>80</v>
      </c>
    </row>
    <row r="78" spans="1:6" s="868" customFormat="1" ht="24">
      <c r="A78" s="872">
        <v>18</v>
      </c>
      <c r="B78" s="3318"/>
      <c r="C78" s="808" t="s">
        <v>650</v>
      </c>
      <c r="D78" s="808" t="s">
        <v>651</v>
      </c>
      <c r="E78" s="885">
        <v>0.2</v>
      </c>
      <c r="F78" s="872">
        <v>30</v>
      </c>
    </row>
    <row r="79" spans="1:6" s="868" customFormat="1" ht="24">
      <c r="A79" s="872">
        <v>19</v>
      </c>
      <c r="B79" s="3318"/>
      <c r="C79" s="808" t="s">
        <v>652</v>
      </c>
      <c r="D79" s="808" t="s">
        <v>653</v>
      </c>
      <c r="E79" s="885">
        <v>0.5</v>
      </c>
      <c r="F79" s="872">
        <v>80</v>
      </c>
    </row>
    <row r="80" spans="1:6" s="868" customFormat="1" ht="36">
      <c r="A80" s="872">
        <v>20</v>
      </c>
      <c r="B80" s="3318"/>
      <c r="C80" s="808" t="s">
        <v>654</v>
      </c>
      <c r="D80" s="808" t="s">
        <v>655</v>
      </c>
      <c r="E80" s="885">
        <v>0.2</v>
      </c>
      <c r="F80" s="872">
        <v>30</v>
      </c>
    </row>
    <row r="81" spans="1:6" s="868" customFormat="1" ht="36">
      <c r="A81" s="872">
        <v>21</v>
      </c>
      <c r="B81" s="3318"/>
      <c r="C81" s="808" t="s">
        <v>656</v>
      </c>
      <c r="D81" s="808" t="s">
        <v>657</v>
      </c>
      <c r="E81" s="885">
        <v>0.2</v>
      </c>
      <c r="F81" s="872">
        <v>30</v>
      </c>
    </row>
    <row r="82" spans="1:6" s="868" customFormat="1" ht="48">
      <c r="A82" s="872">
        <v>22</v>
      </c>
      <c r="B82" s="3318"/>
      <c r="C82" s="808" t="s">
        <v>658</v>
      </c>
      <c r="D82" s="808" t="s">
        <v>659</v>
      </c>
      <c r="E82" s="885">
        <v>0.2</v>
      </c>
      <c r="F82" s="872">
        <v>30</v>
      </c>
    </row>
    <row r="83" spans="1:6" s="868" customFormat="1" ht="48">
      <c r="A83" s="872">
        <v>23</v>
      </c>
      <c r="B83" s="3318"/>
      <c r="C83" s="808" t="s">
        <v>660</v>
      </c>
      <c r="D83" s="808" t="s">
        <v>661</v>
      </c>
      <c r="E83" s="885">
        <v>0.2</v>
      </c>
      <c r="F83" s="872">
        <v>30</v>
      </c>
    </row>
    <row r="84" spans="1:6" s="868" customFormat="1" ht="36">
      <c r="A84" s="872">
        <v>24</v>
      </c>
      <c r="B84" s="3318"/>
      <c r="C84" s="808" t="s">
        <v>662</v>
      </c>
      <c r="D84" s="808" t="s">
        <v>663</v>
      </c>
      <c r="E84" s="885">
        <v>0.2</v>
      </c>
      <c r="F84" s="872">
        <v>30</v>
      </c>
    </row>
    <row r="85" spans="1:6" s="868" customFormat="1" ht="36">
      <c r="A85" s="872">
        <v>25</v>
      </c>
      <c r="B85" s="3318"/>
      <c r="C85" s="808" t="s">
        <v>664</v>
      </c>
      <c r="D85" s="808" t="s">
        <v>665</v>
      </c>
      <c r="E85" s="885">
        <v>0.5</v>
      </c>
      <c r="F85" s="872">
        <v>80</v>
      </c>
    </row>
    <row r="86" spans="1:6" s="868" customFormat="1" ht="36">
      <c r="A86" s="872">
        <v>26</v>
      </c>
      <c r="B86" s="3318"/>
      <c r="C86" s="808" t="s">
        <v>666</v>
      </c>
      <c r="D86" s="808" t="s">
        <v>667</v>
      </c>
      <c r="E86" s="885">
        <v>0.2</v>
      </c>
      <c r="F86" s="872">
        <v>30</v>
      </c>
    </row>
    <row r="87" spans="1:6" s="868" customFormat="1" ht="36">
      <c r="A87" s="872">
        <v>27</v>
      </c>
      <c r="B87" s="3318"/>
      <c r="C87" s="808" t="s">
        <v>668</v>
      </c>
      <c r="D87" s="808" t="s">
        <v>669</v>
      </c>
      <c r="E87" s="885">
        <v>0.2</v>
      </c>
      <c r="F87" s="872">
        <v>30</v>
      </c>
    </row>
    <row r="88" spans="1:6" s="868" customFormat="1" ht="36">
      <c r="A88" s="872">
        <v>28</v>
      </c>
      <c r="B88" s="3318"/>
      <c r="C88" s="808" t="s">
        <v>670</v>
      </c>
      <c r="D88" s="808" t="s">
        <v>671</v>
      </c>
      <c r="E88" s="885">
        <v>0.2</v>
      </c>
      <c r="F88" s="872">
        <v>30</v>
      </c>
    </row>
    <row r="89" spans="1:6" s="868" customFormat="1" ht="24">
      <c r="A89" s="872">
        <v>29</v>
      </c>
      <c r="B89" s="3318"/>
      <c r="C89" s="808" t="s">
        <v>672</v>
      </c>
      <c r="D89" s="808" t="s">
        <v>673</v>
      </c>
      <c r="E89" s="885">
        <v>0.2</v>
      </c>
      <c r="F89" s="872">
        <v>30</v>
      </c>
    </row>
    <row r="90" spans="1:6" s="868" customFormat="1" ht="24">
      <c r="A90" s="872">
        <v>30</v>
      </c>
      <c r="B90" s="3318"/>
      <c r="C90" s="808" t="s">
        <v>674</v>
      </c>
      <c r="D90" s="808" t="s">
        <v>675</v>
      </c>
      <c r="E90" s="885">
        <v>0.2</v>
      </c>
      <c r="F90" s="872">
        <v>30</v>
      </c>
    </row>
    <row r="91" spans="1:6" s="868" customFormat="1" ht="36">
      <c r="A91" s="872">
        <v>31</v>
      </c>
      <c r="B91" s="3318"/>
      <c r="C91" s="808" t="s">
        <v>676</v>
      </c>
      <c r="D91" s="808" t="s">
        <v>677</v>
      </c>
      <c r="E91" s="885">
        <v>0.2</v>
      </c>
      <c r="F91" s="872">
        <v>30</v>
      </c>
    </row>
    <row r="92" spans="1:6" s="868" customFormat="1" ht="24">
      <c r="A92" s="872">
        <v>32</v>
      </c>
      <c r="B92" s="3318" t="s">
        <v>678</v>
      </c>
      <c r="C92" s="872" t="s">
        <v>679</v>
      </c>
      <c r="D92" s="808" t="s">
        <v>680</v>
      </c>
      <c r="E92" s="885">
        <v>0.2</v>
      </c>
      <c r="F92" s="872">
        <v>30</v>
      </c>
    </row>
    <row r="93" spans="1:6" s="868" customFormat="1" ht="36">
      <c r="A93" s="872">
        <v>33</v>
      </c>
      <c r="B93" s="3318"/>
      <c r="C93" s="872" t="s">
        <v>681</v>
      </c>
      <c r="D93" s="808" t="s">
        <v>682</v>
      </c>
      <c r="E93" s="885">
        <v>0.2</v>
      </c>
      <c r="F93" s="872">
        <v>30</v>
      </c>
    </row>
    <row r="94" spans="1:6" s="868" customFormat="1" ht="48">
      <c r="A94" s="872">
        <v>34</v>
      </c>
      <c r="B94" s="3318"/>
      <c r="C94" s="872" t="s">
        <v>683</v>
      </c>
      <c r="D94" s="808" t="s">
        <v>684</v>
      </c>
      <c r="E94" s="885">
        <v>0.2</v>
      </c>
      <c r="F94" s="872">
        <v>30</v>
      </c>
    </row>
    <row r="95" spans="1:6" s="868" customFormat="1" ht="36">
      <c r="A95" s="872">
        <v>35</v>
      </c>
      <c r="B95" s="3318"/>
      <c r="C95" s="872" t="s">
        <v>685</v>
      </c>
      <c r="D95" s="808" t="s">
        <v>686</v>
      </c>
      <c r="E95" s="885">
        <v>0.2</v>
      </c>
      <c r="F95" s="872">
        <v>30</v>
      </c>
    </row>
    <row r="96" spans="1:6" s="868" customFormat="1" ht="48">
      <c r="A96" s="872">
        <v>36</v>
      </c>
      <c r="B96" s="3318"/>
      <c r="C96" s="808" t="s">
        <v>687</v>
      </c>
      <c r="D96" s="808" t="s">
        <v>688</v>
      </c>
      <c r="E96" s="885">
        <v>0.2</v>
      </c>
      <c r="F96" s="872">
        <v>30</v>
      </c>
    </row>
    <row r="97" spans="1:6" s="868" customFormat="1" ht="36">
      <c r="A97" s="872">
        <v>37</v>
      </c>
      <c r="B97" s="3318"/>
      <c r="C97" s="872" t="s">
        <v>689</v>
      </c>
      <c r="D97" s="808" t="s">
        <v>690</v>
      </c>
      <c r="E97" s="885">
        <v>0.2</v>
      </c>
      <c r="F97" s="872">
        <v>30</v>
      </c>
    </row>
    <row r="98" spans="1:6" s="868" customFormat="1" ht="36">
      <c r="A98" s="872">
        <v>38</v>
      </c>
      <c r="B98" s="3318"/>
      <c r="C98" s="872" t="s">
        <v>691</v>
      </c>
      <c r="D98" s="808" t="s">
        <v>692</v>
      </c>
      <c r="E98" s="885">
        <v>0.2</v>
      </c>
      <c r="F98" s="872">
        <v>30</v>
      </c>
    </row>
    <row r="99" spans="1:6" s="868" customFormat="1" ht="36">
      <c r="A99" s="872">
        <v>39</v>
      </c>
      <c r="B99" s="3318" t="s">
        <v>693</v>
      </c>
      <c r="C99" s="872" t="s">
        <v>694</v>
      </c>
      <c r="D99" s="808" t="s">
        <v>695</v>
      </c>
      <c r="E99" s="885">
        <v>0.3</v>
      </c>
      <c r="F99" s="872">
        <v>50</v>
      </c>
    </row>
    <row r="100" spans="1:6" s="868" customFormat="1" ht="24">
      <c r="A100" s="872">
        <v>40</v>
      </c>
      <c r="B100" s="3318"/>
      <c r="C100" s="872" t="s">
        <v>696</v>
      </c>
      <c r="D100" s="808" t="s">
        <v>697</v>
      </c>
      <c r="E100" s="885">
        <v>0.2</v>
      </c>
      <c r="F100" s="872">
        <v>30</v>
      </c>
    </row>
    <row r="101" spans="1:6" s="868" customFormat="1" ht="36">
      <c r="A101" s="872">
        <v>41</v>
      </c>
      <c r="B101" s="3318"/>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18" t="s">
        <v>708</v>
      </c>
      <c r="C105" s="872" t="s">
        <v>709</v>
      </c>
      <c r="D105" s="808" t="s">
        <v>710</v>
      </c>
      <c r="E105" s="885">
        <v>0.2</v>
      </c>
      <c r="F105" s="872">
        <v>30</v>
      </c>
    </row>
    <row r="106" spans="1:6" s="868" customFormat="1" ht="36">
      <c r="A106" s="872">
        <v>46</v>
      </c>
      <c r="B106" s="3318"/>
      <c r="C106" s="872" t="s">
        <v>711</v>
      </c>
      <c r="D106" s="808" t="s">
        <v>712</v>
      </c>
      <c r="E106" s="885">
        <v>0.2</v>
      </c>
      <c r="F106" s="872">
        <v>30</v>
      </c>
    </row>
    <row r="107" spans="1:6" s="868" customFormat="1" ht="36">
      <c r="A107" s="872">
        <v>47</v>
      </c>
      <c r="B107" s="3318" t="s">
        <v>713</v>
      </c>
      <c r="C107" s="872" t="s">
        <v>714</v>
      </c>
      <c r="D107" s="808" t="s">
        <v>715</v>
      </c>
      <c r="E107" s="885">
        <v>0.3</v>
      </c>
      <c r="F107" s="872">
        <v>50</v>
      </c>
    </row>
    <row r="108" spans="1:6" s="868" customFormat="1" ht="36">
      <c r="A108" s="872">
        <v>48</v>
      </c>
      <c r="B108" s="331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18" t="s">
        <v>724</v>
      </c>
      <c r="C111" s="872" t="s">
        <v>725</v>
      </c>
      <c r="D111" s="808" t="s">
        <v>726</v>
      </c>
      <c r="E111" s="885">
        <v>0.2</v>
      </c>
      <c r="F111" s="872">
        <v>30</v>
      </c>
    </row>
    <row r="112" spans="1:6" s="868" customFormat="1" ht="24">
      <c r="A112" s="872">
        <v>52</v>
      </c>
      <c r="B112" s="3318"/>
      <c r="C112" s="872" t="s">
        <v>727</v>
      </c>
      <c r="D112" s="808" t="s">
        <v>728</v>
      </c>
      <c r="E112" s="885">
        <v>0.2</v>
      </c>
      <c r="F112" s="872">
        <v>30</v>
      </c>
    </row>
    <row r="113" spans="1:6" s="868" customFormat="1" ht="24">
      <c r="A113" s="872">
        <v>53</v>
      </c>
      <c r="B113" s="3318"/>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18" t="s">
        <v>737</v>
      </c>
      <c r="C116" s="872" t="s">
        <v>738</v>
      </c>
      <c r="D116" s="808" t="s">
        <v>739</v>
      </c>
      <c r="E116" s="885">
        <v>0.2</v>
      </c>
      <c r="F116" s="872">
        <v>30</v>
      </c>
    </row>
    <row r="117" spans="1:6" ht="36">
      <c r="A117" s="872">
        <v>57</v>
      </c>
      <c r="B117" s="3318"/>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3"/>
      <c r="B4" s="3013" t="s">
        <v>1631</v>
      </c>
      <c r="C4" s="3013"/>
      <c r="D4" s="3013"/>
      <c r="E4" s="1953"/>
    </row>
    <row r="5" spans="1:5" ht="16.5" thickTop="1">
      <c r="A5" s="1951"/>
      <c r="B5" s="3011" t="s">
        <v>1623</v>
      </c>
      <c r="C5" s="1954" t="s">
        <v>1624</v>
      </c>
      <c r="D5" s="1033">
        <f ca="1">结果表!H101</f>
        <v>211231</v>
      </c>
      <c r="E5" s="1951"/>
    </row>
    <row r="6" spans="1:5" ht="15.75">
      <c r="A6" s="1951"/>
      <c r="B6" s="3011"/>
      <c r="C6" s="1954" t="s">
        <v>1625</v>
      </c>
      <c r="D6" s="1033" t="str">
        <f ca="1">NUMBERSTRING(INT(D5*10000),2)&amp;"元整"</f>
        <v>贰拾壹亿壹仟贰佰叁拾壹万元整</v>
      </c>
      <c r="E6" s="1951"/>
    </row>
    <row r="7" spans="1:5" ht="15.75">
      <c r="A7" s="1951"/>
      <c r="B7" s="3016"/>
      <c r="C7" s="1955" t="s">
        <v>1626</v>
      </c>
      <c r="D7" s="1034">
        <f ca="1">结果表!H102</f>
        <v>20425</v>
      </c>
      <c r="E7" s="1951"/>
    </row>
    <row r="8" spans="1:5" ht="15.75">
      <c r="A8" s="1951"/>
      <c r="B8" s="3017" t="str">
        <f>结果表!E103</f>
        <v>2.估价师知悉的法定优先受偿款</v>
      </c>
      <c r="C8" s="1956" t="s">
        <v>1627</v>
      </c>
      <c r="D8" s="1034">
        <f>结果表!H103</f>
        <v>0</v>
      </c>
      <c r="E8" s="1951"/>
    </row>
    <row r="9" spans="1:5" ht="15.75">
      <c r="A9" s="1951"/>
      <c r="B9" s="3019"/>
      <c r="C9" s="1954" t="s">
        <v>1625</v>
      </c>
      <c r="D9" s="1033" t="str">
        <f>NUMBERSTRING(INT(D8*10000),2)&amp;"元整"</f>
        <v>零元整</v>
      </c>
      <c r="E9" s="1951"/>
    </row>
    <row r="10" spans="1:5" ht="15">
      <c r="A10" s="1951"/>
      <c r="B10" s="1957" t="s">
        <v>1630</v>
      </c>
      <c r="C10" s="1958" t="s">
        <v>1628</v>
      </c>
      <c r="D10" s="1035">
        <f>结果表!H104</f>
        <v>0</v>
      </c>
      <c r="E10" s="1951"/>
    </row>
    <row r="11" spans="1:5" ht="15">
      <c r="A11" s="1951"/>
      <c r="B11" s="1957" t="s">
        <v>1632</v>
      </c>
      <c r="C11" s="1958" t="s">
        <v>1633</v>
      </c>
      <c r="D11" s="1035">
        <f>结果表!H105</f>
        <v>0</v>
      </c>
      <c r="E11" s="1951"/>
    </row>
    <row r="12" spans="1:5" ht="15">
      <c r="A12" s="1951"/>
      <c r="B12" s="1957" t="s">
        <v>1634</v>
      </c>
      <c r="C12" s="1958" t="s">
        <v>1633</v>
      </c>
      <c r="D12" s="1035">
        <f>结果表!H106</f>
        <v>0</v>
      </c>
      <c r="E12" s="1951"/>
    </row>
    <row r="13" spans="1:5" ht="15.75">
      <c r="A13" s="1951"/>
      <c r="B13" s="3010" t="str">
        <f>结果表!E107</f>
        <v>3.房地产抵押价值</v>
      </c>
      <c r="C13" s="1959" t="s">
        <v>1624</v>
      </c>
      <c r="D13" s="1036">
        <f ca="1">结果表!H107</f>
        <v>211231</v>
      </c>
      <c r="E13" s="1951"/>
    </row>
    <row r="14" spans="1:5" ht="15.75">
      <c r="A14" s="1951"/>
      <c r="B14" s="3011"/>
      <c r="C14" s="1954" t="s">
        <v>1625</v>
      </c>
      <c r="D14" s="1033" t="str">
        <f ca="1">NUMBERSTRING(INT(D13*10000),2)&amp;"元整"</f>
        <v>贰拾壹亿壹仟贰佰叁拾壹万元整</v>
      </c>
      <c r="E14" s="1951"/>
    </row>
    <row r="15" spans="1:5" ht="15">
      <c r="A15" s="1951"/>
      <c r="B15" s="3016"/>
      <c r="C15" s="1955" t="s">
        <v>1635</v>
      </c>
      <c r="D15" s="1045">
        <f ca="1">结果表!H108</f>
        <v>20425</v>
      </c>
      <c r="E15" s="1951"/>
    </row>
    <row r="16" spans="1:5" ht="15">
      <c r="A16" s="1951"/>
      <c r="B16" s="3017" t="str">
        <f>结果表!E109</f>
        <v>——</v>
      </c>
      <c r="C16" s="1959" t="s">
        <v>1636</v>
      </c>
      <c r="D16" s="1960" t="str">
        <f>结果表!H109</f>
        <v>——</v>
      </c>
      <c r="E16" s="1951"/>
    </row>
    <row r="17" spans="1:5" ht="15.75">
      <c r="A17" s="1951"/>
      <c r="B17" s="3018"/>
      <c r="C17" s="1954" t="s">
        <v>1637</v>
      </c>
      <c r="D17" s="1033" t="e">
        <f>NUMBERSTRING(INT(D16*10000),2)&amp;"元整"</f>
        <v>#VALUE!</v>
      </c>
      <c r="E17" s="1951"/>
    </row>
    <row r="18" spans="1:5" ht="15">
      <c r="A18" s="1951"/>
      <c r="B18" s="3019"/>
      <c r="C18" s="1955" t="s">
        <v>1626</v>
      </c>
      <c r="D18" s="1045" t="str">
        <f>结果表!H110</f>
        <v>——</v>
      </c>
      <c r="E18" s="1951"/>
    </row>
    <row r="19" spans="1:5" ht="15.75">
      <c r="A19" s="1951"/>
      <c r="B19" s="3010" t="str">
        <f>结果表!E111</f>
        <v>——</v>
      </c>
      <c r="C19" s="1959" t="s">
        <v>1624</v>
      </c>
      <c r="D19" s="1034" t="str">
        <f>结果表!H111</f>
        <v>——</v>
      </c>
      <c r="E19" s="1951"/>
    </row>
    <row r="20" spans="1:5" ht="15.75">
      <c r="A20" s="1951"/>
      <c r="B20" s="3011"/>
      <c r="C20" s="1954" t="s">
        <v>1637</v>
      </c>
      <c r="D20" s="1033" t="e">
        <f>NUMBERSTRING(INT(D19*10000),2)&amp;"元整"</f>
        <v>#VALUE!</v>
      </c>
      <c r="E20" s="1951"/>
    </row>
    <row r="21" spans="1:5" ht="15.75" thickBot="1">
      <c r="A21" s="1951"/>
      <c r="B21" s="3012"/>
      <c r="C21" s="1961" t="s">
        <v>1635</v>
      </c>
      <c r="D21" s="1046"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24" t="s">
        <v>1150</v>
      </c>
      <c r="C1" s="3324"/>
      <c r="D1" s="3324"/>
      <c r="E1" s="3324"/>
      <c r="F1" s="3324"/>
      <c r="G1" s="3323" t="s">
        <v>1151</v>
      </c>
      <c r="H1" s="3323"/>
      <c r="I1" s="3323"/>
      <c r="J1" s="3323"/>
      <c r="K1" s="3323"/>
      <c r="L1" s="3323"/>
      <c r="N1" s="3323" t="s">
        <v>1152</v>
      </c>
      <c r="O1" s="3323"/>
      <c r="P1" s="3323"/>
      <c r="Q1" s="3323"/>
      <c r="R1" s="1439"/>
      <c r="S1" s="3323" t="s">
        <v>1153</v>
      </c>
      <c r="T1" s="3323"/>
      <c r="U1" s="3323"/>
      <c r="V1" s="3323"/>
      <c r="X1" s="3322" t="s">
        <v>1154</v>
      </c>
      <c r="Y1" s="3323"/>
      <c r="Z1" s="3323"/>
      <c r="AA1" s="3323"/>
      <c r="AB1" s="3323"/>
      <c r="AD1" s="3322" t="s">
        <v>1155</v>
      </c>
      <c r="AE1" s="3323"/>
      <c r="AF1" s="3323"/>
      <c r="AG1" s="3323"/>
      <c r="AH1" s="3323"/>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3044</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3043</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7">
        <v>2018</v>
      </c>
      <c r="H5" s="1722">
        <v>1</v>
      </c>
      <c r="I5" s="2915">
        <v>0</v>
      </c>
      <c r="J5" s="2915">
        <v>0</v>
      </c>
      <c r="K5" s="2915">
        <v>0</v>
      </c>
      <c r="L5" s="2915">
        <v>0</v>
      </c>
      <c r="N5" s="1460">
        <f t="shared" ref="N5:N10" si="7">I5/100</f>
        <v>0</v>
      </c>
      <c r="O5" s="1460">
        <f t="shared" ref="O5" si="8">J5/100</f>
        <v>0</v>
      </c>
      <c r="P5" s="1460">
        <f t="shared" ref="P5" si="9">K5/100</f>
        <v>0</v>
      </c>
      <c r="Q5" s="1460">
        <f t="shared" ref="Q5" si="10">L5/100</f>
        <v>0</v>
      </c>
      <c r="R5" s="1724"/>
      <c r="S5" s="1725"/>
      <c r="T5" s="1724"/>
      <c r="U5" s="1724"/>
      <c r="V5" s="1724"/>
      <c r="W5" s="2919" t="s">
        <v>3045</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3040</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3041</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6"/>
      <c r="AD8" s="1781">
        <f>ROUND(AVERAGE(I8:I$21)/100,4)</f>
        <v>2.46E-2</v>
      </c>
      <c r="AE8" s="1781">
        <f>ROUND(AVERAGE(J8:J$21)/100,4)</f>
        <v>1.6E-2</v>
      </c>
      <c r="AF8" s="1781">
        <f t="shared" si="1"/>
        <v>1.6E-2</v>
      </c>
      <c r="AG8" s="1781">
        <f>ROUND(AVERAGE(K8:K$21)/100,4)</f>
        <v>2.75E-2</v>
      </c>
      <c r="AH8" s="1781">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4" t="s">
        <v>154</v>
      </c>
      <c r="B10" s="1462">
        <v>392</v>
      </c>
      <c r="C10" s="1462">
        <v>302</v>
      </c>
      <c r="D10" s="1462">
        <f>C10</f>
        <v>302</v>
      </c>
      <c r="E10" s="1462">
        <v>553</v>
      </c>
      <c r="F10" s="1463">
        <v>266</v>
      </c>
      <c r="G10" s="332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320"/>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320"/>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321"/>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319">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320"/>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320"/>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321"/>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319">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320"/>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320"/>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321"/>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4" t="s">
        <v>1163</v>
      </c>
      <c r="B22" s="1462">
        <v>299</v>
      </c>
      <c r="C22" s="1462">
        <v>252</v>
      </c>
      <c r="D22" s="1462">
        <f t="shared" si="35"/>
        <v>252</v>
      </c>
      <c r="E22" s="1462">
        <v>409</v>
      </c>
      <c r="F22" s="1463">
        <v>227</v>
      </c>
      <c r="G22" s="332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32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32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32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319">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320"/>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320"/>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321"/>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319">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320">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320">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321">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319">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320">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320">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321">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319">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320">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320">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321">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319">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320">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320">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321">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319">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320">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320">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321">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319">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320">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320">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321">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319">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320">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320">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321">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319">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320">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320">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321">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319">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320">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320">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321">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319">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320">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320">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321">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3007</v>
      </c>
      <c r="C1" s="3330" t="s">
        <v>3008</v>
      </c>
      <c r="D1" s="3331"/>
      <c r="E1" s="3331"/>
      <c r="F1" s="3331"/>
      <c r="G1" s="3331"/>
      <c r="H1" s="3331"/>
      <c r="I1" s="3331"/>
      <c r="J1" s="3331"/>
      <c r="K1" s="3331"/>
      <c r="L1" s="3331"/>
      <c r="M1" s="3331"/>
      <c r="N1" s="3331"/>
      <c r="O1" s="3331"/>
      <c r="P1" s="3331"/>
      <c r="Q1" s="3331"/>
      <c r="R1" s="3331"/>
      <c r="S1" s="3332"/>
      <c r="T1" s="1197" t="s">
        <v>3009</v>
      </c>
    </row>
    <row r="2" spans="1:45" s="700" customFormat="1">
      <c r="A2" s="1198"/>
      <c r="B2" s="696" t="s">
        <v>3010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6"/>
      <c r="G3" s="1696"/>
      <c r="H3" s="1696"/>
      <c r="I3" s="1696"/>
      <c r="J3" s="1696"/>
      <c r="K3" s="1696"/>
      <c r="L3" s="1697"/>
      <c r="M3" s="1698"/>
      <c r="N3" s="1698"/>
      <c r="O3" s="1696"/>
      <c r="P3" s="1696"/>
      <c r="Q3" s="1696"/>
      <c r="R3" s="1696"/>
      <c r="S3" s="1699"/>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1" t="s">
        <v>3011</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2" t="s">
        <v>3012</v>
      </c>
      <c r="C7" s="1114"/>
      <c r="D7" s="1108"/>
      <c r="E7" s="1108"/>
      <c r="F7" s="1708"/>
      <c r="G7" s="1708"/>
      <c r="H7" s="1708"/>
      <c r="I7" s="1708"/>
      <c r="J7" s="1708"/>
      <c r="K7" s="1708"/>
      <c r="L7" s="1708"/>
      <c r="M7" s="1709"/>
      <c r="N7" s="1710"/>
      <c r="O7" s="1711"/>
      <c r="P7" s="1712"/>
      <c r="Q7" s="1713"/>
      <c r="R7" s="1714"/>
      <c r="S7" s="1715"/>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2" t="s">
        <v>3013</v>
      </c>
      <c r="C9" s="1114"/>
      <c r="D9" s="1108"/>
      <c r="E9" s="1108"/>
      <c r="F9" s="1708"/>
      <c r="G9" s="1708"/>
      <c r="H9" s="1708"/>
      <c r="I9" s="1708"/>
      <c r="J9" s="1708"/>
      <c r="K9" s="1708"/>
      <c r="L9" s="1716"/>
      <c r="M9" s="1709"/>
      <c r="N9" s="1710"/>
      <c r="O9" s="1711"/>
      <c r="P9" s="1712"/>
      <c r="Q9" s="1713"/>
      <c r="R9" s="1714"/>
      <c r="S9" s="1715"/>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1" t="s">
        <v>3014</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1" t="s">
        <v>3015</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1" t="s">
        <v>3016</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7" t="s">
        <v>3017</v>
      </c>
      <c r="B17" s="2908" t="s">
        <v>3018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9" t="s">
        <v>3019</v>
      </c>
      <c r="E19" s="1784"/>
      <c r="F19" s="1784"/>
      <c r="G19" s="1784"/>
      <c r="H19" s="1273"/>
      <c r="I19" s="161"/>
      <c r="J19" s="161"/>
      <c r="K19" s="161"/>
      <c r="L19" s="161"/>
      <c r="M19" s="161"/>
      <c r="N19" s="161"/>
      <c r="O19" s="161"/>
      <c r="P19" s="161"/>
      <c r="Q19" s="161"/>
      <c r="R19" s="781"/>
      <c r="S19" s="131"/>
    </row>
    <row r="20" spans="1:45" ht="16.5" thickBot="1">
      <c r="A20" s="708" t="s">
        <v>3020</v>
      </c>
      <c r="B20" s="331" t="e">
        <f ca="1">IF(D20="——",S22,S22-F20)</f>
        <v>#REF!</v>
      </c>
      <c r="C20" s="161"/>
      <c r="D20" s="2910" t="s">
        <v>3021</v>
      </c>
      <c r="E20" s="1785"/>
      <c r="F20" s="1197" t="e">
        <f ca="1">SUMIF(INDIRECT("'"&amp;H20&amp;"'"&amp;"!A:A"),"承租人权益价值",INDIRECT("'"&amp;H20&amp;"'"&amp;"!c:c"))</f>
        <v>#REF!</v>
      </c>
      <c r="G20" s="1197" t="s">
        <v>3022</v>
      </c>
      <c r="H20" s="2911"/>
      <c r="I20" s="161"/>
      <c r="J20" s="161"/>
      <c r="K20" s="161"/>
      <c r="L20" s="161"/>
      <c r="M20" s="161"/>
      <c r="N20" s="161"/>
      <c r="O20" s="161"/>
      <c r="P20" s="161"/>
      <c r="Q20" s="161"/>
      <c r="R20" s="781"/>
      <c r="S20" s="131"/>
    </row>
    <row r="21" spans="1:45" ht="15.75">
      <c r="A21" s="708" t="s">
        <v>3023</v>
      </c>
      <c r="B21" s="331">
        <f>R22</f>
        <v>10000</v>
      </c>
      <c r="C21" s="161"/>
      <c r="D21" s="161"/>
      <c r="E21" s="161"/>
      <c r="F21" s="161"/>
      <c r="G21" s="161"/>
      <c r="H21" s="161"/>
      <c r="I21" s="161"/>
      <c r="J21" s="161"/>
      <c r="K21" s="161"/>
      <c r="L21" s="161"/>
      <c r="M21" s="161"/>
      <c r="N21" s="161"/>
      <c r="O21" s="161"/>
      <c r="P21" s="161"/>
      <c r="Q21" s="161"/>
      <c r="R21" s="781"/>
      <c r="S21" s="131"/>
    </row>
    <row r="22" spans="1:45">
      <c r="A22" s="354" t="s">
        <v>3024</v>
      </c>
      <c r="B22" s="24">
        <f>SUM(B24:B10000)</f>
        <v>100</v>
      </c>
      <c r="C22" s="3191" t="s">
        <v>33</v>
      </c>
      <c r="D22" s="3192"/>
      <c r="E22" s="3192"/>
      <c r="F22" s="3192"/>
      <c r="G22" s="3192"/>
      <c r="H22" s="3192"/>
      <c r="I22" s="3192"/>
      <c r="J22" s="3192"/>
      <c r="K22" s="3192"/>
      <c r="L22" s="3192"/>
      <c r="M22" s="3192"/>
      <c r="N22" s="3192"/>
      <c r="O22" s="3192"/>
      <c r="P22" s="3192"/>
      <c r="Q22" s="3329"/>
      <c r="R22" s="709">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0" t="s">
        <v>3028</v>
      </c>
      <c r="S23" s="11" t="s">
        <v>3029</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3030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66632</v>
      </c>
      <c r="C2" s="2" t="s">
        <v>133</v>
      </c>
      <c r="D2" s="236"/>
      <c r="E2" s="236"/>
      <c r="F2" s="236"/>
      <c r="G2" s="236"/>
    </row>
    <row r="3" spans="1:7" s="237" customFormat="1" ht="18" customHeight="1" thickBot="1">
      <c r="A3" s="240" t="s">
        <v>85</v>
      </c>
      <c r="B3" s="241">
        <f ca="1">ROUND(B2*10000/'数据-汇总表'!E3,0)</f>
        <v>6443</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2068</v>
      </c>
      <c r="D10" s="1025">
        <f>'数据-汇总表'!E6</f>
        <v>103416.51999999999</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2068</v>
      </c>
      <c r="D19" s="1029">
        <f>'数据-汇总表'!E3</f>
        <v>103416.51999999999</v>
      </c>
      <c r="E19" s="248">
        <f>'数据-取费表'!B31</f>
        <v>200</v>
      </c>
      <c r="F19" s="268"/>
      <c r="G19" s="1" t="s">
        <v>1074</v>
      </c>
    </row>
    <row r="20" spans="1:7" s="251" customFormat="1" ht="13.5" customHeight="1">
      <c r="A20" s="941" t="s">
        <v>1057</v>
      </c>
      <c r="B20" s="247" t="s">
        <v>104</v>
      </c>
      <c r="C20" s="269">
        <f>ROUND((C5+C19)*F20,0)</f>
        <v>454</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2936</v>
      </c>
      <c r="D22" s="272">
        <f ca="1">C26</f>
        <v>1.1999999999999999E-3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2643</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265</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1.1999999999999999E-3</v>
      </c>
      <c r="D26" s="275"/>
      <c r="E26" s="278"/>
      <c r="F26" s="276"/>
      <c r="G26" s="280"/>
    </row>
    <row r="27" spans="1:7" s="251" customFormat="1" ht="24.75">
      <c r="A27" s="941" t="s">
        <v>787</v>
      </c>
      <c r="B27" s="281" t="s">
        <v>112</v>
      </c>
      <c r="C27" s="282">
        <f>C28</f>
        <v>3809</v>
      </c>
      <c r="D27" s="272">
        <f>C29</f>
        <v>3.3E-3</v>
      </c>
      <c r="E27" s="273" t="s">
        <v>126</v>
      </c>
      <c r="F27" s="283">
        <f>'数据-取费表'!Q16</f>
        <v>0.19</v>
      </c>
      <c r="G27" s="284" t="s">
        <v>1069</v>
      </c>
    </row>
    <row r="28" spans="1:7" s="251" customFormat="1" ht="13.5" customHeight="1">
      <c r="A28" s="944" t="s">
        <v>794</v>
      </c>
      <c r="B28" s="285" t="s">
        <v>1062</v>
      </c>
      <c r="C28" s="286">
        <f>ROUND((C5+C19+C20)*F27*'数据-取费表'!B21/'数据-取费表'!B20,0)</f>
        <v>3809</v>
      </c>
      <c r="D28" s="272"/>
      <c r="E28" s="273"/>
      <c r="F28" s="283"/>
      <c r="G28" s="284"/>
    </row>
    <row r="29" spans="1:7" s="251" customFormat="1" ht="13.5" customHeight="1">
      <c r="A29" s="944" t="s">
        <v>792</v>
      </c>
      <c r="B29" s="285" t="s">
        <v>1063</v>
      </c>
      <c r="C29" s="275">
        <f>ROUND(C21*F27*'数据-取费表'!B21/'数据-取费表'!B20,4)</f>
        <v>3.3E-3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32365</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24753</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22301</v>
      </c>
      <c r="D34" s="254"/>
      <c r="E34" s="257"/>
      <c r="F34" s="294">
        <f>IF('数据-取费表'!B24=0,1,'数据-取费表'!N16)</f>
        <v>0.7</v>
      </c>
      <c r="G34" s="256" t="s">
        <v>116</v>
      </c>
    </row>
    <row r="35" spans="1:7" ht="13.5" customHeight="1">
      <c r="A35" s="944" t="s">
        <v>796</v>
      </c>
      <c r="B35" s="252" t="s">
        <v>60</v>
      </c>
      <c r="C35" s="257">
        <f>ROUND(C34*F35,0)</f>
        <v>669</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1448</v>
      </c>
      <c r="D37" s="254">
        <f>'数据-汇总表'!E3</f>
        <v>103416.51999999999</v>
      </c>
      <c r="E37" s="286">
        <f>'数据-取费表'!B35</f>
        <v>200</v>
      </c>
      <c r="F37" s="296"/>
      <c r="G37" s="298" t="s">
        <v>119</v>
      </c>
    </row>
    <row r="38" spans="1:7" ht="13.5" customHeight="1">
      <c r="A38" s="944" t="s">
        <v>799</v>
      </c>
      <c r="B38" s="252" t="s">
        <v>63</v>
      </c>
      <c r="C38" s="257">
        <f>ROUND(C34*F38,0)</f>
        <v>335</v>
      </c>
      <c r="D38" s="257"/>
      <c r="E38" s="257"/>
      <c r="F38" s="296">
        <f>'数据-取费表'!B36</f>
        <v>1.4999999999999999E-2</v>
      </c>
      <c r="G38" s="256" t="s">
        <v>117</v>
      </c>
    </row>
    <row r="39" spans="1:7" s="251" customFormat="1" ht="13.5" customHeight="1">
      <c r="A39" s="941" t="s">
        <v>783</v>
      </c>
      <c r="B39" s="247" t="s">
        <v>104</v>
      </c>
      <c r="C39" s="269">
        <f>ROUND(C33*F20,0)</f>
        <v>495</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1570</v>
      </c>
      <c r="D41" s="272">
        <f ca="1">C44</f>
        <v>1.1999999999999999E-3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1539</v>
      </c>
      <c r="D42" s="275"/>
      <c r="E42" s="275"/>
      <c r="F42" s="276"/>
      <c r="G42" s="3196" t="s">
        <v>121</v>
      </c>
    </row>
    <row r="43" spans="1:7" ht="13.5" customHeight="1">
      <c r="A43" s="944" t="s">
        <v>792</v>
      </c>
      <c r="B43" s="252" t="s">
        <v>1064</v>
      </c>
      <c r="C43" s="275">
        <f ca="1">ROUND(IF('数据-取费表'!B22&lt;=1,C39*F22*'数据-取费表'!B21/2,C39*(POWER((1+F22),'数据-取费表'!B21/2)-1)),0)</f>
        <v>31</v>
      </c>
      <c r="D43" s="275"/>
      <c r="E43" s="275"/>
      <c r="F43" s="276"/>
      <c r="G43" s="3197"/>
    </row>
    <row r="44" spans="1:7" ht="13.5" customHeight="1">
      <c r="A44" s="944" t="s">
        <v>793</v>
      </c>
      <c r="B44" s="252" t="s">
        <v>1066</v>
      </c>
      <c r="C44" s="275">
        <f ca="1">ROUND(IF('数据-取费表'!B22&lt;=1,C40*F22*'数据-取费表'!B21/2,C40*(POWER((1+F22),'数据-取费表'!B21/2)-1)),4)</f>
        <v>1.1999999999999999E-3</v>
      </c>
      <c r="D44" s="275"/>
      <c r="E44" s="275"/>
      <c r="F44" s="276"/>
      <c r="G44" s="3198"/>
    </row>
    <row r="45" spans="1:7" s="251" customFormat="1" ht="13.5" customHeight="1">
      <c r="A45" s="941" t="s">
        <v>786</v>
      </c>
      <c r="B45" s="281" t="s">
        <v>112</v>
      </c>
      <c r="C45" s="282">
        <f>C46</f>
        <v>4797</v>
      </c>
      <c r="D45" s="272">
        <f>C47</f>
        <v>3.8E-3</v>
      </c>
      <c r="E45" s="273" t="s">
        <v>129</v>
      </c>
      <c r="F45" s="283"/>
      <c r="G45" s="284" t="s">
        <v>1072</v>
      </c>
    </row>
    <row r="46" spans="1:7" s="251" customFormat="1" ht="13.5" customHeight="1">
      <c r="A46" s="944" t="s">
        <v>794</v>
      </c>
      <c r="B46" s="285" t="s">
        <v>1065</v>
      </c>
      <c r="C46" s="286">
        <f>ROUND((C33+C39)*F27,0)</f>
        <v>4797</v>
      </c>
      <c r="D46" s="300"/>
      <c r="E46" s="273"/>
      <c r="F46" s="283"/>
      <c r="G46" s="284"/>
    </row>
    <row r="47" spans="1:7" s="251" customFormat="1" ht="13.5" customHeight="1">
      <c r="A47" s="944" t="s">
        <v>792</v>
      </c>
      <c r="B47" s="285" t="s">
        <v>1067</v>
      </c>
      <c r="C47" s="275">
        <f>ROUND(C40*F27,4)</f>
        <v>3.8E-3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34267</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34267</v>
      </c>
      <c r="D51" s="269"/>
      <c r="E51" s="269"/>
      <c r="F51" s="301"/>
      <c r="G51" s="271" t="s">
        <v>64</v>
      </c>
    </row>
    <row r="52" spans="1:7" s="245" customFormat="1" ht="16.5" thickBot="1">
      <c r="A52" s="302" t="s">
        <v>65</v>
      </c>
      <c r="B52" s="303"/>
      <c r="C52" s="304">
        <f ca="1">C31+C51</f>
        <v>66632</v>
      </c>
      <c r="D52" s="303"/>
      <c r="E52" s="303"/>
      <c r="F52" s="303"/>
      <c r="G52" s="305"/>
    </row>
    <row r="55" spans="1:7" ht="15">
      <c r="B55" s="307" t="s">
        <v>66</v>
      </c>
      <c r="C55" s="308"/>
    </row>
    <row r="56" spans="1:7">
      <c r="B56" s="310" t="s">
        <v>67</v>
      </c>
      <c r="C56" s="311">
        <f ca="1">ROUND(C51/C52,3)</f>
        <v>0.51400000000000001</v>
      </c>
    </row>
    <row r="57" spans="1:7">
      <c r="B57" s="310" t="s">
        <v>68</v>
      </c>
      <c r="C57" s="312">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33" t="s">
        <v>156</v>
      </c>
      <c r="B1" s="3333"/>
      <c r="C1" s="3333"/>
      <c r="D1" s="3333"/>
      <c r="E1" s="3333"/>
      <c r="F1" s="3333"/>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34" t="s">
        <v>169</v>
      </c>
      <c r="B2" s="3334"/>
      <c r="C2" s="3334"/>
      <c r="D2" s="3334"/>
      <c r="E2" s="3334"/>
      <c r="F2" s="3334"/>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35"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36"/>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33" t="s">
        <v>871</v>
      </c>
      <c r="B1" s="3333"/>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43168</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0" customFormat="1" ht="27" customHeight="1">
      <c r="A1" s="2930" t="s">
        <v>3046</v>
      </c>
      <c r="B1" s="2930" t="s">
        <v>3047</v>
      </c>
      <c r="C1" s="2930" t="s">
        <v>3048</v>
      </c>
      <c r="D1" s="2930" t="s">
        <v>3049</v>
      </c>
      <c r="E1" s="2930" t="s">
        <v>3050</v>
      </c>
      <c r="F1" s="2930" t="s">
        <v>3051</v>
      </c>
      <c r="G1" s="2930" t="s">
        <v>3052</v>
      </c>
      <c r="H1" s="2930" t="s">
        <v>3053</v>
      </c>
      <c r="I1" s="2930" t="s">
        <v>3054</v>
      </c>
      <c r="J1" s="2930" t="s">
        <v>3055</v>
      </c>
      <c r="K1" s="2930" t="s">
        <v>3056</v>
      </c>
      <c r="L1" s="2930" t="s">
        <v>3057</v>
      </c>
      <c r="M1" s="2930" t="s">
        <v>3058</v>
      </c>
    </row>
    <row r="2" spans="1:13" s="2930" customFormat="1" ht="27" customHeight="1">
      <c r="A2" s="2931" t="s">
        <v>3059</v>
      </c>
      <c r="B2" s="2931" t="s">
        <v>3060</v>
      </c>
      <c r="C2" s="2931" t="s">
        <v>3061</v>
      </c>
      <c r="D2" s="2931">
        <v>170200.2</v>
      </c>
      <c r="E2" s="2931">
        <v>255301</v>
      </c>
      <c r="F2" s="2931">
        <v>1.5</v>
      </c>
      <c r="G2" s="2931" t="s">
        <v>3062</v>
      </c>
      <c r="H2" s="2931" t="s">
        <v>3063</v>
      </c>
      <c r="I2" s="2931">
        <v>255000</v>
      </c>
      <c r="J2" s="2931">
        <v>259500</v>
      </c>
      <c r="K2" s="2931">
        <v>10164.459999999999</v>
      </c>
      <c r="L2" s="2931">
        <v>1.76</v>
      </c>
      <c r="M2" s="2931" t="s">
        <v>3064</v>
      </c>
    </row>
    <row r="3" spans="1:13" s="2930" customFormat="1" ht="27" customHeight="1">
      <c r="A3" s="2930" t="s">
        <v>3065</v>
      </c>
      <c r="B3" s="2930" t="s">
        <v>3060</v>
      </c>
      <c r="C3" s="2930" t="s">
        <v>3061</v>
      </c>
      <c r="D3" s="2930">
        <v>49477.2</v>
      </c>
      <c r="E3" s="2930">
        <v>123693</v>
      </c>
      <c r="F3" s="2930">
        <v>2.5</v>
      </c>
      <c r="G3" s="2930" t="s">
        <v>3062</v>
      </c>
      <c r="H3" s="2930" t="s">
        <v>3066</v>
      </c>
      <c r="I3" s="2930">
        <v>74300</v>
      </c>
      <c r="J3" s="2930">
        <v>187500</v>
      </c>
      <c r="K3" s="2930">
        <v>15158.5</v>
      </c>
      <c r="L3" s="2930">
        <v>152.36000000000001</v>
      </c>
      <c r="M3" s="2930" t="s">
        <v>3067</v>
      </c>
    </row>
    <row r="4" spans="1:13" s="2930" customFormat="1" ht="27" customHeight="1">
      <c r="A4" s="2930" t="s">
        <v>3068</v>
      </c>
      <c r="B4" s="2930" t="s">
        <v>3060</v>
      </c>
      <c r="C4" s="2930" t="s">
        <v>3061</v>
      </c>
      <c r="D4" s="2930">
        <v>17277.400000000001</v>
      </c>
      <c r="E4" s="2930">
        <v>34555</v>
      </c>
      <c r="F4" s="2930">
        <v>2</v>
      </c>
      <c r="G4" s="2930" t="s">
        <v>3062</v>
      </c>
      <c r="H4" s="2930" t="s">
        <v>3069</v>
      </c>
      <c r="I4" s="2930">
        <v>22000</v>
      </c>
      <c r="J4" s="2930">
        <v>22000</v>
      </c>
      <c r="K4" s="2930">
        <v>6366.65</v>
      </c>
      <c r="L4" s="2930">
        <v>0</v>
      </c>
      <c r="M4" s="2930" t="s">
        <v>3070</v>
      </c>
    </row>
    <row r="5" spans="1:13" s="2930" customFormat="1" ht="27" customHeight="1">
      <c r="A5" s="2930" t="s">
        <v>3071</v>
      </c>
      <c r="B5" s="2930" t="s">
        <v>3060</v>
      </c>
      <c r="C5" s="2930" t="s">
        <v>3061</v>
      </c>
      <c r="D5" s="2930">
        <v>88702.37</v>
      </c>
      <c r="E5" s="2930">
        <v>206707</v>
      </c>
      <c r="F5" s="2930">
        <v>2.33</v>
      </c>
      <c r="G5" s="2930" t="s">
        <v>3062</v>
      </c>
      <c r="H5" s="2930" t="s">
        <v>3069</v>
      </c>
      <c r="I5" s="2930">
        <v>134500</v>
      </c>
      <c r="J5" s="2930">
        <v>138000</v>
      </c>
      <c r="K5" s="2930">
        <v>6676.11</v>
      </c>
      <c r="L5" s="2930">
        <v>2.6</v>
      </c>
      <c r="M5" s="2930" t="s">
        <v>3072</v>
      </c>
    </row>
    <row r="6" spans="1:13" s="2930" customFormat="1" ht="27" customHeight="1">
      <c r="A6" s="2930" t="s">
        <v>3073</v>
      </c>
      <c r="B6" s="2930" t="s">
        <v>3060</v>
      </c>
      <c r="C6" s="2930" t="s">
        <v>3061</v>
      </c>
      <c r="D6" s="2930">
        <v>40669.300000000003</v>
      </c>
      <c r="E6" s="2930">
        <v>109807</v>
      </c>
      <c r="F6" s="2930">
        <v>2.7</v>
      </c>
      <c r="G6" s="2930" t="s">
        <v>3062</v>
      </c>
      <c r="H6" s="2930" t="s">
        <v>3074</v>
      </c>
      <c r="I6" s="2930">
        <v>75000</v>
      </c>
      <c r="J6" s="2930">
        <v>75000</v>
      </c>
      <c r="K6" s="2930">
        <v>6830.17</v>
      </c>
      <c r="L6" s="2930">
        <v>0</v>
      </c>
      <c r="M6" s="2930" t="s">
        <v>3075</v>
      </c>
    </row>
    <row r="7" spans="1:13" s="2930" customFormat="1" ht="27" customHeight="1">
      <c r="A7" s="2930" t="s">
        <v>3076</v>
      </c>
      <c r="B7" s="2930" t="s">
        <v>3060</v>
      </c>
      <c r="C7" s="2930" t="s">
        <v>3061</v>
      </c>
      <c r="D7" s="2930">
        <v>45793.17</v>
      </c>
      <c r="E7" s="2930">
        <v>114483</v>
      </c>
      <c r="F7" s="2930">
        <v>2.5</v>
      </c>
      <c r="G7" s="2930" t="s">
        <v>3062</v>
      </c>
      <c r="H7" s="2930" t="s">
        <v>3077</v>
      </c>
      <c r="I7" s="2930">
        <v>65000</v>
      </c>
      <c r="J7" s="2930">
        <v>65000</v>
      </c>
      <c r="K7" s="2930">
        <v>5677.69</v>
      </c>
      <c r="L7" s="2930">
        <v>0</v>
      </c>
      <c r="M7" s="2930" t="s">
        <v>3078</v>
      </c>
    </row>
    <row r="8" spans="1:13" s="2930" customFormat="1" ht="27" hidden="1" customHeight="1">
      <c r="A8" s="2930" t="s">
        <v>3079</v>
      </c>
      <c r="B8" s="2930" t="s">
        <v>3060</v>
      </c>
      <c r="C8" s="2930" t="s">
        <v>3061</v>
      </c>
      <c r="D8" s="2930">
        <v>22912.61</v>
      </c>
      <c r="E8" s="2930">
        <v>41243</v>
      </c>
      <c r="F8" s="2930">
        <v>1.8</v>
      </c>
      <c r="G8" s="2930" t="s">
        <v>3080</v>
      </c>
      <c r="H8" s="2930" t="s">
        <v>3081</v>
      </c>
      <c r="I8" s="2930" t="s">
        <v>1331</v>
      </c>
      <c r="J8" s="2930">
        <v>37700</v>
      </c>
      <c r="K8" s="2930">
        <v>9140.9500000000007</v>
      </c>
      <c r="L8" s="2930" t="s">
        <v>1331</v>
      </c>
      <c r="M8" s="2930" t="s">
        <v>3082</v>
      </c>
    </row>
    <row r="9" spans="1:13" s="2930" customFormat="1" ht="27" hidden="1" customHeight="1">
      <c r="A9" s="2930" t="s">
        <v>3083</v>
      </c>
      <c r="B9" s="2930" t="s">
        <v>3060</v>
      </c>
      <c r="C9" s="2930" t="s">
        <v>3061</v>
      </c>
      <c r="D9" s="2930">
        <v>27121.1</v>
      </c>
      <c r="E9" s="2930">
        <v>54242</v>
      </c>
      <c r="F9" s="2930">
        <v>2</v>
      </c>
      <c r="G9" s="2930" t="s">
        <v>3062</v>
      </c>
      <c r="H9" s="2930" t="s">
        <v>3084</v>
      </c>
      <c r="I9" s="2930">
        <v>33000</v>
      </c>
      <c r="J9" s="2930">
        <v>73500</v>
      </c>
      <c r="K9" s="2930">
        <v>13550.38</v>
      </c>
      <c r="L9" s="2930">
        <v>122.73</v>
      </c>
      <c r="M9" s="2930" t="s">
        <v>3085</v>
      </c>
    </row>
    <row r="10" spans="1:13" s="2930" customFormat="1" ht="27" hidden="1" customHeight="1">
      <c r="A10" s="2930" t="s">
        <v>3086</v>
      </c>
      <c r="B10" s="2930" t="s">
        <v>3060</v>
      </c>
      <c r="C10" s="2930" t="s">
        <v>3061</v>
      </c>
      <c r="D10" s="2930">
        <v>15521.04</v>
      </c>
      <c r="E10" s="2930">
        <v>45011</v>
      </c>
      <c r="F10" s="2930">
        <v>2.9</v>
      </c>
      <c r="G10" s="2930" t="s">
        <v>3062</v>
      </c>
      <c r="H10" s="2930" t="s">
        <v>3087</v>
      </c>
      <c r="I10" s="2930">
        <v>17100</v>
      </c>
      <c r="J10" s="2930">
        <v>22600</v>
      </c>
      <c r="K10" s="2930">
        <v>5020.9799999999996</v>
      </c>
      <c r="L10" s="2930">
        <v>32.159999999999997</v>
      </c>
      <c r="M10" s="2930" t="s">
        <v>3088</v>
      </c>
    </row>
    <row r="11" spans="1:13" s="2930" customFormat="1" ht="27" hidden="1" customHeight="1">
      <c r="A11" s="2930" t="s">
        <v>3089</v>
      </c>
      <c r="B11" s="2930" t="s">
        <v>3060</v>
      </c>
      <c r="C11" s="2930" t="s">
        <v>3061</v>
      </c>
      <c r="D11" s="2930">
        <v>17198.490000000002</v>
      </c>
      <c r="E11" s="2930">
        <v>44716</v>
      </c>
      <c r="F11" s="2930">
        <v>2.6</v>
      </c>
      <c r="G11" s="2930" t="s">
        <v>3062</v>
      </c>
      <c r="H11" s="2930" t="s">
        <v>3087</v>
      </c>
      <c r="I11" s="2930">
        <v>17000</v>
      </c>
      <c r="J11" s="2930">
        <v>21800</v>
      </c>
      <c r="K11" s="2930">
        <v>4875.21</v>
      </c>
      <c r="L11" s="2930">
        <v>28.24</v>
      </c>
      <c r="M11" s="2930" t="s">
        <v>3090</v>
      </c>
    </row>
    <row r="12" spans="1:13" s="2930" customFormat="1" ht="27" hidden="1" customHeight="1">
      <c r="A12" s="2930" t="s">
        <v>3091</v>
      </c>
      <c r="B12" s="2930" t="s">
        <v>3060</v>
      </c>
      <c r="C12" s="2930" t="s">
        <v>3061</v>
      </c>
      <c r="D12" s="2930">
        <v>68291</v>
      </c>
      <c r="E12" s="2930">
        <v>142382</v>
      </c>
      <c r="F12" s="2930">
        <v>2.08</v>
      </c>
      <c r="G12" s="2930" t="s">
        <v>3080</v>
      </c>
      <c r="H12" s="2930" t="s">
        <v>3092</v>
      </c>
      <c r="I12" s="2930" t="s">
        <v>1331</v>
      </c>
      <c r="J12" s="2930">
        <v>101000</v>
      </c>
      <c r="K12" s="2930">
        <v>7093.59</v>
      </c>
      <c r="L12" s="2930" t="s">
        <v>1331</v>
      </c>
      <c r="M12" s="2930" t="s">
        <v>3093</v>
      </c>
    </row>
    <row r="13" spans="1:13" s="2930" customFormat="1" ht="27" hidden="1" customHeight="1">
      <c r="A13" s="2930" t="s">
        <v>3094</v>
      </c>
      <c r="B13" s="2930" t="s">
        <v>3060</v>
      </c>
      <c r="C13" s="2930" t="s">
        <v>3061</v>
      </c>
      <c r="D13" s="2930">
        <v>86552.49</v>
      </c>
      <c r="E13" s="2930">
        <v>199939</v>
      </c>
      <c r="F13" s="2930">
        <v>2.31</v>
      </c>
      <c r="G13" s="2930" t="s">
        <v>3080</v>
      </c>
      <c r="H13" s="2930" t="s">
        <v>3095</v>
      </c>
      <c r="I13" s="2930" t="s">
        <v>1331</v>
      </c>
      <c r="J13" s="2930">
        <v>52980</v>
      </c>
      <c r="K13" s="2930">
        <v>2649.8</v>
      </c>
      <c r="L13" s="2930" t="s">
        <v>1331</v>
      </c>
      <c r="M13" s="2930" t="s">
        <v>3096</v>
      </c>
    </row>
    <row r="14" spans="1:13" s="2930" customFormat="1" ht="27" hidden="1" customHeight="1">
      <c r="A14" s="2930" t="s">
        <v>3097</v>
      </c>
      <c r="B14" s="2930" t="s">
        <v>3060</v>
      </c>
      <c r="C14" s="2930" t="s">
        <v>3061</v>
      </c>
      <c r="D14" s="2930">
        <v>7095</v>
      </c>
      <c r="E14" s="2930">
        <v>24833</v>
      </c>
      <c r="F14" s="2930">
        <v>3.5</v>
      </c>
      <c r="G14" s="2930" t="s">
        <v>3080</v>
      </c>
      <c r="H14" s="2930" t="s">
        <v>3098</v>
      </c>
      <c r="I14" s="2930" t="s">
        <v>1331</v>
      </c>
      <c r="J14" s="2930">
        <v>6581</v>
      </c>
      <c r="K14" s="2930">
        <v>2650.09</v>
      </c>
      <c r="L14" s="2930" t="s">
        <v>1331</v>
      </c>
      <c r="M14" s="2930" t="s">
        <v>3099</v>
      </c>
    </row>
    <row r="15" spans="1:13" s="2930" customFormat="1" ht="27" hidden="1" customHeight="1">
      <c r="A15" s="2930" t="s">
        <v>3100</v>
      </c>
      <c r="B15" s="2930" t="s">
        <v>3060</v>
      </c>
      <c r="C15" s="2930" t="s">
        <v>3061</v>
      </c>
      <c r="D15" s="2930">
        <v>33806.81</v>
      </c>
      <c r="E15" s="2930">
        <v>118324</v>
      </c>
      <c r="F15" s="2930">
        <v>3.5</v>
      </c>
      <c r="G15" s="2930" t="s">
        <v>3080</v>
      </c>
      <c r="H15" s="2930" t="s">
        <v>3101</v>
      </c>
      <c r="I15" s="2930" t="s">
        <v>1331</v>
      </c>
      <c r="J15" s="2930">
        <v>31400</v>
      </c>
      <c r="K15" s="2930">
        <v>2653.73</v>
      </c>
      <c r="L15" s="2930" t="s">
        <v>1331</v>
      </c>
      <c r="M15" s="2930" t="s">
        <v>3099</v>
      </c>
    </row>
    <row r="16" spans="1:13" s="2930" customFormat="1" ht="27" hidden="1" customHeight="1">
      <c r="A16" s="2930" t="s">
        <v>3102</v>
      </c>
      <c r="B16" s="2930" t="s">
        <v>3060</v>
      </c>
      <c r="C16" s="2930" t="s">
        <v>3061</v>
      </c>
      <c r="D16" s="2930">
        <v>40374.97</v>
      </c>
      <c r="E16" s="2930">
        <v>104975</v>
      </c>
      <c r="F16" s="2930">
        <v>2.6</v>
      </c>
      <c r="G16" s="2930" t="s">
        <v>3080</v>
      </c>
      <c r="H16" s="2930" t="s">
        <v>3101</v>
      </c>
      <c r="I16" s="2930" t="s">
        <v>1331</v>
      </c>
      <c r="J16" s="2930">
        <v>28140</v>
      </c>
      <c r="K16" s="2930">
        <v>2680.63</v>
      </c>
      <c r="L16" s="2930" t="s">
        <v>1331</v>
      </c>
      <c r="M16" s="2930" t="s">
        <v>3103</v>
      </c>
    </row>
    <row r="17" spans="1:13" s="2930" customFormat="1" ht="27" hidden="1" customHeight="1">
      <c r="A17" s="2930" t="s">
        <v>3104</v>
      </c>
      <c r="B17" s="2930" t="s">
        <v>3060</v>
      </c>
      <c r="C17" s="2930" t="s">
        <v>3061</v>
      </c>
      <c r="D17" s="2930">
        <v>35230.230000000003</v>
      </c>
      <c r="E17" s="2930">
        <v>88076</v>
      </c>
      <c r="F17" s="2930">
        <v>2.5</v>
      </c>
      <c r="G17" s="2930" t="s">
        <v>3062</v>
      </c>
      <c r="H17" s="2930" t="s">
        <v>3105</v>
      </c>
      <c r="I17" s="2930">
        <v>62000</v>
      </c>
      <c r="J17" s="2930">
        <v>62000</v>
      </c>
      <c r="K17" s="2930">
        <v>7039.38</v>
      </c>
      <c r="L17" s="2930">
        <v>0</v>
      </c>
      <c r="M17" s="2930" t="s">
        <v>3106</v>
      </c>
    </row>
    <row r="18" spans="1:13" s="2930" customFormat="1" ht="27" hidden="1" customHeight="1">
      <c r="A18" s="2930" t="s">
        <v>3107</v>
      </c>
      <c r="B18" s="2930" t="s">
        <v>3060</v>
      </c>
      <c r="C18" s="2930" t="s">
        <v>3061</v>
      </c>
      <c r="D18" s="2930">
        <v>2070793</v>
      </c>
      <c r="E18" s="2930">
        <v>1642730</v>
      </c>
      <c r="F18" s="2930">
        <v>0.79</v>
      </c>
      <c r="G18" s="2930" t="s">
        <v>3062</v>
      </c>
      <c r="H18" s="2930" t="s">
        <v>3108</v>
      </c>
      <c r="I18" s="2930">
        <v>870000</v>
      </c>
      <c r="J18" s="2930">
        <v>870000</v>
      </c>
      <c r="K18" s="2930">
        <v>5296.06</v>
      </c>
      <c r="L18" s="2930">
        <v>0</v>
      </c>
      <c r="M18" s="2930" t="s">
        <v>3109</v>
      </c>
    </row>
    <row r="19" spans="1:13" s="2930" customFormat="1" ht="27" hidden="1" customHeight="1">
      <c r="A19" s="2930" t="s">
        <v>3110</v>
      </c>
      <c r="B19" s="2930" t="s">
        <v>3060</v>
      </c>
      <c r="C19" s="2930" t="s">
        <v>3061</v>
      </c>
      <c r="D19" s="2930">
        <v>65873.39</v>
      </c>
      <c r="E19" s="2930">
        <v>164683</v>
      </c>
      <c r="F19" s="2930">
        <v>2.5</v>
      </c>
      <c r="G19" s="2930" t="s">
        <v>3062</v>
      </c>
      <c r="H19" s="2930" t="s">
        <v>3111</v>
      </c>
      <c r="I19" s="2930">
        <v>78000</v>
      </c>
      <c r="J19" s="2930">
        <v>108000</v>
      </c>
      <c r="K19" s="2930">
        <v>6558.05</v>
      </c>
      <c r="L19" s="2930">
        <v>38.46</v>
      </c>
      <c r="M19" s="2930" t="s">
        <v>3112</v>
      </c>
    </row>
    <row r="20" spans="1:13" s="2930" customFormat="1" ht="27" customHeight="1">
      <c r="A20" s="2931" t="s">
        <v>3113</v>
      </c>
      <c r="B20" s="2931" t="s">
        <v>3060</v>
      </c>
      <c r="C20" s="2931" t="s">
        <v>3061</v>
      </c>
      <c r="D20" s="2931">
        <v>47100</v>
      </c>
      <c r="E20" s="2931">
        <v>450000</v>
      </c>
      <c r="F20" s="2931">
        <v>9.5500000000000007</v>
      </c>
      <c r="G20" s="2931" t="s">
        <v>3080</v>
      </c>
      <c r="H20" s="2931" t="s">
        <v>3114</v>
      </c>
      <c r="I20" s="2931" t="s">
        <v>1331</v>
      </c>
      <c r="J20" s="2931">
        <v>503990</v>
      </c>
      <c r="K20" s="2931">
        <v>11199.78</v>
      </c>
      <c r="L20" s="2931" t="s">
        <v>1331</v>
      </c>
      <c r="M20" s="2931" t="s">
        <v>3115</v>
      </c>
    </row>
    <row r="21" spans="1:13" s="2930" customFormat="1" ht="27" hidden="1" customHeight="1">
      <c r="A21" s="2930" t="s">
        <v>3116</v>
      </c>
      <c r="B21" s="2930" t="s">
        <v>3060</v>
      </c>
      <c r="C21" s="2930" t="s">
        <v>3061</v>
      </c>
      <c r="D21" s="2930">
        <v>37656</v>
      </c>
      <c r="E21" s="2930">
        <v>131600</v>
      </c>
      <c r="F21" s="2930">
        <v>3.49</v>
      </c>
      <c r="G21" s="2930" t="s">
        <v>3080</v>
      </c>
      <c r="H21" s="2930" t="s">
        <v>3117</v>
      </c>
      <c r="I21" s="2930" t="s">
        <v>1331</v>
      </c>
      <c r="J21" s="2930">
        <v>151603.20000000001</v>
      </c>
      <c r="K21" s="2930">
        <v>11520</v>
      </c>
      <c r="L21" s="2930" t="s">
        <v>1331</v>
      </c>
      <c r="M21" s="2930" t="s">
        <v>3118</v>
      </c>
    </row>
    <row r="22" spans="1:13" s="2930" customFormat="1" ht="27" hidden="1" customHeight="1">
      <c r="A22" s="2930" t="s">
        <v>3119</v>
      </c>
      <c r="B22" s="2930" t="s">
        <v>3060</v>
      </c>
      <c r="C22" s="2930" t="s">
        <v>3061</v>
      </c>
      <c r="D22" s="2930">
        <v>14124.26</v>
      </c>
      <c r="E22" s="2930">
        <v>119961</v>
      </c>
      <c r="F22" s="2930">
        <v>8.49</v>
      </c>
      <c r="G22" s="2930" t="s">
        <v>3080</v>
      </c>
      <c r="H22" s="2930" t="s">
        <v>3117</v>
      </c>
      <c r="I22" s="2930" t="s">
        <v>1331</v>
      </c>
      <c r="J22" s="2930">
        <v>135700</v>
      </c>
      <c r="K22" s="2930">
        <v>11312.01</v>
      </c>
      <c r="L22" s="2930" t="s">
        <v>1331</v>
      </c>
      <c r="M22" s="2930" t="s">
        <v>3120</v>
      </c>
    </row>
    <row r="23" spans="1:13" s="2930" customFormat="1" ht="27" hidden="1" customHeight="1">
      <c r="A23" s="2930" t="s">
        <v>3121</v>
      </c>
      <c r="B23" s="2930" t="s">
        <v>3060</v>
      </c>
      <c r="C23" s="2930" t="s">
        <v>3061</v>
      </c>
      <c r="D23" s="2930">
        <v>39645</v>
      </c>
      <c r="E23" s="2930">
        <v>189500</v>
      </c>
      <c r="F23" s="2930">
        <v>4.78</v>
      </c>
      <c r="G23" s="2930" t="s">
        <v>3080</v>
      </c>
      <c r="H23" s="2930" t="s">
        <v>3117</v>
      </c>
      <c r="I23" s="2930" t="s">
        <v>1331</v>
      </c>
      <c r="J23" s="2930">
        <v>218304</v>
      </c>
      <c r="K23" s="2930">
        <v>11520</v>
      </c>
      <c r="L23" s="2930" t="s">
        <v>1331</v>
      </c>
      <c r="M23" s="2930" t="s">
        <v>3122</v>
      </c>
    </row>
    <row r="24" spans="1:13" s="2930" customFormat="1" ht="27" hidden="1" customHeight="1">
      <c r="A24" s="2930" t="s">
        <v>3123</v>
      </c>
      <c r="B24" s="2930" t="s">
        <v>3060</v>
      </c>
      <c r="C24" s="2930" t="s">
        <v>3061</v>
      </c>
      <c r="D24" s="2930">
        <v>9200</v>
      </c>
      <c r="E24" s="2930">
        <v>78139</v>
      </c>
      <c r="F24" s="2930">
        <v>8.49</v>
      </c>
      <c r="G24" s="2930" t="s">
        <v>3080</v>
      </c>
      <c r="H24" s="2930" t="s">
        <v>3117</v>
      </c>
      <c r="I24" s="2930" t="s">
        <v>1331</v>
      </c>
      <c r="J24" s="2930">
        <v>88400</v>
      </c>
      <c r="K24" s="2930">
        <v>11313.17</v>
      </c>
      <c r="L24" s="2930" t="s">
        <v>1331</v>
      </c>
      <c r="M24" s="2930" t="s">
        <v>3120</v>
      </c>
    </row>
    <row r="25" spans="1:13" s="2930" customFormat="1" ht="27" hidden="1" customHeight="1">
      <c r="A25" s="2930" t="s">
        <v>3124</v>
      </c>
      <c r="B25" s="2930" t="s">
        <v>3060</v>
      </c>
      <c r="C25" s="2930" t="s">
        <v>3061</v>
      </c>
      <c r="D25" s="2930">
        <v>14088</v>
      </c>
      <c r="E25" s="2930">
        <v>90600</v>
      </c>
      <c r="F25" s="2930">
        <v>6.43</v>
      </c>
      <c r="G25" s="2930" t="s">
        <v>3080</v>
      </c>
      <c r="H25" s="2930" t="s">
        <v>3125</v>
      </c>
      <c r="I25" s="2930" t="s">
        <v>1331</v>
      </c>
      <c r="J25" s="2930">
        <v>105100</v>
      </c>
      <c r="K25" s="2930">
        <v>11600.44</v>
      </c>
      <c r="L25" s="2930" t="s">
        <v>1331</v>
      </c>
      <c r="M25" s="2930" t="s">
        <v>3120</v>
      </c>
    </row>
    <row r="26" spans="1:13" s="2930" customFormat="1" ht="27" hidden="1" customHeight="1">
      <c r="A26" s="2930" t="s">
        <v>3126</v>
      </c>
      <c r="B26" s="2930" t="s">
        <v>3060</v>
      </c>
      <c r="C26" s="2930" t="s">
        <v>3061</v>
      </c>
      <c r="D26" s="2930">
        <v>9293</v>
      </c>
      <c r="E26" s="2930">
        <v>55800</v>
      </c>
      <c r="F26" s="2930">
        <v>6</v>
      </c>
      <c r="G26" s="2930" t="s">
        <v>3080</v>
      </c>
      <c r="H26" s="2930" t="s">
        <v>3125</v>
      </c>
      <c r="I26" s="2930" t="s">
        <v>1331</v>
      </c>
      <c r="J26" s="2930">
        <v>64700</v>
      </c>
      <c r="K26" s="2930">
        <v>11594.97</v>
      </c>
      <c r="L26" s="2930" t="s">
        <v>1331</v>
      </c>
      <c r="M26" s="2930" t="s">
        <v>3120</v>
      </c>
    </row>
    <row r="27" spans="1:13" s="2930" customFormat="1" ht="27" hidden="1" customHeight="1">
      <c r="A27" s="2930" t="s">
        <v>3127</v>
      </c>
      <c r="B27" s="2930" t="s">
        <v>3060</v>
      </c>
      <c r="C27" s="2930" t="s">
        <v>3061</v>
      </c>
      <c r="D27" s="2930">
        <v>17815</v>
      </c>
      <c r="E27" s="2930">
        <v>133500</v>
      </c>
      <c r="F27" s="2930">
        <v>7.49</v>
      </c>
      <c r="G27" s="2930" t="s">
        <v>3062</v>
      </c>
      <c r="H27" s="2930" t="s">
        <v>3128</v>
      </c>
      <c r="I27" s="2930">
        <v>150900</v>
      </c>
      <c r="J27" s="2930">
        <v>178500</v>
      </c>
      <c r="K27" s="2930">
        <v>13370.79</v>
      </c>
      <c r="L27" s="2930">
        <v>18.29</v>
      </c>
      <c r="M27" s="2930" t="s">
        <v>3129</v>
      </c>
    </row>
    <row r="28" spans="1:13" s="2930" customFormat="1" ht="27" hidden="1" customHeight="1">
      <c r="A28" s="2930" t="s">
        <v>3130</v>
      </c>
      <c r="B28" s="2930" t="s">
        <v>3060</v>
      </c>
      <c r="C28" s="2930" t="s">
        <v>3061</v>
      </c>
      <c r="D28" s="2930">
        <v>8949</v>
      </c>
      <c r="E28" s="2930">
        <v>89000</v>
      </c>
      <c r="F28" s="2930">
        <v>9.9499999999999993</v>
      </c>
      <c r="G28" s="2930" t="s">
        <v>3062</v>
      </c>
      <c r="H28" s="2930" t="s">
        <v>3128</v>
      </c>
      <c r="I28" s="2930">
        <v>100600</v>
      </c>
      <c r="J28" s="2930">
        <v>107000</v>
      </c>
      <c r="K28" s="2930">
        <v>12022.46</v>
      </c>
      <c r="L28" s="2930">
        <v>6.36</v>
      </c>
      <c r="M28" s="2930" t="s">
        <v>3129</v>
      </c>
    </row>
    <row r="29" spans="1:13" s="2930" customFormat="1" ht="27" hidden="1" customHeight="1">
      <c r="A29" s="2930" t="s">
        <v>3131</v>
      </c>
      <c r="B29" s="2930" t="s">
        <v>3060</v>
      </c>
      <c r="C29" s="2930" t="s">
        <v>3061</v>
      </c>
      <c r="D29" s="2930">
        <v>17771</v>
      </c>
      <c r="E29" s="2930">
        <v>124600</v>
      </c>
      <c r="F29" s="2930">
        <v>7.01</v>
      </c>
      <c r="G29" s="2930" t="s">
        <v>3062</v>
      </c>
      <c r="H29" s="2930" t="s">
        <v>3132</v>
      </c>
      <c r="I29" s="2930">
        <v>140800</v>
      </c>
      <c r="J29" s="2930">
        <v>142900</v>
      </c>
      <c r="K29" s="2930">
        <v>11468.7</v>
      </c>
      <c r="L29" s="2930">
        <v>1.49</v>
      </c>
      <c r="M29" s="2930" t="s">
        <v>3133</v>
      </c>
    </row>
    <row r="30" spans="1:13" s="2930" customFormat="1" ht="27" hidden="1" customHeight="1">
      <c r="A30" s="2930" t="s">
        <v>3134</v>
      </c>
      <c r="B30" s="2930" t="s">
        <v>3060</v>
      </c>
      <c r="C30" s="2930" t="s">
        <v>3061</v>
      </c>
      <c r="D30" s="2930">
        <v>17064</v>
      </c>
      <c r="E30" s="2930">
        <v>128300</v>
      </c>
      <c r="F30" s="2930">
        <v>7.52</v>
      </c>
      <c r="G30" s="2930" t="s">
        <v>3062</v>
      </c>
      <c r="H30" s="2930" t="s">
        <v>3132</v>
      </c>
      <c r="I30" s="2930">
        <v>145000</v>
      </c>
      <c r="J30" s="2930">
        <v>167000</v>
      </c>
      <c r="K30" s="2930">
        <v>13016.37</v>
      </c>
      <c r="L30" s="2930">
        <v>15.17</v>
      </c>
      <c r="M30" s="2930" t="s">
        <v>3135</v>
      </c>
    </row>
    <row r="31" spans="1:13" s="2930" customFormat="1" ht="27" hidden="1" customHeight="1">
      <c r="A31" s="2930" t="s">
        <v>3136</v>
      </c>
      <c r="B31" s="2930" t="s">
        <v>3060</v>
      </c>
      <c r="C31" s="2930" t="s">
        <v>3061</v>
      </c>
      <c r="D31" s="2930">
        <v>1209458</v>
      </c>
      <c r="E31" s="2930">
        <v>798095</v>
      </c>
      <c r="F31" s="2930">
        <v>0.66</v>
      </c>
      <c r="G31" s="2930" t="s">
        <v>3062</v>
      </c>
      <c r="H31" s="2930" t="s">
        <v>3137</v>
      </c>
      <c r="I31" s="2930">
        <v>193000</v>
      </c>
      <c r="J31" s="2930">
        <v>193000</v>
      </c>
      <c r="K31" s="2930">
        <v>2418.2600000000002</v>
      </c>
      <c r="L31" s="2930">
        <v>0</v>
      </c>
      <c r="M31" s="2930" t="s">
        <v>3109</v>
      </c>
    </row>
    <row r="32" spans="1:13" s="2930" customFormat="1" ht="27" customHeight="1">
      <c r="A32" s="2931" t="s">
        <v>3138</v>
      </c>
      <c r="B32" s="2931" t="s">
        <v>3060</v>
      </c>
      <c r="C32" s="2931" t="s">
        <v>3061</v>
      </c>
      <c r="D32" s="2931">
        <v>74500</v>
      </c>
      <c r="E32" s="2931">
        <v>475640</v>
      </c>
      <c r="F32" s="2931">
        <v>6.38</v>
      </c>
      <c r="G32" s="2931" t="s">
        <v>3062</v>
      </c>
      <c r="H32" s="2931" t="s">
        <v>3139</v>
      </c>
      <c r="I32" s="2931">
        <v>420000</v>
      </c>
      <c r="J32" s="2931">
        <v>420000</v>
      </c>
      <c r="K32" s="2931">
        <v>8830.2000000000007</v>
      </c>
      <c r="L32" s="2931">
        <v>0</v>
      </c>
      <c r="M32" s="2931"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37" t="s">
        <v>1639</v>
      </c>
      <c r="E3" s="1037" t="s">
        <v>1645</v>
      </c>
      <c r="F3" s="1037" t="s">
        <v>1639</v>
      </c>
      <c r="G3" s="1037" t="s">
        <v>1640</v>
      </c>
      <c r="H3" s="1037" t="s">
        <v>1639</v>
      </c>
      <c r="I3" s="1037" t="s">
        <v>1640</v>
      </c>
    </row>
    <row r="4" spans="1:9" ht="30">
      <c r="A4" s="1965" t="str">
        <f>项目基本情况!S2</f>
        <v>北京市出让国有建设用地使用权及在建建筑物房地产</v>
      </c>
      <c r="B4" s="1037">
        <f>项目基本情况!C17</f>
        <v>103416.51999999999</v>
      </c>
      <c r="C4" s="1037">
        <f>项目基本情况!C18</f>
        <v>38798.11</v>
      </c>
      <c r="D4" s="1037" t="e">
        <f ca="1">结果表!D118</f>
        <v>#REF!</v>
      </c>
      <c r="E4" s="1037" t="e">
        <f ca="1">结果表!E118</f>
        <v>#REF!</v>
      </c>
      <c r="F4" s="1037" t="e">
        <f ca="1">结果表!F118</f>
        <v>#REF!</v>
      </c>
      <c r="G4" s="1037" t="e">
        <f ca="1">结果表!G118</f>
        <v>#REF!</v>
      </c>
      <c r="H4" s="1037">
        <f ca="1">结果表!H118</f>
        <v>211231</v>
      </c>
      <c r="I4" s="1037">
        <f ca="1">结果表!I118</f>
        <v>20425</v>
      </c>
    </row>
    <row r="5" spans="1:9" ht="30" customHeight="1">
      <c r="A5" s="3024" t="s">
        <v>1641</v>
      </c>
      <c r="B5" s="3024"/>
      <c r="C5" s="3024"/>
      <c r="D5" s="3025" t="e">
        <f ca="1">结果表!D119</f>
        <v>#REF!</v>
      </c>
      <c r="E5" s="3025"/>
      <c r="F5" s="3025" t="e">
        <f ca="1">结果表!F119</f>
        <v>#REF!</v>
      </c>
      <c r="G5" s="3025"/>
      <c r="H5" s="3025" t="str">
        <f ca="1">结果表!H119</f>
        <v>贰拾壹亿壹仟贰佰叁拾壹万元整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1641</v>
      </c>
      <c r="B7" s="3024"/>
      <c r="C7" s="3024"/>
      <c r="D7" s="3026" t="str">
        <f>结果表!D121</f>
        <v>零元整</v>
      </c>
      <c r="E7" s="3027"/>
      <c r="F7" s="3027"/>
      <c r="G7" s="3027"/>
      <c r="H7" s="3027"/>
      <c r="I7" s="3028"/>
    </row>
    <row r="8" spans="1:9" ht="15.75">
      <c r="A8" s="3023" t="str">
        <f>结果表!A122</f>
        <v>房地产抵押价值</v>
      </c>
      <c r="B8" s="3023"/>
      <c r="C8" s="3023"/>
      <c r="D8" s="3023">
        <f ca="1">结果表!D122</f>
        <v>211231</v>
      </c>
      <c r="E8" s="3023"/>
      <c r="F8" s="3023"/>
      <c r="G8" s="3023"/>
      <c r="H8" s="3023"/>
      <c r="I8" s="3023"/>
    </row>
    <row r="9" spans="1:9" ht="15">
      <c r="A9" s="3024" t="s">
        <v>1641</v>
      </c>
      <c r="B9" s="3024"/>
      <c r="C9" s="3024"/>
      <c r="D9" s="3025" t="str">
        <f ca="1">结果表!D123</f>
        <v>贰拾壹亿壹仟贰佰叁拾壹万元整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1641</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1641</v>
      </c>
      <c r="B13" s="3020"/>
      <c r="C13" s="3020"/>
      <c r="D13" s="3021" t="e">
        <f>结果表!D127</f>
        <v>#VALUE!</v>
      </c>
      <c r="E13" s="3021"/>
      <c r="F13" s="3021"/>
      <c r="G13" s="3021"/>
      <c r="H13" s="3021"/>
      <c r="I13" s="3021"/>
    </row>
    <row r="14" spans="1:9" ht="15" thickTop="1">
      <c r="A14" s="3022" t="s">
        <v>1646</v>
      </c>
      <c r="B14" s="3022"/>
      <c r="C14" s="3022"/>
      <c r="D14" s="3022"/>
      <c r="E14" s="3022"/>
      <c r="F14" s="3022"/>
      <c r="G14" s="3022"/>
      <c r="H14" s="3022"/>
      <c r="I14" s="3022"/>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6" sqref="B16"/>
    </sheetView>
  </sheetViews>
  <sheetFormatPr defaultRowHeight="13.5"/>
  <cols>
    <col min="1" max="1" width="11.75" customWidth="1"/>
    <col min="2" max="2" width="11.5" customWidth="1"/>
    <col min="3" max="3" width="11.125" customWidth="1"/>
  </cols>
  <sheetData>
    <row r="1" spans="1:3">
      <c r="A1" s="2983" t="s">
        <v>3549</v>
      </c>
    </row>
    <row r="2" spans="1:3">
      <c r="A2" s="2983" t="s">
        <v>3550</v>
      </c>
      <c r="B2" s="2983" t="s">
        <v>3551</v>
      </c>
      <c r="C2" s="2983" t="s">
        <v>3552</v>
      </c>
    </row>
    <row r="3" spans="1:3">
      <c r="A3" s="2983" t="s">
        <v>3553</v>
      </c>
      <c r="B3">
        <v>15244.95</v>
      </c>
      <c r="C3" s="2983" t="s">
        <v>3554</v>
      </c>
    </row>
    <row r="4" spans="1:3">
      <c r="A4" s="2983" t="s">
        <v>3609</v>
      </c>
      <c r="B4">
        <v>4042.11</v>
      </c>
      <c r="C4" s="2983" t="s">
        <v>3554</v>
      </c>
    </row>
    <row r="5" spans="1:3" ht="14.25">
      <c r="A5" s="2983" t="s">
        <v>3610</v>
      </c>
      <c r="B5">
        <v>7275.56</v>
      </c>
      <c r="C5" s="2983" t="s">
        <v>3554</v>
      </c>
    </row>
    <row r="6" spans="1:3" ht="14.25">
      <c r="A6" s="2983" t="s">
        <v>3611</v>
      </c>
      <c r="B6">
        <v>21950.62</v>
      </c>
      <c r="C6" s="2983" t="s">
        <v>3554</v>
      </c>
    </row>
    <row r="7" spans="1:3" ht="14.25">
      <c r="A7" s="2983" t="s">
        <v>3612</v>
      </c>
      <c r="B7">
        <v>23486.38</v>
      </c>
      <c r="C7" s="2983" t="s">
        <v>3554</v>
      </c>
    </row>
    <row r="8" spans="1:3" ht="14.25">
      <c r="A8" s="2983" t="s">
        <v>3613</v>
      </c>
      <c r="B8">
        <v>7675.95</v>
      </c>
      <c r="C8" s="2983" t="s">
        <v>3554</v>
      </c>
    </row>
    <row r="9" spans="1:3" ht="14.25">
      <c r="A9" s="2983" t="s">
        <v>3614</v>
      </c>
      <c r="B9">
        <v>20976.18</v>
      </c>
      <c r="C9" s="2983" t="s">
        <v>3554</v>
      </c>
    </row>
    <row r="10" spans="1:3" ht="14.25">
      <c r="A10" s="2983" t="s">
        <v>3615</v>
      </c>
      <c r="B10">
        <v>11352.64</v>
      </c>
      <c r="C10" s="2983" t="s">
        <v>3554</v>
      </c>
    </row>
    <row r="11" spans="1:3" ht="14.25">
      <c r="A11" s="2983" t="s">
        <v>3616</v>
      </c>
      <c r="B11">
        <v>12866.75</v>
      </c>
      <c r="C11" s="2983" t="s">
        <v>3554</v>
      </c>
    </row>
    <row r="12" spans="1:3" ht="14.25">
      <c r="A12" s="2983" t="s">
        <v>3617</v>
      </c>
      <c r="B12">
        <v>24783.39</v>
      </c>
      <c r="C12" s="2983" t="s">
        <v>3554</v>
      </c>
    </row>
    <row r="13" spans="1:3">
      <c r="A13" s="2983" t="s">
        <v>3618</v>
      </c>
      <c r="B13">
        <f>SUM(B3:B12)</f>
        <v>149654.53</v>
      </c>
    </row>
    <row r="15" spans="1:3">
      <c r="A15" s="2983" t="s">
        <v>3619</v>
      </c>
      <c r="B15">
        <v>56144.93</v>
      </c>
    </row>
    <row r="16" spans="1:3">
      <c r="A16" s="2983" t="s">
        <v>3620</v>
      </c>
      <c r="B16">
        <f>'数据-汇总表'!E31</f>
        <v>103416.52</v>
      </c>
    </row>
    <row r="17" spans="1:2">
      <c r="A17" s="2983" t="s">
        <v>3621</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37" t="s">
        <v>1663</v>
      </c>
      <c r="B1" s="3037"/>
      <c r="C1" s="3037"/>
      <c r="D1" s="3037"/>
    </row>
    <row r="2" spans="1:4" ht="18">
      <c r="A2" s="3038" t="s">
        <v>1647</v>
      </c>
      <c r="B2" s="3038"/>
      <c r="C2" s="3038"/>
      <c r="D2" s="3038"/>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38" t="s">
        <v>1653</v>
      </c>
      <c r="B6" s="3038"/>
      <c r="C6" s="3038"/>
      <c r="D6" s="3038"/>
    </row>
    <row r="7" spans="1:4" ht="18.75">
      <c r="A7" s="1969" t="s">
        <v>1648</v>
      </c>
      <c r="B7" s="1971" t="s">
        <v>1654</v>
      </c>
      <c r="C7" s="1969" t="s">
        <v>1650</v>
      </c>
      <c r="D7" s="1969" t="s">
        <v>1651</v>
      </c>
    </row>
    <row r="8" spans="1:4" ht="56.25" customHeight="1">
      <c r="A8" s="1975" t="s">
        <v>869</v>
      </c>
      <c r="B8" s="1975" t="s">
        <v>1</v>
      </c>
      <c r="C8" s="1972"/>
      <c r="D8" s="1973" t="s">
        <v>1652</v>
      </c>
    </row>
    <row r="9" spans="1:4">
      <c r="A9" s="721"/>
      <c r="B9" s="721"/>
      <c r="C9" s="721"/>
      <c r="D9" s="721"/>
    </row>
    <row r="10" spans="1:4" ht="18.75">
      <c r="A10" s="1976" t="s">
        <v>1655</v>
      </c>
      <c r="B10" s="721"/>
      <c r="C10" s="721"/>
      <c r="D10" s="721"/>
    </row>
    <row r="11" spans="1:4" ht="30" customHeight="1">
      <c r="A11" s="3039" t="s">
        <v>1656</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1657</v>
      </c>
      <c r="B16" s="3033"/>
      <c r="C16" s="3033"/>
      <c r="D16" s="3033"/>
    </row>
    <row r="17" spans="1:4" ht="144" customHeight="1">
      <c r="A17" s="3033" t="s">
        <v>1658</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1659</v>
      </c>
      <c r="B22" s="3035"/>
      <c r="C22" s="3035"/>
      <c r="D22" s="3035"/>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45" t="s">
        <v>1670</v>
      </c>
      <c r="B15" s="3040" t="s">
        <v>136</v>
      </c>
      <c r="C15" s="3041"/>
    </row>
    <row r="16" spans="1:7" ht="13.5">
      <c r="A16" s="3046"/>
      <c r="B16" s="3040" t="s">
        <v>69</v>
      </c>
      <c r="C16" s="3041"/>
    </row>
    <row r="17" spans="1:3" ht="13.5">
      <c r="A17" s="3046"/>
      <c r="B17" s="3043" t="s">
        <v>1671</v>
      </c>
      <c r="C17" s="1992" t="s">
        <v>1670</v>
      </c>
    </row>
    <row r="18" spans="1:3" ht="13.5">
      <c r="A18" s="3046"/>
      <c r="B18" s="3043"/>
      <c r="C18" s="1992" t="s">
        <v>1672</v>
      </c>
    </row>
    <row r="19" spans="1:3" ht="13.5">
      <c r="A19" s="3046"/>
      <c r="B19" s="3043"/>
      <c r="C19" s="1992" t="s">
        <v>1673</v>
      </c>
    </row>
    <row r="20" spans="1:3" ht="13.5">
      <c r="A20" s="3047"/>
      <c r="B20" s="3042" t="s">
        <v>1674</v>
      </c>
      <c r="C20" s="3041"/>
    </row>
    <row r="21" spans="1:3" ht="13.5">
      <c r="A21" s="1993" t="s">
        <v>1675</v>
      </c>
      <c r="B21" s="1994"/>
      <c r="C21" s="1995"/>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1992" t="s">
        <v>1681</v>
      </c>
    </row>
    <row r="26" spans="1:3" ht="13.5">
      <c r="A26" s="3044"/>
      <c r="B26" s="3043"/>
      <c r="C26" s="1992" t="s">
        <v>1682</v>
      </c>
    </row>
    <row r="27" spans="1:3" ht="13.5">
      <c r="A27" s="3044"/>
      <c r="B27" s="3043"/>
      <c r="C27" s="1992" t="s">
        <v>1683</v>
      </c>
    </row>
    <row r="28" spans="1:3" ht="13.5">
      <c r="A28" s="3044"/>
      <c r="B28" s="3043"/>
      <c r="C28" s="1992" t="s">
        <v>1684</v>
      </c>
    </row>
    <row r="29" spans="1:3" ht="13.5">
      <c r="A29" s="3044"/>
      <c r="B29" s="3043"/>
      <c r="C29" s="1992" t="s">
        <v>1685</v>
      </c>
    </row>
    <row r="30" spans="1:3" ht="13.5">
      <c r="A30" s="3044"/>
      <c r="B30" s="3043"/>
      <c r="C30" s="1992" t="s">
        <v>1686</v>
      </c>
    </row>
    <row r="31" spans="1:3" ht="13.5">
      <c r="A31" s="3044"/>
      <c r="B31" s="3043"/>
      <c r="C31" s="1992" t="s">
        <v>1687</v>
      </c>
    </row>
    <row r="32" spans="1:3" ht="13.5">
      <c r="A32" s="3044"/>
      <c r="B32" s="3043"/>
      <c r="C32" s="1992" t="s">
        <v>1688</v>
      </c>
    </row>
    <row r="33" spans="1:3" ht="13.5">
      <c r="A33" s="3044"/>
      <c r="B33" s="3043"/>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43172</v>
      </c>
      <c r="C2" s="1012" t="s">
        <v>826</v>
      </c>
      <c r="D2" s="1012"/>
    </row>
    <row r="3" spans="1:6" ht="24" customHeight="1">
      <c r="A3" s="1013" t="s">
        <v>827</v>
      </c>
      <c r="B3" s="1014" t="s">
        <v>828</v>
      </c>
      <c r="C3" s="2337" t="s">
        <v>829</v>
      </c>
      <c r="D3" s="2340" t="s">
        <v>830</v>
      </c>
      <c r="E3" s="1015" t="s">
        <v>831</v>
      </c>
      <c r="F3" s="1014" t="s">
        <v>829</v>
      </c>
    </row>
    <row r="4" spans="1:6" ht="24" customHeight="1">
      <c r="A4" s="1694" t="s">
        <v>832</v>
      </c>
      <c r="B4" s="1015">
        <f ca="1">IF(C4&lt;B2,"已过期",1119970066)</f>
        <v>1119970066</v>
      </c>
      <c r="C4" s="2338">
        <v>43849</v>
      </c>
      <c r="D4" s="2341" t="s">
        <v>832</v>
      </c>
      <c r="E4" s="1015">
        <f ca="1">IF(F4&lt;B2,"已过期",96010014)</f>
        <v>96010014</v>
      </c>
      <c r="F4" s="1023">
        <v>47118</v>
      </c>
    </row>
    <row r="5" spans="1:6" ht="24" customHeight="1">
      <c r="A5" s="1694" t="s">
        <v>833</v>
      </c>
      <c r="B5" s="1015">
        <f ca="1">IF(C5&lt;B2,"已过期",1119970074)</f>
        <v>1119970074</v>
      </c>
      <c r="C5" s="2338">
        <v>43849</v>
      </c>
      <c r="D5" s="2341" t="s">
        <v>833</v>
      </c>
      <c r="E5" s="1015">
        <f ca="1">IF(F5&lt;B2,"已过期",2002110027)</f>
        <v>2002110027</v>
      </c>
      <c r="F5" s="1023">
        <v>46752</v>
      </c>
    </row>
    <row r="6" spans="1:6" ht="24" customHeight="1">
      <c r="A6" s="1694" t="s">
        <v>834</v>
      </c>
      <c r="B6" s="1015">
        <f ca="1">IF(C6&lt;B2,"已过期",1119970111)</f>
        <v>1119970111</v>
      </c>
      <c r="C6" s="2338">
        <v>43849</v>
      </c>
      <c r="D6" s="2341" t="s">
        <v>834</v>
      </c>
      <c r="E6" s="1015">
        <f ca="1">IF(F6&lt;B2,"已过期",94010078)</f>
        <v>94010078</v>
      </c>
      <c r="F6" s="1023">
        <v>46387</v>
      </c>
    </row>
    <row r="7" spans="1:6" ht="24" customHeight="1">
      <c r="A7" s="1694" t="s">
        <v>835</v>
      </c>
      <c r="B7" s="1015">
        <f ca="1">IF(C7&lt;B2,"已过期",1120050019)</f>
        <v>1120050019</v>
      </c>
      <c r="C7" s="2338">
        <v>43359</v>
      </c>
      <c r="D7" s="2341" t="s">
        <v>835</v>
      </c>
      <c r="E7" s="1015">
        <f ca="1">IF(F7&lt;B2,"已过期",2002110030)</f>
        <v>2002110030</v>
      </c>
      <c r="F7" s="1023">
        <v>46387</v>
      </c>
    </row>
    <row r="8" spans="1:6" ht="24" customHeight="1">
      <c r="A8" s="1694" t="s">
        <v>836</v>
      </c>
      <c r="B8" s="1015">
        <f ca="1">IF(C8&lt;B2,"已过期",1120000080)</f>
        <v>1120000080</v>
      </c>
      <c r="C8" s="2338">
        <v>43849</v>
      </c>
      <c r="D8" s="2341" t="s">
        <v>836</v>
      </c>
      <c r="E8" s="1015">
        <f ca="1">IF(F8&lt;B2,"已过期",2000110082)</f>
        <v>2000110082</v>
      </c>
      <c r="F8" s="1023">
        <v>46387</v>
      </c>
    </row>
    <row r="9" spans="1:6" ht="24" customHeight="1">
      <c r="A9" s="1694" t="s">
        <v>837</v>
      </c>
      <c r="B9" s="1015">
        <f ca="1">IF(C9&lt;B2,"已过期",1419970001)</f>
        <v>1419970001</v>
      </c>
      <c r="C9" s="2338">
        <v>43867</v>
      </c>
      <c r="D9" s="2341" t="s">
        <v>837</v>
      </c>
      <c r="E9" s="1015">
        <f ca="1">IF(F9&lt;B2,"已过期",2002110125)</f>
        <v>2002110125</v>
      </c>
      <c r="F9" s="1023">
        <v>47118</v>
      </c>
    </row>
    <row r="10" spans="1:6" ht="24" customHeight="1">
      <c r="A10" s="1694" t="s">
        <v>838</v>
      </c>
      <c r="B10" s="1015">
        <f ca="1">IF(C10&lt;B2,"已过期",1120060040)</f>
        <v>1120060040</v>
      </c>
      <c r="C10" s="2338">
        <v>43483</v>
      </c>
      <c r="D10" s="2341" t="s">
        <v>838</v>
      </c>
      <c r="E10" s="1015">
        <f ca="1">IF(F10&lt;B2,"已过期",2004110096)</f>
        <v>2004110096</v>
      </c>
      <c r="F10" s="1023">
        <v>47118</v>
      </c>
    </row>
    <row r="11" spans="1:6" ht="24" customHeight="1">
      <c r="A11" s="1694" t="s">
        <v>839</v>
      </c>
      <c r="B11" s="1015">
        <f ca="1">IF(C11&lt;B2,"已过期",1120100036)</f>
        <v>1120100036</v>
      </c>
      <c r="C11" s="2338">
        <v>43622</v>
      </c>
      <c r="D11" s="2341" t="s">
        <v>839</v>
      </c>
      <c r="E11" s="1015">
        <f ca="1">IF(F11&lt;B2,"已过期",2010110070)</f>
        <v>2010110070</v>
      </c>
      <c r="F11" s="1023">
        <v>47907</v>
      </c>
    </row>
    <row r="12" spans="1:6" ht="24" customHeight="1">
      <c r="A12" s="1694"/>
      <c r="B12" s="1015"/>
      <c r="C12" s="2338"/>
      <c r="D12" s="2341"/>
      <c r="E12" s="1015"/>
      <c r="F12" s="1015"/>
    </row>
    <row r="13" spans="1:6" ht="24" customHeight="1">
      <c r="A13" s="1694" t="s">
        <v>840</v>
      </c>
      <c r="B13" s="1015">
        <f ca="1">IF(C13&lt;B2,"已过期",1120070131)</f>
        <v>1120070131</v>
      </c>
      <c r="C13" s="2338">
        <v>43814</v>
      </c>
      <c r="D13" s="2341" t="s">
        <v>840</v>
      </c>
      <c r="E13" s="1015">
        <v>2014110011</v>
      </c>
      <c r="F13" s="1023">
        <v>49302</v>
      </c>
    </row>
    <row r="14" spans="1:6" ht="24" customHeight="1">
      <c r="A14" s="1694" t="s">
        <v>841</v>
      </c>
      <c r="B14" s="1015">
        <f ca="1">IF(C14&lt;B2,"已过期",1120130020)</f>
        <v>1120130020</v>
      </c>
      <c r="C14" s="2338">
        <v>43622</v>
      </c>
      <c r="D14" s="2341"/>
      <c r="E14" s="1015"/>
      <c r="F14" s="1015"/>
    </row>
    <row r="15" spans="1:6" ht="24" customHeight="1">
      <c r="A15" s="1695" t="s">
        <v>1149</v>
      </c>
      <c r="B15" s="1015">
        <v>1120070085</v>
      </c>
      <c r="C15" s="2338">
        <v>43814</v>
      </c>
      <c r="D15" s="2342" t="s">
        <v>1149</v>
      </c>
      <c r="E15" s="1015">
        <v>2004110128</v>
      </c>
      <c r="F15" s="1016">
        <v>47118</v>
      </c>
    </row>
    <row r="16" spans="1:6" ht="24" customHeight="1">
      <c r="A16" s="1694" t="s">
        <v>842</v>
      </c>
      <c r="B16" s="1015">
        <f ca="1">IF(C16&lt;B2,"已过期",1120140022)</f>
        <v>1120140022</v>
      </c>
      <c r="C16" s="2338">
        <v>44029</v>
      </c>
      <c r="D16" s="2341" t="s">
        <v>842</v>
      </c>
      <c r="E16" s="1015">
        <f ca="1">IF(F16&lt;B2,"已过期",2008110059)</f>
        <v>2008110059</v>
      </c>
      <c r="F16" s="1023">
        <v>47177</v>
      </c>
    </row>
    <row r="17" spans="1:7" ht="24" customHeight="1">
      <c r="A17" s="1694"/>
      <c r="B17" s="1015"/>
      <c r="C17" s="2338"/>
      <c r="D17" s="2341"/>
      <c r="E17" s="1015"/>
      <c r="F17" s="1023"/>
    </row>
    <row r="18" spans="1:7" ht="24" customHeight="1">
      <c r="A18" s="1694"/>
      <c r="B18" s="1015"/>
      <c r="C18" s="2338"/>
      <c r="D18" s="2341"/>
      <c r="E18" s="1015"/>
      <c r="F18" s="1023"/>
    </row>
    <row r="19" spans="1:7" ht="24" customHeight="1">
      <c r="A19" s="1694"/>
      <c r="B19" s="1015"/>
      <c r="C19" s="2338"/>
      <c r="D19" s="2341"/>
      <c r="E19" s="1015"/>
      <c r="F19" s="1015"/>
    </row>
    <row r="20" spans="1:7" ht="24" customHeight="1">
      <c r="A20" s="1694"/>
      <c r="B20" s="1015"/>
      <c r="C20" s="2338"/>
      <c r="D20" s="2341"/>
      <c r="E20" s="1015"/>
      <c r="F20" s="1015"/>
    </row>
    <row r="21" spans="1:7" ht="24" customHeight="1">
      <c r="A21" s="1694"/>
      <c r="B21" s="1015"/>
      <c r="C21" s="2338"/>
      <c r="D21" s="2341" t="s">
        <v>843</v>
      </c>
      <c r="E21" s="1015">
        <f ca="1">IF(F21&lt;B2,"已过期",2011110090)</f>
        <v>2011110090</v>
      </c>
      <c r="F21" s="1023">
        <v>48302</v>
      </c>
    </row>
    <row r="22" spans="1:7" ht="24" customHeight="1">
      <c r="A22" s="1694" t="s">
        <v>844</v>
      </c>
      <c r="B22" s="1015">
        <f ca="1">IF(C22&lt;B2,"已过期",1120020033)</f>
        <v>1120020033</v>
      </c>
      <c r="C22" s="2338">
        <v>43304</v>
      </c>
      <c r="D22" s="2341" t="s">
        <v>844</v>
      </c>
      <c r="E22" s="1015">
        <f ca="1">IF(F22&lt;B2,"已过期",2000110137)</f>
        <v>2000110137</v>
      </c>
      <c r="F22" s="1023">
        <v>46387</v>
      </c>
    </row>
    <row r="23" spans="1:7" ht="24" customHeight="1">
      <c r="A23" s="1694" t="s">
        <v>845</v>
      </c>
      <c r="B23" s="1015">
        <f ca="1">IF(C23&lt;B2,"已过期",1120130048)</f>
        <v>1120130048</v>
      </c>
      <c r="C23" s="2338">
        <v>43686</v>
      </c>
      <c r="D23" s="2341"/>
      <c r="E23" s="1015"/>
      <c r="F23" s="1015"/>
    </row>
    <row r="24" spans="1:7" s="1017" customFormat="1" ht="24" customHeight="1">
      <c r="A24" s="1695" t="s">
        <v>1333</v>
      </c>
      <c r="B24" s="1695" t="s">
        <v>1333</v>
      </c>
      <c r="C24" s="2339" t="s">
        <v>1333</v>
      </c>
      <c r="D24" s="2342" t="s">
        <v>1333</v>
      </c>
      <c r="E24" s="1695" t="s">
        <v>1333</v>
      </c>
      <c r="F24" s="1695" t="s">
        <v>1333</v>
      </c>
    </row>
    <row r="25" spans="1:7" ht="24" customHeight="1">
      <c r="A25" s="3048" t="s">
        <v>846</v>
      </c>
      <c r="B25" s="3048"/>
      <c r="C25" s="3048"/>
      <c r="D25" s="3048"/>
      <c r="E25" s="3048"/>
      <c r="F25" s="3048"/>
      <c r="G25" s="3048"/>
    </row>
    <row r="26" spans="1:7" s="1018" customFormat="1" ht="24" customHeight="1">
      <c r="A26" s="3049" t="s">
        <v>847</v>
      </c>
      <c r="B26" s="3049"/>
      <c r="C26" s="3050"/>
      <c r="D26" s="3051" t="s">
        <v>848</v>
      </c>
      <c r="E26" s="3049"/>
      <c r="F26" s="3049"/>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2018-03-13T07:11:17Z</dcterms:modified>
</cp:coreProperties>
</file>