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指标" sheetId="82" r:id="rId15"/>
    <sheet name="分摊土地" sheetId="80" r:id="rId16"/>
    <sheet name="营业收入" sheetId="85" r:id="rId17"/>
    <sheet name="出租率及营业额" sheetId="86" r:id="rId18"/>
    <sheet name="数据-取费表" sheetId="1" r:id="rId19"/>
    <sheet name="估价对象房地状况" sheetId="20" state="hidden" r:id="rId20"/>
    <sheet name="系统读取表" sheetId="74" r:id="rId21"/>
    <sheet name="拆分结果" sheetId="81" r:id="rId22"/>
    <sheet name="结果表" sheetId="9" r:id="rId23"/>
    <sheet name="成本法" sheetId="68" r:id="rId24"/>
    <sheet name="成本法 (元)" sheetId="69" state="hidden" r:id="rId25"/>
    <sheet name="假设开发法" sheetId="12" state="hidden" r:id="rId26"/>
    <sheet name="土地比较法-住宅、综合" sheetId="39" r:id="rId27"/>
    <sheet name="土地案例" sheetId="87" r:id="rId28"/>
    <sheet name="收益法" sheetId="15"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商业租金" sheetId="84" r:id="rId52"/>
    <sheet name="Sheet1" sheetId="83" r:id="rId53"/>
  </sheets>
  <externalReferences>
    <externalReference r:id="rId54"/>
    <externalReference r:id="rId55"/>
    <externalReference r:id="rId56"/>
    <externalReference r:id="rId57"/>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5" hidden="1">分摊土地!$I$2:$N$345</definedName>
    <definedName name="_xlnm._FilterDatabase" localSheetId="12" hidden="1">'数据-基础表'!$A$12:$AT$587</definedName>
    <definedName name="_xlnm._FilterDatabase" localSheetId="27" hidden="1">土地案例!$A$1:$AB$46</definedName>
    <definedName name="_xlnm._FilterDatabase" localSheetId="38" hidden="1">'土地比较法-工业'!$A$1:$L$43</definedName>
    <definedName name="_xlnm._FilterDatabase" localSheetId="26"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2">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26">'土地比较法-住宅、综合'!$A$1:$K$65,'土地比较法-住宅、综合'!$A$68:$M$131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0">'[3]数据-汇总表'!$C$17:$C$26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21" i="1" l="1"/>
  <c r="U6" i="1" l="1"/>
  <c r="I6" i="39" l="1"/>
  <c r="I5" i="39"/>
  <c r="G6" i="39"/>
  <c r="G5" i="39"/>
  <c r="E6" i="39"/>
  <c r="E5" i="39"/>
  <c r="I46" i="39"/>
  <c r="I38" i="39"/>
  <c r="G46" i="39"/>
  <c r="G38" i="39"/>
  <c r="E46" i="39"/>
  <c r="E38" i="39"/>
  <c r="D70" i="39"/>
  <c r="E70" i="39" s="1"/>
  <c r="F70" i="39" s="1"/>
  <c r="G70" i="39" s="1"/>
  <c r="H70" i="39" s="1"/>
  <c r="I70" i="39" s="1"/>
  <c r="J70" i="39" s="1"/>
  <c r="K70" i="39" s="1"/>
  <c r="L70" i="39" s="1"/>
  <c r="M70" i="39" s="1"/>
  <c r="N70" i="39" s="1"/>
  <c r="O70" i="39" s="1"/>
  <c r="I7" i="39"/>
  <c r="G7" i="39"/>
  <c r="E7" i="39"/>
  <c r="U7" i="43" l="1"/>
  <c r="U4" i="43"/>
  <c r="U5" i="43"/>
  <c r="U6" i="43"/>
  <c r="U3" i="43"/>
  <c r="U2" i="43"/>
  <c r="G51" i="43"/>
  <c r="G52" i="43"/>
  <c r="G53" i="43"/>
  <c r="G54" i="43"/>
  <c r="G55" i="43"/>
  <c r="G56" i="43"/>
  <c r="G57" i="43"/>
  <c r="G58" i="43"/>
  <c r="G50" i="43"/>
  <c r="G44" i="43"/>
  <c r="D42" i="43"/>
  <c r="D37" i="43"/>
  <c r="D33" i="43"/>
  <c r="E19" i="43"/>
  <c r="G19" i="43"/>
  <c r="N612" i="86" l="1"/>
  <c r="M600" i="86"/>
  <c r="L600" i="86"/>
  <c r="L604" i="86" s="1"/>
  <c r="D600" i="86"/>
  <c r="T33" i="1" l="1"/>
  <c r="S33" i="1"/>
  <c r="S29" i="1"/>
  <c r="S28" i="1"/>
  <c r="S27" i="1"/>
  <c r="S26" i="1"/>
  <c r="S25" i="1"/>
  <c r="S24" i="1"/>
  <c r="S23" i="1"/>
  <c r="C22" i="81"/>
  <c r="C21" i="81"/>
  <c r="C20" i="81"/>
  <c r="B21" i="81"/>
  <c r="B15" i="81"/>
  <c r="B14" i="81"/>
  <c r="B13" i="81"/>
  <c r="B12" i="81"/>
  <c r="C5" i="81"/>
  <c r="C23" i="81" s="1"/>
  <c r="B5" i="81"/>
  <c r="C4" i="81"/>
  <c r="B4" i="81"/>
  <c r="C15" i="74"/>
  <c r="B15" i="74"/>
  <c r="K31" i="1"/>
  <c r="K28" i="1"/>
  <c r="K27" i="1"/>
  <c r="J13" i="74" l="1"/>
  <c r="C14" i="74"/>
  <c r="B14" i="74"/>
  <c r="T28" i="1"/>
  <c r="U28" i="1" s="1"/>
  <c r="V28" i="1" s="1"/>
  <c r="T27" i="1"/>
  <c r="C7" i="85"/>
  <c r="C6" i="85"/>
  <c r="C5" i="85"/>
  <c r="C4" i="85"/>
  <c r="E57" i="39"/>
  <c r="J49" i="15"/>
  <c r="W33" i="1"/>
  <c r="U33" i="1" s="1"/>
  <c r="V23" i="1"/>
  <c r="U25" i="1"/>
  <c r="V25" i="1" s="1"/>
  <c r="U26" i="1"/>
  <c r="V26" i="1" s="1"/>
  <c r="U27" i="1"/>
  <c r="V27" i="1" s="1"/>
  <c r="U29" i="1"/>
  <c r="V29" i="1" s="1"/>
  <c r="U24" i="1"/>
  <c r="V24" i="1" s="1"/>
  <c r="S30" i="1"/>
  <c r="S34" i="1" s="1"/>
  <c r="Y6" i="1"/>
  <c r="N6" i="1"/>
  <c r="V30" i="1" l="1"/>
  <c r="U30" i="1" s="1"/>
  <c r="V33" i="1"/>
  <c r="M28" i="1"/>
  <c r="V34" i="1" l="1"/>
  <c r="U34" i="1" s="1"/>
  <c r="F21" i="82"/>
  <c r="D21" i="82"/>
  <c r="E426" i="80"/>
  <c r="E427" i="80" s="1"/>
  <c r="D426" i="80"/>
  <c r="D427" i="80" s="1"/>
  <c r="M344" i="80"/>
  <c r="F20" i="82" s="1"/>
  <c r="F22" i="82" s="1"/>
  <c r="L344" i="80"/>
  <c r="D20" i="82" s="1"/>
  <c r="M343" i="80"/>
  <c r="L343" i="80"/>
  <c r="J28" i="82"/>
  <c r="L342" i="80"/>
  <c r="L345" i="80" l="1"/>
  <c r="M345" i="80"/>
  <c r="F6" i="82"/>
  <c r="D6" i="82"/>
  <c r="K13" i="3" s="1"/>
  <c r="G19" i="6" s="1"/>
  <c r="F5" i="82"/>
  <c r="D5" i="82"/>
  <c r="M13" i="3" s="1"/>
  <c r="J12" i="82"/>
  <c r="B23" i="81"/>
  <c r="B22" i="81"/>
  <c r="N6" i="81"/>
  <c r="O6" i="81" s="1"/>
  <c r="N5" i="81"/>
  <c r="M5" i="81"/>
  <c r="B6" i="81" l="1"/>
  <c r="O5" i="81"/>
  <c r="C6" i="81"/>
  <c r="B16" i="81"/>
  <c r="N7" i="81"/>
  <c r="F7" i="82"/>
  <c r="A3" i="3" s="1"/>
  <c r="B20" i="81"/>
  <c r="B24" i="81" s="1"/>
  <c r="M7" i="81"/>
  <c r="C24" i="81"/>
  <c r="E425" i="80"/>
  <c r="D425" i="80"/>
  <c r="D424" i="80"/>
  <c r="E424" i="80"/>
  <c r="M342" i="80"/>
  <c r="O7" i="81" l="1"/>
  <c r="E771" i="80"/>
  <c r="G766" i="80"/>
  <c r="F43" i="82" l="1"/>
  <c r="F42" i="82"/>
  <c r="B42" i="82"/>
  <c r="F41" i="82"/>
  <c r="B41" i="82"/>
  <c r="F40" i="82"/>
  <c r="B40" i="82"/>
  <c r="F39" i="82"/>
  <c r="B39" i="82"/>
  <c r="F38" i="82"/>
  <c r="B38" i="82"/>
  <c r="F37" i="82"/>
  <c r="B37" i="82"/>
  <c r="F36" i="82"/>
  <c r="B36" i="82"/>
  <c r="E29" i="82"/>
  <c r="I28" i="82"/>
  <c r="N28" i="82"/>
  <c r="E22" i="82"/>
  <c r="D26" i="82"/>
  <c r="F34" i="82"/>
  <c r="E14" i="82"/>
  <c r="I12" i="82"/>
  <c r="N12" i="82"/>
  <c r="E7" i="82"/>
  <c r="B35" i="82"/>
  <c r="B34" i="82"/>
  <c r="D3" i="4"/>
  <c r="I13" i="3" l="1"/>
  <c r="F19" i="6" s="1"/>
  <c r="F35" i="82"/>
  <c r="F44" i="82"/>
  <c r="N30" i="82"/>
  <c r="B44" i="82"/>
  <c r="D7" i="82"/>
  <c r="M12" i="82" s="1"/>
  <c r="D22" i="82"/>
  <c r="M28" i="82" s="1"/>
  <c r="D29" i="82"/>
  <c r="D11" i="82"/>
  <c r="G14" i="73"/>
  <c r="F14" i="73"/>
  <c r="E14" i="73"/>
  <c r="M27" i="1" l="1"/>
  <c r="M26" i="1" s="1"/>
  <c r="K26" i="1"/>
  <c r="B46" i="82"/>
  <c r="M30"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6" i="1" l="1"/>
  <c r="K29" i="1"/>
  <c r="M29" i="1" s="1"/>
  <c r="K30" i="1"/>
  <c r="M30" i="1" s="1"/>
  <c r="G15" i="73"/>
  <c r="F15" i="73"/>
  <c r="E15" i="73"/>
  <c r="G16" i="73"/>
  <c r="F16" i="73"/>
  <c r="E16" i="73"/>
  <c r="M31" i="1" l="1"/>
  <c r="L31" i="1" s="1"/>
  <c r="AB32" i="79"/>
  <c r="AA32" i="79"/>
  <c r="Z32" i="79"/>
  <c r="N32" i="79"/>
  <c r="M32" i="79"/>
  <c r="P32" i="79" s="1"/>
  <c r="L32" i="79"/>
  <c r="I32" i="79"/>
  <c r="AC7" i="79"/>
  <c r="AB7" i="79"/>
  <c r="AA7" i="79"/>
  <c r="AD7" i="79" s="1"/>
  <c r="Z7" i="79"/>
  <c r="Y7" i="79"/>
  <c r="O7" i="79"/>
  <c r="N7" i="79"/>
  <c r="M7" i="79"/>
  <c r="P7" i="79" s="1"/>
  <c r="L7" i="79"/>
  <c r="K7" i="79"/>
  <c r="I7" i="79"/>
  <c r="L25" i="1" l="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S17" i="79"/>
  <c r="T34" i="79"/>
  <c r="W34" i="79" s="1"/>
  <c r="Z3" i="79"/>
  <c r="N28" i="79"/>
  <c r="U40" i="79"/>
  <c r="AD41" i="79"/>
  <c r="S42" i="79"/>
  <c r="U44" i="79"/>
  <c r="AD45" i="79"/>
  <c r="T19" i="79"/>
  <c r="W19" i="79" s="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O37" i="71"/>
  <c r="N37" i="71"/>
  <c r="B38" i="71" s="1"/>
  <c r="D37" i="71"/>
  <c r="Q36" i="71"/>
  <c r="P36" i="71"/>
  <c r="AA35" i="71" s="1"/>
  <c r="O36" i="71"/>
  <c r="N36" i="71"/>
  <c r="Q35" i="71"/>
  <c r="AB35" i="71"/>
  <c r="P35" i="71"/>
  <c r="O35" i="71"/>
  <c r="N35" i="71"/>
  <c r="Q34" i="71"/>
  <c r="AB34" i="71" s="1"/>
  <c r="P34" i="71"/>
  <c r="O34" i="71"/>
  <c r="N34" i="71"/>
  <c r="Q33" i="71"/>
  <c r="F34"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28" i="71" s="1"/>
  <c r="B27" i="71" s="1"/>
  <c r="B26" i="71" s="1"/>
  <c r="B30" i="71"/>
  <c r="B31" i="71" s="1"/>
  <c r="B32" i="71" s="1"/>
  <c r="S32" i="71" s="1"/>
  <c r="E30" i="71"/>
  <c r="E31" i="71" s="1"/>
  <c r="E32" i="71" s="1"/>
  <c r="U32" i="71" s="1"/>
  <c r="E34" i="71"/>
  <c r="C34" i="71"/>
  <c r="D34" i="71" s="1"/>
  <c r="P28" i="71"/>
  <c r="E28" i="71" s="1"/>
  <c r="U68" i="71"/>
  <c r="E67" i="71"/>
  <c r="E66" i="71" s="1"/>
  <c r="Q28" i="71"/>
  <c r="F28" i="71" s="1"/>
  <c r="C63" i="71"/>
  <c r="C64" i="71" s="1"/>
  <c r="D62" i="71"/>
  <c r="T68" i="71"/>
  <c r="D68" i="71"/>
  <c r="C67" i="71"/>
  <c r="D67" i="71" s="1"/>
  <c r="D72" i="71"/>
  <c r="E79" i="71"/>
  <c r="E78" i="71"/>
  <c r="C87" i="71"/>
  <c r="C86" i="71" s="1"/>
  <c r="D86" i="71" s="1"/>
  <c r="F27" i="71"/>
  <c r="F26" i="71" s="1"/>
  <c r="D63" i="71"/>
  <c r="D87" i="71"/>
  <c r="D59"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J29" i="39"/>
  <c r="AC29" i="39" s="1"/>
  <c r="J18" i="36"/>
  <c r="AC18" i="36" s="1"/>
  <c r="H18" i="35"/>
  <c r="AB18" i="35" s="1"/>
  <c r="J18" i="35"/>
  <c r="H21" i="37"/>
  <c r="AB21" i="37" s="1"/>
  <c r="F21" i="37"/>
  <c r="AA21" i="37" s="1"/>
  <c r="H21" i="34"/>
  <c r="AB21" i="34" s="1"/>
  <c r="H21" i="33"/>
  <c r="U21" i="33" s="1"/>
  <c r="F21" i="33"/>
  <c r="AA21" i="33" s="1"/>
  <c r="E83" i="21"/>
  <c r="F83" i="21" s="1"/>
  <c r="G83" i="21" s="1"/>
  <c r="H1" i="69"/>
  <c r="AC25" i="40"/>
  <c r="W25" i="40"/>
  <c r="W18" i="36"/>
  <c r="U21" i="37"/>
  <c r="U21" i="34"/>
  <c r="J21" i="37"/>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A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AB26" i="37"/>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11" i="36" s="1"/>
  <c r="AA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F13" i="35" s="1"/>
  <c r="B59" i="35"/>
  <c r="F12" i="35" s="1"/>
  <c r="B131" i="34"/>
  <c r="H47" i="34" s="1"/>
  <c r="B129" i="34"/>
  <c r="B127" i="34"/>
  <c r="H45" i="34" s="1"/>
  <c r="U45" i="34" s="1"/>
  <c r="B99" i="34"/>
  <c r="B97" i="34"/>
  <c r="J31" i="34" s="1"/>
  <c r="AC31" i="34" s="1"/>
  <c r="B95" i="34"/>
  <c r="B93" i="34"/>
  <c r="J29" i="34" s="1"/>
  <c r="B75" i="34"/>
  <c r="B73" i="34"/>
  <c r="H13" i="34" s="1"/>
  <c r="U13" i="34" s="1"/>
  <c r="B71" i="34"/>
  <c r="J12" i="34" s="1"/>
  <c r="W12" i="34" s="1"/>
  <c r="B130" i="33"/>
  <c r="B128" i="33"/>
  <c r="B126" i="33"/>
  <c r="H44" i="33" s="1"/>
  <c r="AB44" i="33" s="1"/>
  <c r="B98" i="33"/>
  <c r="B96" i="33"/>
  <c r="H30" i="33" s="1"/>
  <c r="U30" i="33" s="1"/>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H31" i="21" s="1"/>
  <c r="B96" i="21"/>
  <c r="H30" i="21" s="1"/>
  <c r="AB30" i="21" s="1"/>
  <c r="B94" i="21"/>
  <c r="J29" i="21"/>
  <c r="AC29" i="21" s="1"/>
  <c r="B92" i="21"/>
  <c r="B90" i="21"/>
  <c r="J27" i="21"/>
  <c r="W27" i="21" s="1"/>
  <c r="B74" i="21"/>
  <c r="J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s="1"/>
  <c r="AB41" i="21"/>
  <c r="AA41" i="21"/>
  <c r="F45" i="39"/>
  <c r="S45" i="39" s="1"/>
  <c r="J45" i="39"/>
  <c r="W45" i="39" s="1"/>
  <c r="F36" i="39"/>
  <c r="S36" i="39" s="1"/>
  <c r="H36" i="39"/>
  <c r="AB36" i="39"/>
  <c r="F35" i="39"/>
  <c r="AA35" i="39" s="1"/>
  <c r="J36" i="39"/>
  <c r="AC36" i="39" s="1"/>
  <c r="U9" i="39"/>
  <c r="W25" i="37"/>
  <c r="U30" i="37"/>
  <c r="W31" i="37"/>
  <c r="F39" i="37"/>
  <c r="S39" i="37" s="1"/>
  <c r="F29" i="36"/>
  <c r="AA29" i="36" s="1"/>
  <c r="F16" i="36"/>
  <c r="AA16" i="36" s="1"/>
  <c r="W28" i="36"/>
  <c r="U31" i="36"/>
  <c r="J33" i="36"/>
  <c r="AC33" i="36" s="1"/>
  <c r="H22" i="35"/>
  <c r="AB22" i="35" s="1"/>
  <c r="W28" i="35"/>
  <c r="U31" i="35"/>
  <c r="W22" i="35"/>
  <c r="U34" i="35"/>
  <c r="F36" i="34"/>
  <c r="J35" i="34"/>
  <c r="W9" i="34"/>
  <c r="U34" i="34"/>
  <c r="H39" i="33"/>
  <c r="AB39" i="33" s="1"/>
  <c r="F26" i="33"/>
  <c r="AA26" i="33" s="1"/>
  <c r="U33" i="33"/>
  <c r="U35" i="33"/>
  <c r="W33" i="33"/>
  <c r="W39" i="33"/>
  <c r="H39" i="37"/>
  <c r="AB39" i="37" s="1"/>
  <c r="S27" i="35"/>
  <c r="F11" i="40"/>
  <c r="AA11" i="40" s="1"/>
  <c r="H11" i="40"/>
  <c r="AB11" i="40" s="1"/>
  <c r="W8" i="40"/>
  <c r="U9" i="40"/>
  <c r="U34" i="40"/>
  <c r="F42" i="39"/>
  <c r="AA42" i="39" s="1"/>
  <c r="F41" i="39"/>
  <c r="S41" i="39" s="1"/>
  <c r="H40" i="39"/>
  <c r="AB40" i="39" s="1"/>
  <c r="H39" i="39"/>
  <c r="U39" i="39" s="1"/>
  <c r="S38" i="39"/>
  <c r="E108" i="39"/>
  <c r="F108" i="39" s="1"/>
  <c r="G108" i="39" s="1"/>
  <c r="H108" i="39" s="1"/>
  <c r="I108" i="39" s="1"/>
  <c r="J108" i="39" s="1"/>
  <c r="K108" i="39" s="1"/>
  <c r="L108" i="39" s="1"/>
  <c r="M108" i="39" s="1"/>
  <c r="F31" i="39"/>
  <c r="AA31" i="39" s="1"/>
  <c r="E100" i="39"/>
  <c r="F100" i="39" s="1"/>
  <c r="H19" i="39"/>
  <c r="AB19" i="39" s="1"/>
  <c r="F19" i="39"/>
  <c r="AA19" i="39" s="1"/>
  <c r="J23" i="40"/>
  <c r="AC23" i="40" s="1"/>
  <c r="F21" i="40"/>
  <c r="AA21" i="40" s="1"/>
  <c r="J21" i="40"/>
  <c r="W21" i="40" s="1"/>
  <c r="H42" i="39"/>
  <c r="AB42" i="39" s="1"/>
  <c r="J31" i="39"/>
  <c r="H27" i="39"/>
  <c r="U27" i="39" s="1"/>
  <c r="J19" i="39"/>
  <c r="AC19" i="39" s="1"/>
  <c r="J27" i="39"/>
  <c r="AC27" i="39" s="1"/>
  <c r="F27" i="39"/>
  <c r="S27" i="39" s="1"/>
  <c r="F11" i="21"/>
  <c r="S11" i="21" s="1"/>
  <c r="S40" i="21"/>
  <c r="C25"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C12" i="34"/>
  <c r="AB12" i="35"/>
  <c r="W32" i="40"/>
  <c r="F37" i="39"/>
  <c r="AA37" i="39" s="1"/>
  <c r="U30" i="36"/>
  <c r="J30" i="35"/>
  <c r="W30" i="35" s="1"/>
  <c r="H30" i="35"/>
  <c r="AB30" i="35" s="1"/>
  <c r="F22" i="35"/>
  <c r="AA22" i="35"/>
  <c r="H10" i="35"/>
  <c r="U10" i="35" s="1"/>
  <c r="F33" i="36"/>
  <c r="AA33" i="36" s="1"/>
  <c r="H16" i="36"/>
  <c r="AB16" i="36" s="1"/>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s="1"/>
  <c r="F16" i="35"/>
  <c r="S16" i="35" s="1"/>
  <c r="H14" i="35"/>
  <c r="AB14" i="35" s="1"/>
  <c r="J29" i="35"/>
  <c r="H33" i="35"/>
  <c r="J20" i="35"/>
  <c r="W20" i="35" s="1"/>
  <c r="F35" i="37"/>
  <c r="S35"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s="1"/>
  <c r="H28" i="40"/>
  <c r="U28" i="40"/>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c r="F23" i="34"/>
  <c r="AA23" i="34"/>
  <c r="J19" i="34"/>
  <c r="AC19" i="34" s="1"/>
  <c r="F17" i="34"/>
  <c r="AA17" i="34"/>
  <c r="J17" i="34"/>
  <c r="W17" i="34" s="1"/>
  <c r="S41" i="33"/>
  <c r="H37" i="33"/>
  <c r="AB37" i="33"/>
  <c r="H15" i="33"/>
  <c r="AB15" i="33" s="1"/>
  <c r="H11" i="33"/>
  <c r="AB11" i="33" s="1"/>
  <c r="F28" i="40"/>
  <c r="AA28" i="40"/>
  <c r="AA42" i="34"/>
  <c r="S42" i="34"/>
  <c r="AC38" i="34"/>
  <c r="J37" i="34"/>
  <c r="AC37" i="34" s="1"/>
  <c r="J11" i="33"/>
  <c r="W11" i="33" s="1"/>
  <c r="S28" i="34"/>
  <c r="J42" i="21"/>
  <c r="AC42" i="21"/>
  <c r="H42" i="21"/>
  <c r="U42" i="21" s="1"/>
  <c r="J44" i="34"/>
  <c r="F44" i="34"/>
  <c r="S44" i="34" s="1"/>
  <c r="AA44" i="34"/>
  <c r="J10" i="35"/>
  <c r="AC10" i="35" s="1"/>
  <c r="W14" i="21"/>
  <c r="F14" i="21"/>
  <c r="S14" i="21" s="1"/>
  <c r="H14" i="21"/>
  <c r="U14" i="21" s="1"/>
  <c r="H28" i="21"/>
  <c r="AB28" i="21" s="1"/>
  <c r="F28" i="21"/>
  <c r="AA28" i="21" s="1"/>
  <c r="J28" i="21"/>
  <c r="W28" i="21" s="1"/>
  <c r="U30" i="2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U30" i="34" s="1"/>
  <c r="F30" i="34"/>
  <c r="S30" i="34"/>
  <c r="J30" i="34"/>
  <c r="H32" i="34"/>
  <c r="U32" i="34" s="1"/>
  <c r="F32" i="34"/>
  <c r="J32" i="34"/>
  <c r="W32" i="34" s="1"/>
  <c r="H46" i="34"/>
  <c r="AB46" i="34" s="1"/>
  <c r="U46" i="34"/>
  <c r="F46" i="34"/>
  <c r="J46" i="34"/>
  <c r="H11" i="35"/>
  <c r="AB11" i="35" s="1"/>
  <c r="J11" i="35"/>
  <c r="W11" i="35" s="1"/>
  <c r="F11" i="35"/>
  <c r="S11" i="35" s="1"/>
  <c r="J26" i="36"/>
  <c r="AC26" i="36" s="1"/>
  <c r="W26" i="36"/>
  <c r="H28" i="36"/>
  <c r="U28" i="36" s="1"/>
  <c r="H32" i="36"/>
  <c r="AB32" i="36" s="1"/>
  <c r="J32" i="36"/>
  <c r="W32" i="36" s="1"/>
  <c r="J11" i="36"/>
  <c r="AC11"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AB37" i="37" s="1"/>
  <c r="H40" i="37"/>
  <c r="U40" i="37" s="1"/>
  <c r="J40" i="37"/>
  <c r="AC40" i="37"/>
  <c r="F40" i="37"/>
  <c r="AA40" i="37" s="1"/>
  <c r="AC12" i="40"/>
  <c r="H14" i="33"/>
  <c r="U14" i="33" s="1"/>
  <c r="F14" i="33"/>
  <c r="S14" i="33" s="1"/>
  <c r="J14" i="33"/>
  <c r="AB30" i="33"/>
  <c r="F30" i="33"/>
  <c r="J30" i="33"/>
  <c r="J44" i="33"/>
  <c r="AC44" i="33" s="1"/>
  <c r="F44" i="33"/>
  <c r="S44" i="33" s="1"/>
  <c r="J46" i="33"/>
  <c r="AC46" i="33" s="1"/>
  <c r="F46" i="33"/>
  <c r="AA46" i="33" s="1"/>
  <c r="H46" i="33"/>
  <c r="AB46" i="33"/>
  <c r="J13" i="34"/>
  <c r="W13" i="34" s="1"/>
  <c r="F13" i="34"/>
  <c r="AA13" i="34" s="1"/>
  <c r="F29" i="34"/>
  <c r="S29" i="34"/>
  <c r="H29" i="34"/>
  <c r="AB29" i="34" s="1"/>
  <c r="H31" i="34"/>
  <c r="F31" i="34"/>
  <c r="S31" i="34"/>
  <c r="J45" i="34"/>
  <c r="W45" i="34" s="1"/>
  <c r="F45" i="34"/>
  <c r="S45" i="34" s="1"/>
  <c r="U47" i="34"/>
  <c r="F47" i="34"/>
  <c r="S47" i="34" s="1"/>
  <c r="J47" i="34"/>
  <c r="AC47" i="34" s="1"/>
  <c r="J13" i="35"/>
  <c r="W13" i="35" s="1"/>
  <c r="AC13" i="35"/>
  <c r="H13" i="35"/>
  <c r="U13" i="35" s="1"/>
  <c r="J25" i="35"/>
  <c r="W25" i="35"/>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AA38" i="37" s="1"/>
  <c r="F43" i="39"/>
  <c r="AA43" i="39" s="1"/>
  <c r="H43" i="39"/>
  <c r="J14" i="39"/>
  <c r="AC14" i="39" s="1"/>
  <c r="F14" i="39"/>
  <c r="AA14" i="39" s="1"/>
  <c r="H14" i="39"/>
  <c r="AB14" i="39"/>
  <c r="F12" i="40"/>
  <c r="AA12" i="40" s="1"/>
  <c r="H12" i="40"/>
  <c r="AB12" i="40"/>
  <c r="H30" i="40"/>
  <c r="U30" i="40" s="1"/>
  <c r="F33" i="40"/>
  <c r="AA33" i="40"/>
  <c r="H33" i="40"/>
  <c r="U33" i="40" s="1"/>
  <c r="J35" i="40"/>
  <c r="AC35" i="40" s="1"/>
  <c r="J37" i="40"/>
  <c r="W37" i="40" s="1"/>
  <c r="H13" i="40"/>
  <c r="U13" i="40" s="1"/>
  <c r="J13" i="40"/>
  <c r="W13" i="40" s="1"/>
  <c r="F13" i="40"/>
  <c r="AA13" i="40" s="1"/>
  <c r="F14" i="37"/>
  <c r="AA14" i="37" s="1"/>
  <c r="F27" i="37"/>
  <c r="AA27" i="37" s="1"/>
  <c r="F13" i="39"/>
  <c r="AA13" i="39" s="1"/>
  <c r="J13" i="39"/>
  <c r="W13" i="39" s="1"/>
  <c r="H13" i="39"/>
  <c r="AB13" i="39" s="1"/>
  <c r="H14" i="40"/>
  <c r="AB14" i="40"/>
  <c r="J14" i="40"/>
  <c r="W14" i="40" s="1"/>
  <c r="F14" i="40"/>
  <c r="AA14" i="40" s="1"/>
  <c r="J14" i="37"/>
  <c r="J27" i="37"/>
  <c r="AC27" i="37" s="1"/>
  <c r="AA44" i="33"/>
  <c r="U46" i="33"/>
  <c r="J36" i="37"/>
  <c r="AC36" i="37" s="1"/>
  <c r="J10" i="36"/>
  <c r="AC10" i="36" s="1"/>
  <c r="AB26" i="33"/>
  <c r="W31" i="34"/>
  <c r="S11" i="36"/>
  <c r="AA14"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BA556" i="3"/>
  <c r="AZ556" i="3" s="1"/>
  <c r="BA554" i="3"/>
  <c r="BA552" i="3"/>
  <c r="AZ552" i="3" s="1"/>
  <c r="BA548" i="3"/>
  <c r="BA546" i="3"/>
  <c r="AZ546" i="3" s="1"/>
  <c r="BA544" i="3"/>
  <c r="BA542" i="3"/>
  <c r="AZ542" i="3" s="1"/>
  <c r="BA540" i="3"/>
  <c r="BA538" i="3"/>
  <c r="AZ538" i="3" s="1"/>
  <c r="BA536" i="3"/>
  <c r="BA534" i="3"/>
  <c r="AZ534" i="3" s="1"/>
  <c r="BA532" i="3"/>
  <c r="BA530" i="3"/>
  <c r="BA528" i="3"/>
  <c r="AZ528" i="3" s="1"/>
  <c r="BA526" i="3"/>
  <c r="AZ526" i="3" s="1"/>
  <c r="BA524" i="3"/>
  <c r="BA522" i="3"/>
  <c r="BA520" i="3"/>
  <c r="AZ520" i="3" s="1"/>
  <c r="BA518" i="3"/>
  <c r="BA516" i="3"/>
  <c r="BA514" i="3"/>
  <c r="BA512" i="3"/>
  <c r="AZ512" i="3" s="1"/>
  <c r="BA510" i="3"/>
  <c r="AZ510" i="3" s="1"/>
  <c r="BA508" i="3"/>
  <c r="BA506" i="3"/>
  <c r="BA504" i="3"/>
  <c r="AZ504" i="3" s="1"/>
  <c r="BA502" i="3"/>
  <c r="BA500" i="3"/>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AZ569" i="3" s="1"/>
  <c r="BQ567" i="3"/>
  <c r="BL567" i="3" s="1"/>
  <c r="BQ565" i="3"/>
  <c r="BL565" i="3" s="1"/>
  <c r="BQ563" i="3"/>
  <c r="BL563" i="3" s="1"/>
  <c r="AZ563" i="3" s="1"/>
  <c r="BQ561" i="3"/>
  <c r="BL561" i="3" s="1"/>
  <c r="BQ559" i="3"/>
  <c r="BL559" i="3" s="1"/>
  <c r="AZ559" i="3"/>
  <c r="G559" i="3"/>
  <c r="G555" i="3"/>
  <c r="G553" i="3"/>
  <c r="G549" i="3"/>
  <c r="G547" i="3"/>
  <c r="G545" i="3"/>
  <c r="G543" i="3"/>
  <c r="G541" i="3"/>
  <c r="G539" i="3"/>
  <c r="G537" i="3"/>
  <c r="BQ555" i="3"/>
  <c r="BL555" i="3"/>
  <c r="BQ553" i="3"/>
  <c r="BL553" i="3" s="1"/>
  <c r="BQ551" i="3"/>
  <c r="BL551" i="3"/>
  <c r="BQ549" i="3"/>
  <c r="BL549" i="3" s="1"/>
  <c r="AZ549" i="3" s="1"/>
  <c r="BQ547" i="3"/>
  <c r="BL547" i="3" s="1"/>
  <c r="BQ545" i="3"/>
  <c r="BL545" i="3"/>
  <c r="BQ543" i="3"/>
  <c r="BL543" i="3" s="1"/>
  <c r="AZ543" i="3" s="1"/>
  <c r="BQ541" i="3"/>
  <c r="BL541" i="3" s="1"/>
  <c r="AZ541" i="3" s="1"/>
  <c r="BQ539" i="3"/>
  <c r="BL539" i="3" s="1"/>
  <c r="BQ537" i="3"/>
  <c r="BL537" i="3" s="1"/>
  <c r="BQ535" i="3"/>
  <c r="BL535" i="3" s="1"/>
  <c r="BQ533" i="3"/>
  <c r="BL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AZ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S36" i="37" s="1"/>
  <c r="F37" i="37"/>
  <c r="AA37" i="37" s="1"/>
  <c r="F31" i="40"/>
  <c r="AA31" i="40" s="1"/>
  <c r="H31" i="40"/>
  <c r="U31" i="40" s="1"/>
  <c r="F32" i="40"/>
  <c r="AA32" i="40" s="1"/>
  <c r="H32" i="40"/>
  <c r="AB32" i="40" s="1"/>
  <c r="J36" i="40"/>
  <c r="W36" i="40" s="1"/>
  <c r="H19" i="37"/>
  <c r="AB19" i="37" s="1"/>
  <c r="H42" i="33"/>
  <c r="AB42" i="33" s="1"/>
  <c r="J43" i="33"/>
  <c r="AC43" i="33" s="1"/>
  <c r="S28" i="31"/>
  <c r="S27" i="31"/>
  <c r="S26" i="31"/>
  <c r="U14" i="40"/>
  <c r="U39" i="37"/>
  <c r="U26" i="37"/>
  <c r="AA13" i="33"/>
  <c r="AC31" i="33"/>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F11" i="39"/>
  <c r="S11" i="39" s="1"/>
  <c r="G4" i="4"/>
  <c r="I4" i="4"/>
  <c r="A2" i="9"/>
  <c r="F61" i="43"/>
  <c r="H64" i="43" s="1"/>
  <c r="AZ514" i="3"/>
  <c r="AZ522" i="3"/>
  <c r="AZ530"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AZ188" i="3" s="1"/>
  <c r="G189" i="3"/>
  <c r="BA191" i="3"/>
  <c r="BL192" i="3"/>
  <c r="AZ192" i="3" s="1"/>
  <c r="G193" i="3"/>
  <c r="BA195" i="3"/>
  <c r="AZ195" i="3" s="1"/>
  <c r="BL196" i="3"/>
  <c r="G197" i="3"/>
  <c r="BA199" i="3"/>
  <c r="AZ199" i="3" s="1"/>
  <c r="BL200" i="3"/>
  <c r="AZ200" i="3" s="1"/>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AZ315" i="3" s="1"/>
  <c r="G316" i="3"/>
  <c r="BA318" i="3"/>
  <c r="AZ318" i="3" s="1"/>
  <c r="BL319" i="3"/>
  <c r="AZ319" i="3" s="1"/>
  <c r="G320" i="3"/>
  <c r="BA322" i="3"/>
  <c r="BL323" i="3"/>
  <c r="G324" i="3"/>
  <c r="BA326" i="3"/>
  <c r="BL327" i="3"/>
  <c r="AZ327" i="3"/>
  <c r="G328" i="3"/>
  <c r="BA330" i="3"/>
  <c r="BL331" i="3"/>
  <c r="AZ331" i="3" s="1"/>
  <c r="G332" i="3"/>
  <c r="BA334" i="3"/>
  <c r="BL335" i="3"/>
  <c r="G336" i="3"/>
  <c r="BA338" i="3"/>
  <c r="AZ338" i="3" s="1"/>
  <c r="BL339" i="3"/>
  <c r="G340" i="3"/>
  <c r="BL343" i="3"/>
  <c r="G344" i="3"/>
  <c r="G348" i="3"/>
  <c r="G355" i="3"/>
  <c r="AZ222"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37" i="3"/>
  <c r="BA379" i="3"/>
  <c r="BL380" i="3"/>
  <c r="G381" i="3"/>
  <c r="BA383" i="3"/>
  <c r="BL384" i="3"/>
  <c r="G385" i="3"/>
  <c r="BA387" i="3"/>
  <c r="AZ387" i="3" s="1"/>
  <c r="BL388" i="3"/>
  <c r="G389" i="3"/>
  <c r="BA391" i="3"/>
  <c r="BL392" i="3"/>
  <c r="G393" i="3"/>
  <c r="BM5" i="3"/>
  <c r="BJ5" i="3"/>
  <c r="BH5" i="3"/>
  <c r="BF5" i="3"/>
  <c r="BD5" i="3"/>
  <c r="AZ325" i="3"/>
  <c r="AZ506" i="3"/>
  <c r="AZ496" i="3"/>
  <c r="G548" i="3"/>
  <c r="G538" i="3"/>
  <c r="G520" i="3"/>
  <c r="G502" i="3"/>
  <c r="BS5" i="3"/>
  <c r="BP5" i="3"/>
  <c r="BN5" i="3"/>
  <c r="BK5" i="3"/>
  <c r="BI5" i="3"/>
  <c r="BG5" i="3"/>
  <c r="BE5" i="3"/>
  <c r="BC5" i="3"/>
  <c r="G17" i="3"/>
  <c r="BA17" i="3"/>
  <c r="BT5" i="3"/>
  <c r="BA15" i="3"/>
  <c r="BB5" i="3"/>
  <c r="BR5" i="3"/>
  <c r="G509" i="3"/>
  <c r="BL493" i="3"/>
  <c r="U36" i="40"/>
  <c r="F83" i="43"/>
  <c r="H85" i="43" s="1"/>
  <c r="F50" i="43"/>
  <c r="H54" i="43" s="1"/>
  <c r="F72" i="43"/>
  <c r="H75" i="43" s="1"/>
  <c r="S14" i="35"/>
  <c r="U43" i="21"/>
  <c r="U35" i="21"/>
  <c r="AC35" i="21"/>
  <c r="G8" i="1"/>
  <c r="G10" i="1"/>
  <c r="W37" i="37"/>
  <c r="W44" i="34"/>
  <c r="AC44" i="34"/>
  <c r="S15" i="37"/>
  <c r="U13" i="37"/>
  <c r="U12" i="40"/>
  <c r="J37" i="33"/>
  <c r="AC37" i="33" s="1"/>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AB20" i="35" s="1"/>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H27" i="36"/>
  <c r="U27" i="36" s="1"/>
  <c r="F27" i="36"/>
  <c r="AA27" i="36" s="1"/>
  <c r="H33" i="34"/>
  <c r="U33" i="34" s="1"/>
  <c r="F32" i="37"/>
  <c r="S32" i="37" s="1"/>
  <c r="F20" i="36"/>
  <c r="AA20" i="36" s="1"/>
  <c r="J33" i="34"/>
  <c r="AC33" i="34" s="1"/>
  <c r="D48" i="9"/>
  <c r="M52" i="9" s="1"/>
  <c r="K9" i="1"/>
  <c r="M9" i="1" s="1"/>
  <c r="D93" i="9"/>
  <c r="K6" i="1"/>
  <c r="AP6" i="1" s="1"/>
  <c r="AC26" i="33"/>
  <c r="W26" i="33"/>
  <c r="W27" i="34"/>
  <c r="AC27" i="34"/>
  <c r="AB33" i="36"/>
  <c r="U33" i="36"/>
  <c r="AC12" i="39"/>
  <c r="W12" i="39"/>
  <c r="AC39" i="40"/>
  <c r="W39" i="40"/>
  <c r="AA32" i="36"/>
  <c r="S32" i="36"/>
  <c r="BL14" i="3"/>
  <c r="AC13" i="34"/>
  <c r="AA47" i="34"/>
  <c r="W28" i="37"/>
  <c r="F12" i="33"/>
  <c r="H12" i="39"/>
  <c r="AB12" i="39" s="1"/>
  <c r="F39" i="40"/>
  <c r="BA14" i="3"/>
  <c r="AZ14" i="3" s="1"/>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G94" i="39"/>
  <c r="H21" i="39"/>
  <c r="AB21" i="39" s="1"/>
  <c r="S15" i="39"/>
  <c r="AA12" i="39"/>
  <c r="S9" i="39"/>
  <c r="U14" i="39"/>
  <c r="S23" i="36"/>
  <c r="U13" i="36"/>
  <c r="U26" i="36"/>
  <c r="S33" i="36"/>
  <c r="AA26" i="36"/>
  <c r="AA34" i="36"/>
  <c r="W14" i="36"/>
  <c r="AB14" i="36"/>
  <c r="U22" i="36"/>
  <c r="S16" i="36"/>
  <c r="AA25" i="36"/>
  <c r="S24" i="36"/>
  <c r="U24" i="36"/>
  <c r="U23" i="36"/>
  <c r="AB20" i="36"/>
  <c r="U16" i="36"/>
  <c r="S14" i="36"/>
  <c r="W24" i="35"/>
  <c r="AB13" i="35"/>
  <c r="U29" i="35"/>
  <c r="U28" i="35"/>
  <c r="AB27"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AB31" i="37"/>
  <c r="W30" i="37"/>
  <c r="U32" i="37"/>
  <c r="W38" i="37"/>
  <c r="AC35" i="37"/>
  <c r="W39" i="37"/>
  <c r="S30" i="37"/>
  <c r="S37" i="37"/>
  <c r="AC15" i="37"/>
  <c r="J17" i="37"/>
  <c r="W17" i="37" s="1"/>
  <c r="G73" i="37"/>
  <c r="F17" i="37"/>
  <c r="AA17" i="37" s="1"/>
  <c r="AB17" i="37"/>
  <c r="F75" i="37"/>
  <c r="G75" i="37" s="1"/>
  <c r="F19" i="37"/>
  <c r="S19" i="37" s="1"/>
  <c r="F79" i="37"/>
  <c r="F23" i="37"/>
  <c r="S23" i="37" s="1"/>
  <c r="U23" i="37"/>
  <c r="U15" i="37"/>
  <c r="AA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AB25" i="33" s="1"/>
  <c r="F25" i="33"/>
  <c r="J23" i="33"/>
  <c r="AC23" i="33" s="1"/>
  <c r="F85" i="33"/>
  <c r="G85" i="33" s="1"/>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AC14" i="40"/>
  <c r="S13" i="40"/>
  <c r="S33" i="40"/>
  <c r="AA15" i="40"/>
  <c r="U11" i="40"/>
  <c r="S31" i="40"/>
  <c r="AB13" i="40"/>
  <c r="U15" i="40"/>
  <c r="AB17" i="40"/>
  <c r="U8" i="40"/>
  <c r="S8" i="40"/>
  <c r="S14" i="39"/>
  <c r="U43" i="39"/>
  <c r="AB43" i="39"/>
  <c r="AA27" i="39"/>
  <c r="W31" i="39"/>
  <c r="AC31" i="39"/>
  <c r="AA45" i="39"/>
  <c r="AB39" i="39"/>
  <c r="S8" i="39"/>
  <c r="AC25" i="36"/>
  <c r="U32" i="36"/>
  <c r="W29" i="36"/>
  <c r="U25" i="36"/>
  <c r="AB28" i="36"/>
  <c r="AA13" i="36"/>
  <c r="W9" i="36"/>
  <c r="W22" i="36"/>
  <c r="AC25" i="35"/>
  <c r="U25" i="35"/>
  <c r="S24" i="35"/>
  <c r="U24" i="35"/>
  <c r="S35" i="35"/>
  <c r="W35" i="35"/>
  <c r="AA16" i="35"/>
  <c r="AA35" i="37"/>
  <c r="W36" i="37"/>
  <c r="S27" i="37"/>
  <c r="S28" i="37"/>
  <c r="W32" i="37"/>
  <c r="U36" i="37"/>
  <c r="S40" i="37"/>
  <c r="U38" i="37"/>
  <c r="AC34" i="37"/>
  <c r="AB35" i="37"/>
  <c r="AA31" i="37"/>
  <c r="U19" i="37"/>
  <c r="AA29" i="37"/>
  <c r="U8" i="37"/>
  <c r="AA40" i="34"/>
  <c r="AB40" i="34"/>
  <c r="U19" i="34"/>
  <c r="W19" i="34"/>
  <c r="AB33" i="34"/>
  <c r="AC45" i="34"/>
  <c r="AA31" i="34"/>
  <c r="AA30" i="34"/>
  <c r="AB45" i="34"/>
  <c r="AB47" i="34"/>
  <c r="U25" i="34"/>
  <c r="AB36" i="34"/>
  <c r="AC32" i="34"/>
  <c r="AC29" i="34"/>
  <c r="W29" i="34"/>
  <c r="W46" i="34"/>
  <c r="AC46" i="34"/>
  <c r="S32" i="34"/>
  <c r="AA32" i="34"/>
  <c r="AB30" i="34"/>
  <c r="S37" i="34"/>
  <c r="U38" i="34"/>
  <c r="AC40" i="34"/>
  <c r="W40" i="34"/>
  <c r="AA19" i="34"/>
  <c r="S19" i="34"/>
  <c r="AA36" i="34"/>
  <c r="S36" i="34"/>
  <c r="AA8" i="34"/>
  <c r="S8" i="34"/>
  <c r="AB9" i="34"/>
  <c r="U9" i="34"/>
  <c r="S46" i="34"/>
  <c r="AA46" i="34"/>
  <c r="AB32" i="34"/>
  <c r="U14" i="34"/>
  <c r="AB14" i="34"/>
  <c r="AC43" i="34"/>
  <c r="W43" i="34"/>
  <c r="W23" i="34"/>
  <c r="AC23" i="34"/>
  <c r="AC35" i="34"/>
  <c r="W35" i="34"/>
  <c r="U12" i="34"/>
  <c r="AB12" i="34"/>
  <c r="W46" i="33"/>
  <c r="U39" i="33"/>
  <c r="U38" i="33"/>
  <c r="S33" i="33"/>
  <c r="U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U15" i="21"/>
  <c r="J17" i="21"/>
  <c r="W17" i="21" s="1"/>
  <c r="AC17" i="21"/>
  <c r="AC19" i="21"/>
  <c r="W39" i="21"/>
  <c r="AC14" i="21"/>
  <c r="W30" i="21"/>
  <c r="S46" i="21"/>
  <c r="H45" i="21"/>
  <c r="U45" i="21" s="1"/>
  <c r="F29" i="21"/>
  <c r="AA29" i="21" s="1"/>
  <c r="F13" i="21"/>
  <c r="AA13" i="21" s="1"/>
  <c r="AC38" i="21"/>
  <c r="H32" i="21"/>
  <c r="AB32" i="21" s="1"/>
  <c r="H9" i="21"/>
  <c r="J9" i="21"/>
  <c r="AC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B56" i="43"/>
  <c r="B67" i="43"/>
  <c r="B51" i="43"/>
  <c r="B54" i="43"/>
  <c r="B58" i="43"/>
  <c r="B62" i="43"/>
  <c r="B65" i="43"/>
  <c r="B69" i="43"/>
  <c r="E4" i="4"/>
  <c r="B5" i="62" s="1"/>
  <c r="B73" i="72" s="1"/>
  <c r="C4" i="4"/>
  <c r="F30" i="11"/>
  <c r="C48" i="11" s="1"/>
  <c r="F28" i="67"/>
  <c r="M18" i="67"/>
  <c r="F32" i="67"/>
  <c r="F60" i="67" s="1"/>
  <c r="M18" i="15"/>
  <c r="F28" i="15"/>
  <c r="AA39" i="40"/>
  <c r="S39" i="40"/>
  <c r="S12" i="33"/>
  <c r="AA12" i="33"/>
  <c r="J32" i="39"/>
  <c r="AC32" i="39" s="1"/>
  <c r="H32" i="39"/>
  <c r="AB32" i="39" s="1"/>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S25" i="33"/>
  <c r="AA25" i="33"/>
  <c r="J25" i="33"/>
  <c r="W25" i="33" s="1"/>
  <c r="F23" i="33"/>
  <c r="AA19" i="33"/>
  <c r="H19" i="33"/>
  <c r="AB19" i="33" s="1"/>
  <c r="G81" i="33"/>
  <c r="H17" i="33"/>
  <c r="U17" i="33" s="1"/>
  <c r="F17" i="33"/>
  <c r="S17" i="33" s="1"/>
  <c r="AC17" i="33"/>
  <c r="AA23" i="21"/>
  <c r="J23" i="21"/>
  <c r="W23" i="21" s="1"/>
  <c r="H23" i="21"/>
  <c r="U23" i="21" s="1"/>
  <c r="D6" i="52"/>
  <c r="AP7" i="1"/>
  <c r="AB9" i="21"/>
  <c r="U9" i="21"/>
  <c r="W9" i="21"/>
  <c r="W23" i="37"/>
  <c r="AC23" i="37"/>
  <c r="J11" i="37"/>
  <c r="AC11" i="37" s="1"/>
  <c r="J11" i="34"/>
  <c r="W11" i="34" s="1"/>
  <c r="W27" i="33"/>
  <c r="AC27" i="33"/>
  <c r="U19" i="33"/>
  <c r="AA17"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L47" i="67"/>
  <c r="F26" i="67"/>
  <c r="E13" i="76"/>
  <c r="F8" i="15"/>
  <c r="E9" i="76"/>
  <c r="M29" i="15"/>
  <c r="F3" i="73"/>
  <c r="E2" i="68"/>
  <c r="F38" i="67"/>
  <c r="F9" i="15"/>
  <c r="F20" i="31"/>
  <c r="L48" i="67"/>
  <c r="M9" i="15"/>
  <c r="B11" i="76"/>
  <c r="M26" i="15"/>
  <c r="L48" i="15"/>
  <c r="M6" i="15"/>
  <c r="F7" i="67"/>
  <c r="E10" i="76"/>
  <c r="M8" i="15"/>
  <c r="B10" i="76"/>
  <c r="M29" i="67"/>
  <c r="J15" i="15"/>
  <c r="E11" i="76"/>
  <c r="C76" i="15"/>
  <c r="F36" i="15"/>
  <c r="F42" i="67"/>
  <c r="F40" i="15"/>
  <c r="L47" i="15"/>
  <c r="B12" i="76"/>
  <c r="M22" i="15"/>
  <c r="M24" i="15"/>
  <c r="M8" i="67"/>
  <c r="E2" i="69"/>
  <c r="M28" i="15"/>
  <c r="F42" i="15"/>
  <c r="M23" i="15"/>
  <c r="F16" i="67"/>
  <c r="F38" i="15"/>
  <c r="F6" i="73"/>
  <c r="B13" i="76"/>
  <c r="F37" i="15"/>
  <c r="F13" i="15"/>
  <c r="F6" i="15"/>
  <c r="E12" i="76"/>
  <c r="F5" i="73"/>
  <c r="F7" i="15"/>
  <c r="M23" i="67"/>
  <c r="B7" i="76"/>
  <c r="M26" i="67"/>
  <c r="B9" i="76"/>
  <c r="F43" i="67"/>
  <c r="F26" i="15"/>
  <c r="M6" i="67"/>
  <c r="F4" i="73"/>
  <c r="D6" i="73"/>
  <c r="E8" i="76"/>
  <c r="M24" i="67"/>
  <c r="E7" i="76"/>
  <c r="F7" i="73"/>
  <c r="F16" i="15"/>
  <c r="F9" i="67"/>
  <c r="F43" i="15"/>
  <c r="AO13" i="1"/>
  <c r="B8" i="76"/>
  <c r="D22" i="15" l="1"/>
  <c r="D23" i="15"/>
  <c r="U13" i="39"/>
  <c r="F34" i="39"/>
  <c r="AA34" i="39" s="1"/>
  <c r="H34" i="39"/>
  <c r="U34" i="39" s="1"/>
  <c r="J34" i="39"/>
  <c r="AC34" i="39" s="1"/>
  <c r="U42" i="39"/>
  <c r="D52" i="43"/>
  <c r="D54" i="43"/>
  <c r="F23" i="39"/>
  <c r="H23" i="39"/>
  <c r="U23" i="39" s="1"/>
  <c r="F17" i="39"/>
  <c r="J17" i="39"/>
  <c r="H17" i="39"/>
  <c r="J11" i="39"/>
  <c r="W11" i="39" s="1"/>
  <c r="H11" i="39"/>
  <c r="W8" i="39"/>
  <c r="AB8" i="39"/>
  <c r="S42" i="39"/>
  <c r="U40" i="39"/>
  <c r="AC41" i="39"/>
  <c r="U38" i="39"/>
  <c r="S31" i="39"/>
  <c r="W27" i="39"/>
  <c r="AC25" i="39"/>
  <c r="U25" i="39"/>
  <c r="W23" i="39"/>
  <c r="U21" i="39"/>
  <c r="S34" i="39"/>
  <c r="U32" i="39"/>
  <c r="S32" i="39"/>
  <c r="S13" i="39"/>
  <c r="U19" i="39"/>
  <c r="S19" i="39"/>
  <c r="W19" i="39"/>
  <c r="C40" i="68"/>
  <c r="AB23" i="21"/>
  <c r="AC25" i="33"/>
  <c r="W33" i="34"/>
  <c r="AA32" i="37"/>
  <c r="AZ379" i="3"/>
  <c r="AZ326" i="3"/>
  <c r="AZ311" i="3"/>
  <c r="AZ390" i="3"/>
  <c r="AZ371" i="3"/>
  <c r="AZ351" i="3"/>
  <c r="AZ304" i="3"/>
  <c r="AC12" i="37"/>
  <c r="AZ505" i="3"/>
  <c r="AZ515" i="3"/>
  <c r="AZ535" i="3"/>
  <c r="AZ561" i="3"/>
  <c r="AZ503" i="3"/>
  <c r="AZ500" i="3"/>
  <c r="AZ508" i="3"/>
  <c r="AZ524" i="3"/>
  <c r="AZ532" i="3"/>
  <c r="AZ544" i="3"/>
  <c r="AZ554" i="3"/>
  <c r="S12" i="40"/>
  <c r="S38" i="37"/>
  <c r="U37" i="37"/>
  <c r="S29" i="35"/>
  <c r="AA29" i="35"/>
  <c r="U12" i="36"/>
  <c r="AB12" i="36"/>
  <c r="H34" i="36"/>
  <c r="J34" i="36"/>
  <c r="W34" i="36" s="1"/>
  <c r="S9" i="40"/>
  <c r="AA9" i="40"/>
  <c r="AZ553" i="3"/>
  <c r="BA587" i="3"/>
  <c r="BL586" i="3"/>
  <c r="AZ586" i="3" s="1"/>
  <c r="BO5" i="3"/>
  <c r="J45" i="21"/>
  <c r="F45" i="21"/>
  <c r="AB40" i="33"/>
  <c r="U40" i="33"/>
  <c r="AC40" i="39"/>
  <c r="W40" i="39"/>
  <c r="H44" i="39"/>
  <c r="F44" i="39"/>
  <c r="J44" i="39"/>
  <c r="AC44" i="39" s="1"/>
  <c r="AA34" i="40"/>
  <c r="S34" i="40"/>
  <c r="AA40" i="33"/>
  <c r="S40" i="33"/>
  <c r="AC30" i="36"/>
  <c r="W30" i="36"/>
  <c r="G570" i="3"/>
  <c r="S13" i="21"/>
  <c r="AZ558" i="3"/>
  <c r="AZ540" i="3"/>
  <c r="AA35" i="34"/>
  <c r="S35" i="34"/>
  <c r="J23" i="35"/>
  <c r="F23" i="35"/>
  <c r="AZ372" i="3"/>
  <c r="AZ344" i="3"/>
  <c r="AZ310" i="3"/>
  <c r="AZ305" i="3"/>
  <c r="AZ380" i="3"/>
  <c r="AZ341" i="3"/>
  <c r="AZ497" i="3"/>
  <c r="AC5" i="3"/>
  <c r="AZ533" i="3"/>
  <c r="AZ493" i="3"/>
  <c r="AZ537" i="3"/>
  <c r="AZ565" i="3"/>
  <c r="AZ498" i="3"/>
  <c r="AZ536" i="3"/>
  <c r="AA14" i="33"/>
  <c r="AC28" i="34"/>
  <c r="W28" i="34"/>
  <c r="U34" i="21"/>
  <c r="AB34" i="21"/>
  <c r="H36" i="35"/>
  <c r="J36" i="35"/>
  <c r="AC36" i="35" s="1"/>
  <c r="W27" i="35"/>
  <c r="AC27" i="35"/>
  <c r="S38" i="34"/>
  <c r="AA38" i="34"/>
  <c r="AA31" i="35"/>
  <c r="S31" i="35"/>
  <c r="G556" i="3"/>
  <c r="G14" i="3"/>
  <c r="BL16" i="3"/>
  <c r="AZ16" i="3" s="1"/>
  <c r="BA402" i="3"/>
  <c r="BA410" i="3"/>
  <c r="BL412" i="3"/>
  <c r="G413" i="3"/>
  <c r="BL416" i="3"/>
  <c r="G417" i="3"/>
  <c r="BL417" i="3"/>
  <c r="BL418" i="3"/>
  <c r="BL420" i="3"/>
  <c r="A15" i="62"/>
  <c r="B61" i="72" s="1"/>
  <c r="BL402" i="3"/>
  <c r="BL419" i="3"/>
  <c r="AB17" i="34"/>
  <c r="G586" i="3"/>
  <c r="G552" i="3"/>
  <c r="F6" i="1"/>
  <c r="BL400" i="3"/>
  <c r="G403" i="3"/>
  <c r="BL408" i="3"/>
  <c r="BL411" i="3"/>
  <c r="BA413" i="3"/>
  <c r="G422" i="3"/>
  <c r="BL427" i="3"/>
  <c r="G429" i="3"/>
  <c r="G430" i="3"/>
  <c r="BL433" i="3"/>
  <c r="BL434" i="3"/>
  <c r="G436" i="3"/>
  <c r="G441" i="3"/>
  <c r="BL447" i="3"/>
  <c r="BL451" i="3"/>
  <c r="G456" i="3"/>
  <c r="G464" i="3"/>
  <c r="BL465" i="3"/>
  <c r="BA473" i="3"/>
  <c r="BL473" i="3"/>
  <c r="BL474" i="3"/>
  <c r="G475" i="3"/>
  <c r="BL479" i="3"/>
  <c r="G480" i="3"/>
  <c r="G485" i="3"/>
  <c r="G489" i="3"/>
  <c r="G490" i="3"/>
  <c r="BL308" i="3"/>
  <c r="AZ308" i="3" s="1"/>
  <c r="BL316" i="3"/>
  <c r="BL350" i="3"/>
  <c r="BA353" i="3"/>
  <c r="BL353" i="3"/>
  <c r="BL381" i="3"/>
  <c r="AZ381" i="3" s="1"/>
  <c r="BL215" i="3"/>
  <c r="BA224" i="3"/>
  <c r="AZ224" i="3" s="1"/>
  <c r="BL227" i="3"/>
  <c r="BL230" i="3"/>
  <c r="G233" i="3"/>
  <c r="BA240" i="3"/>
  <c r="BL240" i="3"/>
  <c r="G244" i="3"/>
  <c r="G251" i="3"/>
  <c r="G255" i="3"/>
  <c r="BA262" i="3"/>
  <c r="AZ262" i="3" s="1"/>
  <c r="G265" i="3"/>
  <c r="G280" i="3"/>
  <c r="G282" i="3"/>
  <c r="BA294" i="3"/>
  <c r="G297" i="3"/>
  <c r="BA120" i="3"/>
  <c r="AZ120" i="3" s="1"/>
  <c r="BL122" i="3"/>
  <c r="G123" i="3"/>
  <c r="BA124" i="3"/>
  <c r="AZ124" i="3" s="1"/>
  <c r="BL127" i="3"/>
  <c r="AZ127" i="3" s="1"/>
  <c r="BA128" i="3"/>
  <c r="AZ128" i="3" s="1"/>
  <c r="BA132" i="3"/>
  <c r="AZ132" i="3" s="1"/>
  <c r="BA134" i="3"/>
  <c r="BL135" i="3"/>
  <c r="AZ135" i="3" s="1"/>
  <c r="BA176" i="3"/>
  <c r="AZ176" i="3" s="1"/>
  <c r="BA184" i="3"/>
  <c r="AZ184" i="3" s="1"/>
  <c r="BL187" i="3"/>
  <c r="AZ187" i="3" s="1"/>
  <c r="BA202" i="3"/>
  <c r="BL23" i="3"/>
  <c r="BL35" i="3"/>
  <c r="BA42" i="3"/>
  <c r="BL48" i="3"/>
  <c r="BL56" i="3"/>
  <c r="F40" i="69"/>
  <c r="C40" i="69"/>
  <c r="W21" i="37"/>
  <c r="AC21" i="37"/>
  <c r="Y35" i="71"/>
  <c r="Z35" i="71" s="1"/>
  <c r="C38" i="71"/>
  <c r="D38" i="71" s="1"/>
  <c r="F67" i="71"/>
  <c r="V68" i="71"/>
  <c r="Q68" i="71"/>
  <c r="T76" i="71"/>
  <c r="C75" i="71"/>
  <c r="D76" i="71"/>
  <c r="AA3" i="71"/>
  <c r="AZ458" i="3"/>
  <c r="AZ469" i="3"/>
  <c r="BA145" i="3"/>
  <c r="G152" i="3"/>
  <c r="BA153" i="3"/>
  <c r="G156" i="3"/>
  <c r="BA157" i="3"/>
  <c r="G160" i="3"/>
  <c r="BA162" i="3"/>
  <c r="W18" i="35"/>
  <c r="AC18" i="35"/>
  <c r="AB29" i="39"/>
  <c r="U29" i="39"/>
  <c r="Y29" i="71"/>
  <c r="Z29" i="71" s="1"/>
  <c r="C30" i="71"/>
  <c r="D30" i="71" s="1"/>
  <c r="C31" i="71"/>
  <c r="X25" i="71"/>
  <c r="X34" i="71"/>
  <c r="B67" i="71"/>
  <c r="S68" i="71"/>
  <c r="V72" i="71"/>
  <c r="F71" i="71"/>
  <c r="F70" i="71" s="1"/>
  <c r="B23" i="71"/>
  <c r="B22" i="71" s="1"/>
  <c r="B21" i="71" s="1"/>
  <c r="B20" i="71" s="1"/>
  <c r="G398" i="3"/>
  <c r="G399" i="3"/>
  <c r="BA400" i="3"/>
  <c r="AZ400" i="3" s="1"/>
  <c r="BA406" i="3"/>
  <c r="AZ406" i="3" s="1"/>
  <c r="BL409" i="3"/>
  <c r="BL413" i="3"/>
  <c r="G415" i="3"/>
  <c r="G416" i="3"/>
  <c r="BL423" i="3"/>
  <c r="G426" i="3"/>
  <c r="BL430" i="3"/>
  <c r="G431" i="3"/>
  <c r="G440" i="3"/>
  <c r="BL443" i="3"/>
  <c r="G448" i="3"/>
  <c r="G449" i="3"/>
  <c r="BL449" i="3"/>
  <c r="BL450" i="3"/>
  <c r="BA452" i="3"/>
  <c r="BL452" i="3"/>
  <c r="G454" i="3"/>
  <c r="G455" i="3"/>
  <c r="G463" i="3"/>
  <c r="BA463" i="3"/>
  <c r="BL467" i="3"/>
  <c r="BL468" i="3"/>
  <c r="BA470" i="3"/>
  <c r="BL470" i="3"/>
  <c r="BA480" i="3"/>
  <c r="BA485" i="3"/>
  <c r="BL487" i="3"/>
  <c r="BL488" i="3"/>
  <c r="BL491" i="3"/>
  <c r="BL492" i="3"/>
  <c r="BL314" i="3"/>
  <c r="AZ314" i="3" s="1"/>
  <c r="BA384" i="3"/>
  <c r="AZ384" i="3" s="1"/>
  <c r="BA392" i="3"/>
  <c r="AZ392" i="3" s="1"/>
  <c r="BL213" i="3"/>
  <c r="G225" i="3"/>
  <c r="BA225" i="3"/>
  <c r="BA245" i="3"/>
  <c r="AZ245" i="3" s="1"/>
  <c r="BL245" i="3"/>
  <c r="BL252" i="3"/>
  <c r="BA257" i="3"/>
  <c r="BL257" i="3"/>
  <c r="BL258" i="3"/>
  <c r="BL267" i="3"/>
  <c r="BL272" i="3"/>
  <c r="BL283" i="3"/>
  <c r="AZ283" i="3" s="1"/>
  <c r="BL284" i="3"/>
  <c r="BL292" i="3"/>
  <c r="BA298" i="3"/>
  <c r="AZ298" i="3" s="1"/>
  <c r="G126" i="3"/>
  <c r="BA126" i="3"/>
  <c r="G144" i="3"/>
  <c r="BA144" i="3"/>
  <c r="AZ144" i="3" s="1"/>
  <c r="BA149" i="3"/>
  <c r="BA156" i="3"/>
  <c r="AZ156" i="3" s="1"/>
  <c r="BA168" i="3"/>
  <c r="AZ168" i="3" s="1"/>
  <c r="BA97" i="3"/>
  <c r="P27" i="6"/>
  <c r="D60" i="71"/>
  <c r="B39" i="71"/>
  <c r="B40" i="71" s="1"/>
  <c r="S40" i="71" s="1"/>
  <c r="S72" i="71"/>
  <c r="B71" i="71"/>
  <c r="B70" i="71" s="1"/>
  <c r="T80" i="71"/>
  <c r="D80" i="71"/>
  <c r="G438" i="3"/>
  <c r="BL438" i="3"/>
  <c r="BL439" i="3"/>
  <c r="BA443" i="3"/>
  <c r="AZ443" i="3" s="1"/>
  <c r="G452" i="3"/>
  <c r="BA456" i="3"/>
  <c r="BL456" i="3"/>
  <c r="BA462" i="3"/>
  <c r="AZ462" i="3" s="1"/>
  <c r="BL469" i="3"/>
  <c r="G470" i="3"/>
  <c r="G477" i="3"/>
  <c r="BL480" i="3"/>
  <c r="BA487" i="3"/>
  <c r="BL490" i="3"/>
  <c r="BL317" i="3"/>
  <c r="G318" i="3"/>
  <c r="G323" i="3"/>
  <c r="G374" i="3"/>
  <c r="G382" i="3"/>
  <c r="BL386" i="3"/>
  <c r="G396" i="3"/>
  <c r="BA208" i="3"/>
  <c r="AZ208" i="3" s="1"/>
  <c r="G210" i="3"/>
  <c r="G212" i="3"/>
  <c r="BA212" i="3"/>
  <c r="BL219" i="3"/>
  <c r="G223" i="3"/>
  <c r="G235" i="3"/>
  <c r="BA242" i="3"/>
  <c r="AZ242" i="3" s="1"/>
  <c r="BA255" i="3"/>
  <c r="BL255" i="3"/>
  <c r="G257" i="3"/>
  <c r="BA265" i="3"/>
  <c r="BL265" i="3"/>
  <c r="G267" i="3"/>
  <c r="BA278" i="3"/>
  <c r="AZ278" i="3" s="1"/>
  <c r="BA280" i="3"/>
  <c r="AZ280" i="3" s="1"/>
  <c r="G283" i="3"/>
  <c r="G291" i="3"/>
  <c r="BA291" i="3"/>
  <c r="G294" i="3"/>
  <c r="BL295" i="3"/>
  <c r="G300" i="3"/>
  <c r="BL161" i="3"/>
  <c r="G166" i="3"/>
  <c r="G167" i="3"/>
  <c r="BA169" i="3"/>
  <c r="AZ169" i="3" s="1"/>
  <c r="G171" i="3"/>
  <c r="BL24" i="3"/>
  <c r="BL44" i="3"/>
  <c r="BL52" i="3"/>
  <c r="P65" i="71"/>
  <c r="P66" i="71"/>
  <c r="Y27" i="71"/>
  <c r="Z27" i="71" s="1"/>
  <c r="BA122" i="3"/>
  <c r="AZ122" i="3" s="1"/>
  <c r="BA125" i="3"/>
  <c r="G138" i="3"/>
  <c r="G146" i="3"/>
  <c r="BA148" i="3"/>
  <c r="AZ148" i="3" s="1"/>
  <c r="G150" i="3"/>
  <c r="G154" i="3"/>
  <c r="G155" i="3"/>
  <c r="BL155" i="3"/>
  <c r="AZ155" i="3" s="1"/>
  <c r="BL158" i="3"/>
  <c r="G163" i="3"/>
  <c r="G164" i="3"/>
  <c r="BA164" i="3"/>
  <c r="AZ164" i="3" s="1"/>
  <c r="BA166" i="3"/>
  <c r="AZ166" i="3" s="1"/>
  <c r="G170" i="3"/>
  <c r="BL173" i="3"/>
  <c r="G174" i="3"/>
  <c r="G178" i="3"/>
  <c r="BL181" i="3"/>
  <c r="G182" i="3"/>
  <c r="G186" i="3"/>
  <c r="G187" i="3"/>
  <c r="BA189" i="3"/>
  <c r="AZ189" i="3" s="1"/>
  <c r="BA201" i="3"/>
  <c r="G204" i="3"/>
  <c r="BL25" i="3"/>
  <c r="BL27" i="3"/>
  <c r="BA28" i="3"/>
  <c r="G31" i="3"/>
  <c r="BA33" i="3"/>
  <c r="G38" i="3"/>
  <c r="BA38" i="3"/>
  <c r="G41" i="3"/>
  <c r="BA43" i="3"/>
  <c r="G46" i="3"/>
  <c r="G47" i="3"/>
  <c r="G51" i="3"/>
  <c r="G52" i="3"/>
  <c r="BA62" i="3"/>
  <c r="G68" i="3"/>
  <c r="BL68" i="3"/>
  <c r="BA69" i="3"/>
  <c r="BL82" i="3"/>
  <c r="BL83" i="3"/>
  <c r="G86" i="3"/>
  <c r="BA88" i="3"/>
  <c r="BL96" i="3"/>
  <c r="BA98" i="3"/>
  <c r="BL100" i="3"/>
  <c r="BL105" i="3"/>
  <c r="G107" i="3"/>
  <c r="BL107" i="3"/>
  <c r="BL110" i="3"/>
  <c r="G112" i="3"/>
  <c r="K13" i="1"/>
  <c r="M13" i="1" s="1"/>
  <c r="O13" i="1" s="1"/>
  <c r="P13" i="1" s="1"/>
  <c r="C21" i="68"/>
  <c r="W29" i="39"/>
  <c r="C29" i="39"/>
  <c r="Y26" i="71"/>
  <c r="Z26" i="71" s="1"/>
  <c r="AB36" i="71"/>
  <c r="AA37" i="71"/>
  <c r="BA58" i="3"/>
  <c r="BL59" i="3"/>
  <c r="BL60" i="3"/>
  <c r="BL76" i="3"/>
  <c r="BL79" i="3"/>
  <c r="BL81" i="3"/>
  <c r="BA82" i="3"/>
  <c r="AZ82" i="3" s="1"/>
  <c r="BL99" i="3"/>
  <c r="BA102" i="3"/>
  <c r="BA111" i="3"/>
  <c r="B57" i="43"/>
  <c r="E71" i="71"/>
  <c r="E70" i="71" s="1"/>
  <c r="AA34" i="71"/>
  <c r="C43" i="71"/>
  <c r="E51" i="71"/>
  <c r="E52" i="71" s="1"/>
  <c r="U52" i="71" s="1"/>
  <c r="C51" i="71"/>
  <c r="S76" i="71"/>
  <c r="F79" i="71"/>
  <c r="F78" i="71" s="1"/>
  <c r="BA177" i="3"/>
  <c r="G180" i="3"/>
  <c r="G194" i="3"/>
  <c r="G195" i="3"/>
  <c r="BL197" i="3"/>
  <c r="G198" i="3"/>
  <c r="G203" i="3"/>
  <c r="BL205" i="3"/>
  <c r="G23" i="3"/>
  <c r="BA30" i="3"/>
  <c r="BA31" i="3"/>
  <c r="G34" i="3"/>
  <c r="G39" i="3"/>
  <c r="BA41" i="3"/>
  <c r="G44" i="3"/>
  <c r="G50" i="3"/>
  <c r="BA50" i="3"/>
  <c r="BA51" i="3"/>
  <c r="G54" i="3"/>
  <c r="G55" i="3"/>
  <c r="BL62" i="3"/>
  <c r="BL63" i="3"/>
  <c r="G70" i="3"/>
  <c r="G71" i="3"/>
  <c r="BL74" i="3"/>
  <c r="G75" i="3"/>
  <c r="BL75" i="3"/>
  <c r="BA77" i="3"/>
  <c r="G79" i="3"/>
  <c r="G84" i="3"/>
  <c r="G93" i="3"/>
  <c r="BA94" i="3"/>
  <c r="G99" i="3"/>
  <c r="F35" i="71"/>
  <c r="F36" i="71" s="1"/>
  <c r="V36" i="71" s="1"/>
  <c r="C23" i="71"/>
  <c r="G29" i="6"/>
  <c r="S32" i="40"/>
  <c r="AA36" i="37"/>
  <c r="G521" i="3"/>
  <c r="AZ539" i="3"/>
  <c r="AZ529" i="3"/>
  <c r="AZ518" i="3"/>
  <c r="S14" i="37"/>
  <c r="AC37" i="40"/>
  <c r="AB30" i="40"/>
  <c r="BL587" i="3"/>
  <c r="AZ587" i="3" s="1"/>
  <c r="AC23" i="21"/>
  <c r="AA19" i="37"/>
  <c r="AZ513" i="3"/>
  <c r="AZ575" i="3"/>
  <c r="AZ502" i="3"/>
  <c r="S38" i="40"/>
  <c r="AA38" i="40"/>
  <c r="AZ451" i="3"/>
  <c r="AB34" i="33"/>
  <c r="S30" i="40"/>
  <c r="AB36" i="33"/>
  <c r="W32" i="39"/>
  <c r="U32" i="21"/>
  <c r="S32" i="21"/>
  <c r="AB45" i="21"/>
  <c r="AB23" i="33"/>
  <c r="U25" i="33"/>
  <c r="U41" i="33"/>
  <c r="S21" i="39"/>
  <c r="F54" i="9"/>
  <c r="F32" i="15"/>
  <c r="F60" i="15" s="1"/>
  <c r="F52" i="9"/>
  <c r="F30" i="68"/>
  <c r="F48" i="68" s="1"/>
  <c r="AC20" i="36"/>
  <c r="S20" i="36"/>
  <c r="AA39" i="39"/>
  <c r="U42" i="33"/>
  <c r="AB29" i="33"/>
  <c r="AC39" i="34"/>
  <c r="AA25" i="35"/>
  <c r="AA22" i="36"/>
  <c r="U12" i="39"/>
  <c r="AA27" i="40"/>
  <c r="AB27" i="40"/>
  <c r="AA34" i="33"/>
  <c r="AC21" i="40"/>
  <c r="AZ357" i="3"/>
  <c r="AZ322" i="3"/>
  <c r="AZ313" i="3"/>
  <c r="AZ394" i="3"/>
  <c r="AC15" i="34"/>
  <c r="W44" i="33"/>
  <c r="AC36" i="34"/>
  <c r="AZ519" i="3"/>
  <c r="AZ531" i="3"/>
  <c r="AZ573" i="3"/>
  <c r="AZ583" i="3"/>
  <c r="AZ576" i="3"/>
  <c r="F29" i="6"/>
  <c r="AZ391" i="3"/>
  <c r="AZ364" i="3"/>
  <c r="AZ329" i="3"/>
  <c r="AZ306" i="3"/>
  <c r="S37" i="21"/>
  <c r="D68" i="9"/>
  <c r="F30" i="69"/>
  <c r="F48" i="69" s="1"/>
  <c r="F31" i="12"/>
  <c r="AB28" i="33"/>
  <c r="AC14" i="34"/>
  <c r="U41" i="39"/>
  <c r="AA14" i="21"/>
  <c r="S13" i="34"/>
  <c r="AA45" i="34"/>
  <c r="AC13" i="37"/>
  <c r="AC13" i="39"/>
  <c r="AC34" i="33"/>
  <c r="AC17" i="34"/>
  <c r="AZ334" i="3"/>
  <c r="AZ303" i="3"/>
  <c r="AZ347" i="3"/>
  <c r="AA11" i="39"/>
  <c r="AA41" i="39"/>
  <c r="H5" i="3"/>
  <c r="W44" i="21"/>
  <c r="W47" i="34"/>
  <c r="AZ523" i="3"/>
  <c r="AZ547" i="3"/>
  <c r="AZ571" i="3"/>
  <c r="AZ579" i="3"/>
  <c r="AZ516" i="3"/>
  <c r="W44" i="39"/>
  <c r="AC11" i="35"/>
  <c r="AB23" i="34"/>
  <c r="S26" i="33"/>
  <c r="W31" i="40"/>
  <c r="AZ419" i="3"/>
  <c r="AZ487" i="3"/>
  <c r="J12" i="3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G446" i="3"/>
  <c r="BL448" i="3"/>
  <c r="AZ448" i="3" s="1"/>
  <c r="G450" i="3"/>
  <c r="G451" i="3"/>
  <c r="BA454" i="3"/>
  <c r="BA457" i="3"/>
  <c r="BA459" i="3"/>
  <c r="BA460" i="3"/>
  <c r="BA461" i="3"/>
  <c r="BL464" i="3"/>
  <c r="BL466" i="3"/>
  <c r="AZ466" i="3" s="1"/>
  <c r="G468" i="3"/>
  <c r="BL476" i="3"/>
  <c r="AZ476" i="3" s="1"/>
  <c r="BL477" i="3"/>
  <c r="BA483" i="3"/>
  <c r="BL483" i="3"/>
  <c r="BA486" i="3"/>
  <c r="BL489" i="3"/>
  <c r="BA333" i="3"/>
  <c r="BL346" i="3"/>
  <c r="AZ346" i="3" s="1"/>
  <c r="BL367" i="3"/>
  <c r="BL383" i="3"/>
  <c r="AZ383" i="3" s="1"/>
  <c r="G387" i="3"/>
  <c r="BL216" i="3"/>
  <c r="BA220" i="3"/>
  <c r="BA235" i="3"/>
  <c r="G273" i="3"/>
  <c r="G587" i="3"/>
  <c r="BA551" i="3"/>
  <c r="AZ551" i="3" s="1"/>
  <c r="BA550" i="3"/>
  <c r="BL548" i="3"/>
  <c r="AZ548" i="3" s="1"/>
  <c r="BA401" i="3"/>
  <c r="AZ401" i="3" s="1"/>
  <c r="BA403" i="3"/>
  <c r="AZ403" i="3" s="1"/>
  <c r="BA404" i="3"/>
  <c r="BA405" i="3"/>
  <c r="AZ405" i="3" s="1"/>
  <c r="BL410" i="3"/>
  <c r="G412" i="3"/>
  <c r="G418" i="3"/>
  <c r="AZ444" i="3"/>
  <c r="AZ464" i="3"/>
  <c r="BA482" i="3"/>
  <c r="BA484" i="3"/>
  <c r="AZ484" i="3" s="1"/>
  <c r="BA303" i="3"/>
  <c r="BA307" i="3"/>
  <c r="AZ307" i="3" s="1"/>
  <c r="BA332" i="3"/>
  <c r="BL332" i="3"/>
  <c r="G339" i="3"/>
  <c r="G215" i="3"/>
  <c r="G292" i="3"/>
  <c r="BL585" i="3"/>
  <c r="AZ585" i="3" s="1"/>
  <c r="B75" i="43"/>
  <c r="H9" i="33"/>
  <c r="AC31" i="35"/>
  <c r="H38" i="40"/>
  <c r="G558" i="3"/>
  <c r="G423" i="3"/>
  <c r="BL424" i="3"/>
  <c r="AZ424" i="3" s="1"/>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BA478" i="3"/>
  <c r="BA481" i="3"/>
  <c r="G484" i="3"/>
  <c r="BA488" i="3"/>
  <c r="AZ488" i="3" s="1"/>
  <c r="BA491" i="3"/>
  <c r="AZ491" i="3" s="1"/>
  <c r="BL328" i="3"/>
  <c r="AZ328" i="3" s="1"/>
  <c r="G329" i="3"/>
  <c r="BA335" i="3"/>
  <c r="AZ335" i="3" s="1"/>
  <c r="BA339" i="3"/>
  <c r="AZ339" i="3" s="1"/>
  <c r="BA231" i="3"/>
  <c r="G295" i="3"/>
  <c r="B79" i="43"/>
  <c r="H23" i="35"/>
  <c r="J23" i="36"/>
  <c r="H39" i="40"/>
  <c r="BL550"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G442" i="3"/>
  <c r="G443" i="3"/>
  <c r="BA446" i="3"/>
  <c r="AZ446" i="3" s="1"/>
  <c r="BA450" i="3"/>
  <c r="BA453" i="3"/>
  <c r="AZ453" i="3" s="1"/>
  <c r="BA455" i="3"/>
  <c r="AZ455" i="3" s="1"/>
  <c r="BL457" i="3"/>
  <c r="BL460" i="3"/>
  <c r="BL461" i="3"/>
  <c r="BL463" i="3"/>
  <c r="G465" i="3"/>
  <c r="BA471" i="3"/>
  <c r="G488" i="3"/>
  <c r="G384" i="3"/>
  <c r="G213" i="3"/>
  <c r="G226" i="3"/>
  <c r="BA260" i="3"/>
  <c r="BA270" i="3"/>
  <c r="BA275" i="3"/>
  <c r="AZ275" i="3" s="1"/>
  <c r="BL289" i="3"/>
  <c r="BA367" i="3"/>
  <c r="BA370" i="3"/>
  <c r="AZ370" i="3" s="1"/>
  <c r="BA386" i="3"/>
  <c r="AZ386" i="3" s="1"/>
  <c r="BA216" i="3"/>
  <c r="AZ216" i="3" s="1"/>
  <c r="BA218" i="3"/>
  <c r="AZ218" i="3" s="1"/>
  <c r="BL218" i="3"/>
  <c r="BL220" i="3"/>
  <c r="BL221" i="3"/>
  <c r="BL223" i="3"/>
  <c r="BA227" i="3"/>
  <c r="AZ227" i="3" s="1"/>
  <c r="BA229" i="3"/>
  <c r="AZ229" i="3" s="1"/>
  <c r="BL229" i="3"/>
  <c r="BL231" i="3"/>
  <c r="BL233" i="3"/>
  <c r="AZ233" i="3" s="1"/>
  <c r="BL235" i="3"/>
  <c r="BL236" i="3"/>
  <c r="BL238" i="3"/>
  <c r="BL243" i="3"/>
  <c r="BA247" i="3"/>
  <c r="AZ247" i="3" s="1"/>
  <c r="BL247" i="3"/>
  <c r="BA249" i="3"/>
  <c r="AZ249" i="3" s="1"/>
  <c r="BL249" i="3"/>
  <c r="BA251" i="3"/>
  <c r="AZ251" i="3" s="1"/>
  <c r="BL251" i="3"/>
  <c r="BA253" i="3"/>
  <c r="BL260" i="3"/>
  <c r="BL263" i="3"/>
  <c r="BL270" i="3"/>
  <c r="BA272" i="3"/>
  <c r="AZ272" i="3" s="1"/>
  <c r="BL275" i="3"/>
  <c r="BL285" i="3"/>
  <c r="BL287" i="3"/>
  <c r="BA290" i="3"/>
  <c r="BL299" i="3"/>
  <c r="BL113" i="3"/>
  <c r="BL115" i="3"/>
  <c r="AZ115" i="3" s="1"/>
  <c r="BA118" i="3"/>
  <c r="AZ118" i="3" s="1"/>
  <c r="BL118" i="3"/>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BA254" i="3"/>
  <c r="AZ254" i="3" s="1"/>
  <c r="BA256" i="3"/>
  <c r="BL256" i="3"/>
  <c r="BA258" i="3"/>
  <c r="BL264" i="3"/>
  <c r="BL266" i="3"/>
  <c r="BA268" i="3"/>
  <c r="BL273" i="3"/>
  <c r="AZ273" i="3" s="1"/>
  <c r="G274" i="3"/>
  <c r="BA277" i="3"/>
  <c r="BL277" i="3"/>
  <c r="BA282" i="3"/>
  <c r="BL282" i="3"/>
  <c r="BA284" i="3"/>
  <c r="AZ284" i="3" s="1"/>
  <c r="BL290" i="3"/>
  <c r="BL291" i="3"/>
  <c r="BL293" i="3"/>
  <c r="BL294" i="3"/>
  <c r="AZ294" i="3" s="1"/>
  <c r="BA297" i="3"/>
  <c r="AZ297" i="3" s="1"/>
  <c r="BL297" i="3"/>
  <c r="BL300" i="3"/>
  <c r="BA302" i="3"/>
  <c r="AZ302" i="3" s="1"/>
  <c r="BL123" i="3"/>
  <c r="AZ123" i="3" s="1"/>
  <c r="BL125" i="3"/>
  <c r="BL126" i="3"/>
  <c r="AZ126" i="3" s="1"/>
  <c r="BL175" i="3"/>
  <c r="AZ175" i="3" s="1"/>
  <c r="AZ177" i="3"/>
  <c r="G184" i="3"/>
  <c r="G202"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G128" i="3"/>
  <c r="BA129" i="3"/>
  <c r="BA133" i="3"/>
  <c r="AZ133" i="3" s="1"/>
  <c r="BL146" i="3"/>
  <c r="BL154" i="3"/>
  <c r="BL163" i="3"/>
  <c r="AZ163" i="3" s="1"/>
  <c r="BA194" i="3"/>
  <c r="BA207" i="3"/>
  <c r="BA22" i="3"/>
  <c r="BL139" i="3"/>
  <c r="AZ139" i="3" s="1"/>
  <c r="BL141" i="3"/>
  <c r="BL143" i="3"/>
  <c r="AZ143" i="3" s="1"/>
  <c r="BL157" i="3"/>
  <c r="AZ157" i="3" s="1"/>
  <c r="BL159" i="3"/>
  <c r="AZ159" i="3" s="1"/>
  <c r="BL177" i="3"/>
  <c r="G179" i="3"/>
  <c r="BL183" i="3"/>
  <c r="AZ183" i="3" s="1"/>
  <c r="BA186" i="3"/>
  <c r="AZ186" i="3" s="1"/>
  <c r="BA190" i="3"/>
  <c r="AZ190" i="3" s="1"/>
  <c r="G196" i="3"/>
  <c r="BA197" i="3"/>
  <c r="BL201" i="3"/>
  <c r="AZ201" i="3" s="1"/>
  <c r="BL203" i="3"/>
  <c r="AZ203" i="3" s="1"/>
  <c r="BA204" i="3"/>
  <c r="AZ204" i="3" s="1"/>
  <c r="BA18" i="3"/>
  <c r="G21" i="3"/>
  <c r="BL21" i="3"/>
  <c r="G29" i="3"/>
  <c r="BL29" i="3"/>
  <c r="BA37" i="3"/>
  <c r="BL39" i="3"/>
  <c r="BA45" i="3"/>
  <c r="BA46" i="3"/>
  <c r="BL49" i="3"/>
  <c r="BA52" i="3"/>
  <c r="AZ52" i="3" s="1"/>
  <c r="BA53" i="3"/>
  <c r="BA54" i="3"/>
  <c r="BL57" i="3"/>
  <c r="D31" i="71"/>
  <c r="C32" i="71"/>
  <c r="C55" i="71"/>
  <c r="D54" i="71"/>
  <c r="N67" i="71"/>
  <c r="B66" i="71"/>
  <c r="F66" i="71"/>
  <c r="Q67" i="71"/>
  <c r="V24" i="71"/>
  <c r="E23" i="71"/>
  <c r="E22" i="71" s="1"/>
  <c r="E21" i="71" s="1"/>
  <c r="E20" i="71" s="1"/>
  <c r="E19" i="71" s="1"/>
  <c r="E18" i="71" s="1"/>
  <c r="E17" i="71" s="1"/>
  <c r="E16" i="71" s="1"/>
  <c r="BL134" i="3"/>
  <c r="AZ134" i="3" s="1"/>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L54" i="3"/>
  <c r="BL55" i="3"/>
  <c r="AZ55" i="3" s="1"/>
  <c r="G57" i="3"/>
  <c r="G58" i="3"/>
  <c r="BA59" i="3"/>
  <c r="AZ59" i="3" s="1"/>
  <c r="G61" i="3"/>
  <c r="BL61" i="3"/>
  <c r="G64" i="3"/>
  <c r="BA64" i="3"/>
  <c r="BA68" i="3"/>
  <c r="BL70" i="3"/>
  <c r="AZ70" i="3" s="1"/>
  <c r="BL71" i="3"/>
  <c r="BA61" i="3"/>
  <c r="BL69" i="3"/>
  <c r="AZ69" i="3" s="1"/>
  <c r="BA72" i="3"/>
  <c r="AZ72" i="3" s="1"/>
  <c r="BA73" i="3"/>
  <c r="BA80" i="3"/>
  <c r="BL84" i="3"/>
  <c r="BA90" i="3"/>
  <c r="BL94" i="3"/>
  <c r="AZ94" i="3" s="1"/>
  <c r="BA105" i="3"/>
  <c r="C44" i="71"/>
  <c r="D43" i="71"/>
  <c r="C52" i="71"/>
  <c r="D51" i="7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BL194" i="3"/>
  <c r="BA198" i="3"/>
  <c r="AZ198" i="3" s="1"/>
  <c r="G199" i="3"/>
  <c r="G205" i="3"/>
  <c r="BL206" i="3"/>
  <c r="BA19" i="3"/>
  <c r="AZ19" i="3" s="1"/>
  <c r="G22" i="3"/>
  <c r="G24" i="3"/>
  <c r="G25" i="3"/>
  <c r="G27" i="3"/>
  <c r="BA27" i="3"/>
  <c r="AZ27" i="3" s="1"/>
  <c r="G30" i="3"/>
  <c r="BL30" i="3"/>
  <c r="BL31" i="3"/>
  <c r="AZ31" i="3" s="1"/>
  <c r="G35" i="3"/>
  <c r="G36" i="3"/>
  <c r="G37" i="3"/>
  <c r="G40" i="3"/>
  <c r="BL40" i="3"/>
  <c r="AZ40" i="3" s="1"/>
  <c r="BL41" i="3"/>
  <c r="AZ41" i="3" s="1"/>
  <c r="G45" i="3"/>
  <c r="BL45" i="3"/>
  <c r="BA48" i="3"/>
  <c r="AZ48" i="3" s="1"/>
  <c r="BA49" i="3"/>
  <c r="BL64" i="3"/>
  <c r="G65" i="3"/>
  <c r="BL65" i="3"/>
  <c r="AZ65" i="3" s="1"/>
  <c r="BL66" i="3"/>
  <c r="BL67" i="3"/>
  <c r="AZ67" i="3" s="1"/>
  <c r="G69" i="3"/>
  <c r="BA78" i="3"/>
  <c r="BL91" i="3"/>
  <c r="BL93" i="3"/>
  <c r="AZ100" i="3"/>
  <c r="C47" i="71"/>
  <c r="D47" i="71" s="1"/>
  <c r="D46" i="71"/>
  <c r="G72" i="3"/>
  <c r="BL73" i="3"/>
  <c r="BA74" i="3"/>
  <c r="AZ74" i="3" s="1"/>
  <c r="BA75" i="3"/>
  <c r="AZ75" i="3" s="1"/>
  <c r="G81" i="3"/>
  <c r="G85" i="3"/>
  <c r="BL85" i="3"/>
  <c r="BA86" i="3"/>
  <c r="AZ86" i="3" s="1"/>
  <c r="BA87" i="3"/>
  <c r="BA91" i="3"/>
  <c r="G96" i="3"/>
  <c r="BL97" i="3"/>
  <c r="AZ97" i="3" s="1"/>
  <c r="BL101" i="3"/>
  <c r="BL102" i="3"/>
  <c r="G104" i="3"/>
  <c r="G105" i="3"/>
  <c r="BL106" i="3"/>
  <c r="BA108" i="3"/>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AZ51" i="3" s="1"/>
  <c r="G53" i="3"/>
  <c r="BL53" i="3"/>
  <c r="BA56" i="3"/>
  <c r="AZ56" i="3" s="1"/>
  <c r="BA57" i="3"/>
  <c r="BL58" i="3"/>
  <c r="AZ58" i="3" s="1"/>
  <c r="G60" i="3"/>
  <c r="BA60" i="3"/>
  <c r="BA63" i="3"/>
  <c r="AZ63" i="3" s="1"/>
  <c r="BA66" i="3"/>
  <c r="BA71" i="3"/>
  <c r="AZ71" i="3" s="1"/>
  <c r="G76" i="3"/>
  <c r="BL77" i="3"/>
  <c r="AZ77" i="3" s="1"/>
  <c r="BA79" i="3"/>
  <c r="AZ79" i="3" s="1"/>
  <c r="G82" i="3"/>
  <c r="G83" i="3"/>
  <c r="BA84" i="3"/>
  <c r="BL88" i="3"/>
  <c r="AZ88" i="3" s="1"/>
  <c r="G90" i="3"/>
  <c r="BL90" i="3"/>
  <c r="AZ90" i="3" s="1"/>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52" i="3"/>
  <c r="AZ456" i="3"/>
  <c r="AZ470" i="3"/>
  <c r="W35" i="39"/>
  <c r="F27" i="34"/>
  <c r="C21" i="39"/>
  <c r="U9" i="36"/>
  <c r="U14" i="37"/>
  <c r="H12" i="21"/>
  <c r="G526" i="3"/>
  <c r="AZ420" i="3"/>
  <c r="AZ434"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BL202" i="3"/>
  <c r="AZ202" i="3" s="1"/>
  <c r="AZ30" i="3"/>
  <c r="BL36" i="3"/>
  <c r="AZ36" i="3" s="1"/>
  <c r="AZ68" i="3"/>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AZ46" i="3" s="1"/>
  <c r="AZ54" i="3"/>
  <c r="AZ92" i="3"/>
  <c r="BL78" i="3"/>
  <c r="BA83" i="3"/>
  <c r="AZ83" i="3" s="1"/>
  <c r="G91" i="3"/>
  <c r="BL95" i="3"/>
  <c r="AZ95" i="3" s="1"/>
  <c r="BL98" i="3"/>
  <c r="AZ98" i="3" s="1"/>
  <c r="BL109" i="3"/>
  <c r="AZ109" i="3" s="1"/>
  <c r="AB21" i="21"/>
  <c r="AZ78" i="3"/>
  <c r="G77" i="3"/>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F50" i="67"/>
  <c r="F68" i="15"/>
  <c r="C36" i="68"/>
  <c r="D9" i="69"/>
  <c r="C36" i="69"/>
  <c r="D9" i="68"/>
  <c r="M22" i="67"/>
  <c r="D4" i="73"/>
  <c r="F40" i="67"/>
  <c r="C76" i="67"/>
  <c r="F37" i="67"/>
  <c r="M28" i="67"/>
  <c r="D7" i="73"/>
  <c r="F6" i="67"/>
  <c r="C16" i="15"/>
  <c r="J15" i="67"/>
  <c r="C16" i="67"/>
  <c r="F8" i="67"/>
  <c r="D3" i="73"/>
  <c r="M9" i="67"/>
  <c r="D5" i="73"/>
  <c r="F36" i="67"/>
  <c r="F13" i="67"/>
  <c r="F27" i="69" l="1"/>
  <c r="C47" i="69" s="1"/>
  <c r="D45" i="69" s="1"/>
  <c r="Q19" i="1"/>
  <c r="AB34" i="39"/>
  <c r="W34" i="39"/>
  <c r="AA23" i="39"/>
  <c r="S23" i="39"/>
  <c r="AB17" i="39"/>
  <c r="U17" i="39"/>
  <c r="AC17" i="39"/>
  <c r="W17" i="39"/>
  <c r="AA17" i="39"/>
  <c r="S17" i="39"/>
  <c r="AC11" i="39"/>
  <c r="U11" i="39"/>
  <c r="AB11" i="39"/>
  <c r="AZ471" i="3"/>
  <c r="AZ332" i="3"/>
  <c r="AZ62" i="3"/>
  <c r="AZ265" i="3"/>
  <c r="AZ257" i="3"/>
  <c r="B19" i="71"/>
  <c r="B18" i="71" s="1"/>
  <c r="B17" i="71" s="1"/>
  <c r="B16" i="71" s="1"/>
  <c r="S20" i="71"/>
  <c r="AZ240" i="3"/>
  <c r="AZ353" i="3"/>
  <c r="AZ473" i="3"/>
  <c r="AB44" i="39"/>
  <c r="U44" i="39"/>
  <c r="AZ276" i="3"/>
  <c r="D23" i="71"/>
  <c r="C22" i="71"/>
  <c r="C74" i="71"/>
  <c r="D74" i="71" s="1"/>
  <c r="D75" i="71"/>
  <c r="AB36" i="35"/>
  <c r="U36" i="35"/>
  <c r="AA23" i="35"/>
  <c r="S23" i="35"/>
  <c r="AA45" i="21"/>
  <c r="S45" i="21"/>
  <c r="U34" i="36"/>
  <c r="AB34" i="36"/>
  <c r="AZ85" i="3"/>
  <c r="AZ66" i="3"/>
  <c r="AZ106" i="3"/>
  <c r="AZ108" i="3"/>
  <c r="AZ102" i="3"/>
  <c r="AZ91" i="3"/>
  <c r="AZ185" i="3"/>
  <c r="AZ105" i="3"/>
  <c r="AZ61" i="3"/>
  <c r="AZ64" i="3"/>
  <c r="AZ150" i="3"/>
  <c r="AZ197" i="3"/>
  <c r="AZ125" i="3"/>
  <c r="AZ291" i="3"/>
  <c r="AZ252" i="3"/>
  <c r="AZ270" i="3"/>
  <c r="AZ413" i="3"/>
  <c r="AZ402" i="3"/>
  <c r="AC23" i="35"/>
  <c r="W23" i="35"/>
  <c r="W45" i="21"/>
  <c r="AC45" i="21"/>
  <c r="AZ84" i="3"/>
  <c r="AZ367" i="3"/>
  <c r="AZ442" i="3"/>
  <c r="AZ435" i="3"/>
  <c r="AZ425" i="3"/>
  <c r="AZ480" i="3"/>
  <c r="AA44" i="39"/>
  <c r="S44" i="39"/>
  <c r="P6" i="1"/>
  <c r="C13" i="12" s="1"/>
  <c r="K16" i="1"/>
  <c r="E26" i="43"/>
  <c r="J26" i="43"/>
  <c r="G26" i="43"/>
  <c r="N370" i="46"/>
  <c r="F68" i="67"/>
  <c r="Q71" i="67"/>
  <c r="F64" i="67"/>
  <c r="C6" i="67"/>
  <c r="C32" i="67" s="1"/>
  <c r="F31" i="67"/>
  <c r="F51" i="67"/>
  <c r="F59" i="67" s="1"/>
  <c r="F65" i="67"/>
  <c r="J7" i="37"/>
  <c r="AC7" i="37" s="1"/>
  <c r="G5" i="3"/>
  <c r="B3" i="3" s="1"/>
  <c r="E212" i="3" s="1"/>
  <c r="T28" i="71"/>
  <c r="D28" i="71"/>
  <c r="U28" i="71" s="1"/>
  <c r="C27" i="71"/>
  <c r="D79" i="71"/>
  <c r="C78" i="71"/>
  <c r="D78" i="71" s="1"/>
  <c r="C56" i="71"/>
  <c r="D55" i="71"/>
  <c r="AZ235" i="3"/>
  <c r="AZ459" i="3"/>
  <c r="AZ37" i="3"/>
  <c r="AZ5" i="3" s="1"/>
  <c r="AY6" i="3" s="1"/>
  <c r="AZ300" i="3"/>
  <c r="AZ129" i="3"/>
  <c r="AZ57" i="3"/>
  <c r="D83" i="71"/>
  <c r="C82" i="71"/>
  <c r="D82" i="71" s="1"/>
  <c r="O65" i="71"/>
  <c r="D66" i="71"/>
  <c r="O66" i="71"/>
  <c r="C36" i="71"/>
  <c r="D35" i="71"/>
  <c r="AZ130" i="3"/>
  <c r="T52" i="71"/>
  <c r="D52" i="71"/>
  <c r="N65" i="71"/>
  <c r="N66" i="71"/>
  <c r="T32" i="71"/>
  <c r="D32" i="71"/>
  <c r="AZ282" i="3"/>
  <c r="AZ210" i="3"/>
  <c r="U39" i="40"/>
  <c r="AB39" i="40"/>
  <c r="AB9" i="33"/>
  <c r="U9" i="33"/>
  <c r="AZ457" i="3"/>
  <c r="AZ415" i="3"/>
  <c r="AZ398" i="3"/>
  <c r="AZ174" i="3"/>
  <c r="C40" i="71"/>
  <c r="D39" i="71"/>
  <c r="AZ53" i="3"/>
  <c r="AZ45" i="3"/>
  <c r="AZ432" i="3"/>
  <c r="AC23" i="36"/>
  <c r="W23" i="36"/>
  <c r="AZ461" i="3"/>
  <c r="AZ454" i="3"/>
  <c r="AZ421" i="3"/>
  <c r="AZ414" i="3"/>
  <c r="J6" i="67"/>
  <c r="J18" i="67" s="1"/>
  <c r="J7" i="36"/>
  <c r="AC7" i="36" s="1"/>
  <c r="V36" i="36" s="1"/>
  <c r="I36" i="36" s="1"/>
  <c r="AZ80" i="3"/>
  <c r="AZ285" i="3"/>
  <c r="AZ261" i="3"/>
  <c r="C70" i="71"/>
  <c r="D70" i="71" s="1"/>
  <c r="D71" i="71"/>
  <c r="AZ49" i="3"/>
  <c r="D44" i="71"/>
  <c r="T44" i="71"/>
  <c r="AZ194" i="3"/>
  <c r="AZ121" i="3"/>
  <c r="AZ263" i="3"/>
  <c r="AZ243" i="3"/>
  <c r="AZ368" i="3"/>
  <c r="AZ277" i="3"/>
  <c r="AZ256" i="3"/>
  <c r="AZ397" i="3"/>
  <c r="U23" i="35"/>
  <c r="AB23" i="35"/>
  <c r="AB38" i="40"/>
  <c r="U38" i="40"/>
  <c r="AZ404" i="3"/>
  <c r="AZ550" i="3"/>
  <c r="AZ483" i="3"/>
  <c r="AZ460" i="3"/>
  <c r="W12" i="33"/>
  <c r="AC12" i="33"/>
  <c r="K1" i="73"/>
  <c r="E442" i="3"/>
  <c r="E491" i="3"/>
  <c r="E64" i="3"/>
  <c r="E371" i="3"/>
  <c r="E264" i="3"/>
  <c r="E198" i="3"/>
  <c r="E86" i="3"/>
  <c r="E287" i="3"/>
  <c r="E456" i="3"/>
  <c r="E360" i="3"/>
  <c r="E225" i="3"/>
  <c r="E78" i="3"/>
  <c r="E326" i="3"/>
  <c r="E223" i="3"/>
  <c r="E440" i="3"/>
  <c r="E498" i="3"/>
  <c r="E346" i="3"/>
  <c r="E43" i="3"/>
  <c r="E137" i="3"/>
  <c r="E299" i="3"/>
  <c r="E123" i="3"/>
  <c r="E147" i="3"/>
  <c r="E218" i="3"/>
  <c r="E524" i="3"/>
  <c r="E398" i="3"/>
  <c r="E90" i="3"/>
  <c r="E65" i="3"/>
  <c r="E250" i="3"/>
  <c r="E421" i="3"/>
  <c r="E520" i="3"/>
  <c r="E209" i="3"/>
  <c r="E284" i="3"/>
  <c r="E582" i="3"/>
  <c r="E436" i="3"/>
  <c r="E266" i="3"/>
  <c r="E341" i="3"/>
  <c r="E39" i="3"/>
  <c r="E259"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H7" i="37"/>
  <c r="AB7" i="37" s="1"/>
  <c r="T42" i="37" s="1"/>
  <c r="G42" i="37" s="1"/>
  <c r="S10" i="39"/>
  <c r="AA10" i="39"/>
  <c r="H7" i="33"/>
  <c r="J7" i="33"/>
  <c r="D65" i="40"/>
  <c r="E63" i="40"/>
  <c r="F48" i="35"/>
  <c r="S7" i="36"/>
  <c r="AA7" i="36"/>
  <c r="R36" i="36" s="1"/>
  <c r="W7" i="37"/>
  <c r="F7" i="33"/>
  <c r="E58" i="21"/>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F41" i="67"/>
  <c r="AE6" i="1"/>
  <c r="G1" i="73"/>
  <c r="C29" i="69" l="1"/>
  <c r="D27" i="69" s="1"/>
  <c r="D22" i="71"/>
  <c r="C21" i="71"/>
  <c r="W7" i="36"/>
  <c r="AB7" i="36"/>
  <c r="T36" i="36" s="1"/>
  <c r="G36" i="36" s="1"/>
  <c r="E69" i="39"/>
  <c r="E66" i="3"/>
  <c r="E542" i="3"/>
  <c r="E47" i="3"/>
  <c r="E464" i="3"/>
  <c r="E138" i="3"/>
  <c r="E312" i="3"/>
  <c r="E521" i="3"/>
  <c r="E552" i="3"/>
  <c r="E176" i="3"/>
  <c r="E52" i="3"/>
  <c r="E455" i="3"/>
  <c r="E202" i="3"/>
  <c r="E486" i="3"/>
  <c r="E370" i="3"/>
  <c r="E104" i="3"/>
  <c r="E534" i="3"/>
  <c r="E174" i="3"/>
  <c r="E381" i="3"/>
  <c r="E59" i="3"/>
  <c r="E286" i="3"/>
  <c r="E462" i="3"/>
  <c r="E373" i="3"/>
  <c r="E375" i="3"/>
  <c r="E19" i="3"/>
  <c r="E57" i="3"/>
  <c r="E51" i="3"/>
  <c r="E155" i="3"/>
  <c r="E101" i="3"/>
  <c r="E50" i="3"/>
  <c r="E339" i="3"/>
  <c r="E15" i="3"/>
  <c r="E463" i="3"/>
  <c r="E393" i="3"/>
  <c r="E324" i="3"/>
  <c r="E13" i="3"/>
  <c r="E205" i="3"/>
  <c r="AL6" i="3"/>
  <c r="E84" i="3"/>
  <c r="E95" i="3"/>
  <c r="E364" i="3"/>
  <c r="AQ6" i="3"/>
  <c r="E170" i="3"/>
  <c r="E60" i="3"/>
  <c r="E178" i="3"/>
  <c r="J6" i="3"/>
  <c r="E427" i="3"/>
  <c r="E188" i="3"/>
  <c r="E232" i="3"/>
  <c r="E412" i="3"/>
  <c r="E26" i="3"/>
  <c r="E451" i="3"/>
  <c r="E525" i="3"/>
  <c r="E102" i="3"/>
  <c r="E129" i="3"/>
  <c r="E494" i="3"/>
  <c r="E233" i="3"/>
  <c r="E300" i="3"/>
  <c r="E389" i="3"/>
  <c r="E554" i="3"/>
  <c r="E536" i="3"/>
  <c r="E333" i="3"/>
  <c r="E40" i="3"/>
  <c r="E490" i="3"/>
  <c r="E493" i="3"/>
  <c r="E83" i="3"/>
  <c r="E342" i="3"/>
  <c r="E243" i="3"/>
  <c r="E452" i="3"/>
  <c r="E469" i="3"/>
  <c r="E140" i="3"/>
  <c r="E34" i="3"/>
  <c r="E75" i="3"/>
  <c r="E283" i="3"/>
  <c r="E67" i="3"/>
  <c r="E103" i="3"/>
  <c r="E258" i="3"/>
  <c r="E430"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AF6" i="3"/>
  <c r="E522" i="3"/>
  <c r="E18" i="3"/>
  <c r="E391" i="3"/>
  <c r="E21" i="3"/>
  <c r="E63" i="3"/>
  <c r="E184" i="3"/>
  <c r="E23" i="3"/>
  <c r="E267" i="3"/>
  <c r="E467" i="3"/>
  <c r="E349" i="3"/>
  <c r="E37" i="3"/>
  <c r="AP6" i="3"/>
  <c r="E502" i="3"/>
  <c r="E539"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E251" i="3"/>
  <c r="E235" i="3"/>
  <c r="E482" i="3"/>
  <c r="E332" i="3"/>
  <c r="E309" i="3"/>
  <c r="E68" i="3"/>
  <c r="E144" i="3"/>
  <c r="E310" i="3"/>
  <c r="E160" i="3"/>
  <c r="E409" i="3"/>
  <c r="E241" i="3"/>
  <c r="E417" i="3"/>
  <c r="E449" i="3"/>
  <c r="E575" i="3"/>
  <c r="H6" i="3"/>
  <c r="E3" i="6"/>
  <c r="J5" i="67"/>
  <c r="J24" i="67" s="1"/>
  <c r="C49" i="67"/>
  <c r="T36" i="71"/>
  <c r="D36" i="71"/>
  <c r="C26" i="71"/>
  <c r="D26" i="71" s="1"/>
  <c r="D27" i="71"/>
  <c r="E425" i="3"/>
  <c r="E76" i="3"/>
  <c r="E363" i="3"/>
  <c r="E192" i="3"/>
  <c r="E56" i="3"/>
  <c r="E435" i="3"/>
  <c r="I3" i="6"/>
  <c r="E541" i="3"/>
  <c r="R6" i="3"/>
  <c r="E199" i="3"/>
  <c r="E510" i="3"/>
  <c r="T40" i="71"/>
  <c r="D40" i="71"/>
  <c r="D56" i="71"/>
  <c r="T56" i="71"/>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F41" i="15"/>
  <c r="D21" i="71" l="1"/>
  <c r="C20" i="71"/>
  <c r="C48" i="67"/>
  <c r="C66" i="67" s="1"/>
  <c r="AC6" i="3"/>
  <c r="E6" i="3" s="1"/>
  <c r="D116" i="43"/>
  <c r="F24" i="67"/>
  <c r="C24" i="67" s="1"/>
  <c r="F22" i="11"/>
  <c r="C44" i="11" s="1"/>
  <c r="D41" i="11" s="1"/>
  <c r="F24" i="15"/>
  <c r="C24" i="15" s="1"/>
  <c r="F22" i="68"/>
  <c r="C44" i="68" s="1"/>
  <c r="D41" i="68" s="1"/>
  <c r="F25" i="12"/>
  <c r="C26" i="12" s="1"/>
  <c r="D25" i="12" s="1"/>
  <c r="F22" i="69"/>
  <c r="F41" i="69"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67"/>
  <c r="C17" i="15"/>
  <c r="F41" i="68" l="1"/>
  <c r="C26" i="69"/>
  <c r="D22" i="69" s="1"/>
  <c r="T20" i="71"/>
  <c r="D20" i="71"/>
  <c r="U20" i="71" s="1"/>
  <c r="C19" i="71"/>
  <c r="C60" i="67"/>
  <c r="C24" i="11"/>
  <c r="C25" i="11"/>
  <c r="C23" i="11"/>
  <c r="C26" i="11"/>
  <c r="D22" i="11" s="1"/>
  <c r="C26" i="68"/>
  <c r="D22" i="68" s="1"/>
  <c r="C44" i="69"/>
  <c r="D41"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C32" i="12" l="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D2" i="33"/>
  <c r="L51" i="67"/>
  <c r="Q69" i="15" l="1"/>
  <c r="Q68" i="15"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8" i="1"/>
  <c r="AO7" i="1"/>
  <c r="AO12" i="1"/>
  <c r="AO10" i="1"/>
  <c r="AO11"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D102" i="9" l="1"/>
  <c r="D21" i="9"/>
  <c r="C48" i="39"/>
  <c r="B64" i="39" s="1"/>
  <c r="F64" i="39" s="1"/>
  <c r="B6" i="70"/>
  <c r="B2" i="70" s="1"/>
  <c r="B3" i="70" s="1"/>
  <c r="B3" i="15"/>
  <c r="D10" i="71"/>
  <c r="C9" i="71"/>
  <c r="I46" i="40"/>
  <c r="J46" i="40" s="1"/>
  <c r="R43" i="40"/>
  <c r="E42" i="40"/>
  <c r="G47" i="40"/>
  <c r="H47" i="40" s="1"/>
  <c r="G46" i="40"/>
  <c r="H46" i="40" s="1"/>
  <c r="D20" i="9"/>
  <c r="B63" i="39" l="1"/>
  <c r="F63" i="39" s="1"/>
  <c r="B56" i="39"/>
  <c r="F56" i="39" s="1"/>
  <c r="D103" i="9"/>
  <c r="B59" i="39"/>
  <c r="F59" i="39" s="1"/>
  <c r="B62" i="39"/>
  <c r="F62" i="39" s="1"/>
  <c r="B57" i="39"/>
  <c r="F57" i="39" s="1"/>
  <c r="B61" i="39"/>
  <c r="F61" i="39" s="1"/>
  <c r="B60" i="39"/>
  <c r="F60" i="39" s="1"/>
  <c r="B58" i="39"/>
  <c r="F58" i="39" s="1"/>
  <c r="D9" i="71"/>
  <c r="C8" i="71"/>
  <c r="C42" i="40"/>
  <c r="C43" i="40"/>
  <c r="E47" i="40"/>
  <c r="F47" i="40" s="1"/>
  <c r="E46" i="40"/>
  <c r="F46" i="40" s="1"/>
  <c r="I47" i="40"/>
  <c r="J47" i="40" s="1"/>
  <c r="F65" i="3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s="1"/>
  <c r="C5" i="68" s="1"/>
  <c r="D7" i="71"/>
  <c r="C6" i="71"/>
  <c r="C23" i="68" l="1"/>
  <c r="C20" i="68"/>
  <c r="D6" i="71"/>
  <c r="C5" i="71"/>
  <c r="D5" i="71" s="1"/>
  <c r="M24" i="43" s="1"/>
  <c r="C28" i="68" l="1"/>
  <c r="C27" i="68" s="1"/>
  <c r="C25" i="68"/>
  <c r="C22" i="68" s="1"/>
  <c r="C31" i="68" l="1"/>
  <c r="C52" i="68" s="1"/>
  <c r="B2" i="68" s="1"/>
  <c r="C19" i="9"/>
  <c r="G19" i="9" l="1"/>
  <c r="C102" i="9"/>
  <c r="D22" i="9"/>
  <c r="C21" i="9"/>
  <c r="B3" i="68"/>
  <c r="C57" i="68"/>
  <c r="C56" i="68" s="1"/>
  <c r="D35" i="9"/>
  <c r="C20" i="9"/>
  <c r="D34" i="9"/>
  <c r="G20" i="9" l="1"/>
  <c r="C103" i="9"/>
  <c r="C32" i="9"/>
  <c r="C35" i="9" s="1"/>
  <c r="C34" i="9" s="1"/>
  <c r="G21" i="9"/>
  <c r="F118" i="9" l="1"/>
  <c r="D118" i="9"/>
  <c r="H118" i="9"/>
  <c r="C104" i="9" l="1"/>
  <c r="H4" i="81"/>
  <c r="G118" i="9"/>
  <c r="F4" i="81"/>
  <c r="D4" i="52"/>
  <c r="B47" i="72" s="1"/>
  <c r="D4" i="81"/>
  <c r="D20" i="81" s="1"/>
  <c r="H4" i="52"/>
  <c r="I118" i="9"/>
  <c r="D119" i="9"/>
  <c r="D5" i="52" s="1"/>
  <c r="B49" i="72" s="1"/>
  <c r="H119" i="9"/>
  <c r="H5" i="52" s="1"/>
  <c r="F4" i="52"/>
  <c r="B51" i="72" s="1"/>
  <c r="F119" i="9"/>
  <c r="F5" i="52" s="1"/>
  <c r="B53" i="72" s="1"/>
  <c r="H101" i="9"/>
  <c r="D14" i="74" s="1"/>
  <c r="H102" i="9" l="1"/>
  <c r="D7" i="53" s="1"/>
  <c r="B21" i="72" s="1"/>
  <c r="I4" i="81"/>
  <c r="G4" i="52"/>
  <c r="B52" i="72" s="1"/>
  <c r="G4" i="81"/>
  <c r="E12" i="81" s="1"/>
  <c r="D21" i="81"/>
  <c r="E21" i="81" s="1"/>
  <c r="E14" i="74"/>
  <c r="F14" i="74"/>
  <c r="E118" i="9"/>
  <c r="C105" i="9"/>
  <c r="I4" i="52"/>
  <c r="H107" i="9"/>
  <c r="G14" i="74" s="1"/>
  <c r="M48" i="9"/>
  <c r="D45" i="9"/>
  <c r="D5" i="53"/>
  <c r="G20" i="81" l="1"/>
  <c r="C12" i="81"/>
  <c r="C13" i="81" s="1"/>
  <c r="D13" i="81" s="1"/>
  <c r="E4" i="52"/>
  <c r="B48" i="72" s="1"/>
  <c r="E4" i="81"/>
  <c r="E20" i="81"/>
  <c r="D6" i="53"/>
  <c r="B22" i="72" s="1"/>
  <c r="B20" i="72"/>
  <c r="C78" i="9"/>
  <c r="C73" i="9" s="1"/>
  <c r="D52" i="9"/>
  <c r="C85" i="9"/>
  <c r="D55" i="9"/>
  <c r="M53" i="9" s="1"/>
  <c r="D53" i="9"/>
  <c r="C64" i="9"/>
  <c r="C63" i="9" s="1"/>
  <c r="C67" i="9" s="1"/>
  <c r="C93" i="9"/>
  <c r="C86" i="9" s="1"/>
  <c r="C72" i="9"/>
  <c r="D122" i="9"/>
  <c r="H108" i="9"/>
  <c r="D13" i="53"/>
  <c r="M49" i="9"/>
  <c r="I20" i="81" l="1"/>
  <c r="D12" i="81"/>
  <c r="G21" i="81"/>
  <c r="I21" i="81" s="1"/>
  <c r="F20" i="81"/>
  <c r="B30" i="72"/>
  <c r="D14" i="53"/>
  <c r="B32" i="72" s="1"/>
  <c r="C95" i="9"/>
  <c r="D59" i="9"/>
  <c r="M55" i="9" s="1"/>
  <c r="C68" i="9"/>
  <c r="D54" i="9" s="1"/>
  <c r="D8" i="52"/>
  <c r="D123" i="9"/>
  <c r="D9" i="52" s="1"/>
  <c r="D15" i="53"/>
  <c r="B31" i="72" s="1"/>
  <c r="L64" i="9"/>
  <c r="M64" i="9" s="1"/>
  <c r="L68" i="9"/>
  <c r="M68" i="9" s="1"/>
  <c r="L63" i="9"/>
  <c r="M63" i="9" s="1"/>
  <c r="L65" i="9"/>
  <c r="M65" i="9" s="1"/>
  <c r="L67" i="9"/>
  <c r="M67" i="9" s="1"/>
  <c r="L66" i="9"/>
  <c r="M66" i="9" s="1"/>
  <c r="C79" i="9"/>
  <c r="F21" i="81" l="1"/>
  <c r="H20" i="81"/>
  <c r="H21" i="81" s="1"/>
  <c r="M69" i="9"/>
  <c r="N69" i="9" s="1"/>
  <c r="C80" i="9"/>
  <c r="E80" i="9" s="1"/>
  <c r="E81" i="9" s="1"/>
  <c r="C96" i="9"/>
  <c r="E96" i="9" s="1"/>
  <c r="E97" i="9" s="1"/>
  <c r="C97" i="9" l="1"/>
  <c r="D58" i="9" s="1"/>
  <c r="D56" i="9" s="1"/>
  <c r="M54" i="9" s="1"/>
  <c r="N57" i="9" s="1"/>
  <c r="P57" i="9" s="1"/>
  <c r="C81" i="9"/>
  <c r="N59" i="9" l="1"/>
  <c r="N61" i="9" s="1"/>
  <c r="N58" i="9"/>
  <c r="N60" i="9" l="1"/>
  <c r="G6" i="15" l="1"/>
  <c r="F5" i="81" l="1"/>
  <c r="D5" i="81"/>
  <c r="H5" i="81"/>
  <c r="H6" i="81" s="1"/>
  <c r="I6" i="81" l="1"/>
  <c r="H7" i="81"/>
  <c r="D22" i="81"/>
  <c r="D23" i="81" s="1"/>
  <c r="E23" i="81" s="1"/>
  <c r="D6" i="81"/>
  <c r="D7" i="81" s="1"/>
  <c r="F6" i="81"/>
  <c r="G5" i="81"/>
  <c r="I5" i="81"/>
  <c r="D15" i="74"/>
  <c r="F15" i="74" l="1"/>
  <c r="E15" i="74"/>
  <c r="B5" i="74"/>
  <c r="F6" i="74" s="1"/>
  <c r="F7" i="81"/>
  <c r="G6" i="81"/>
  <c r="E22" i="81"/>
  <c r="D24" i="81"/>
  <c r="D25" i="81" s="1"/>
  <c r="E14" i="81"/>
  <c r="C14" i="81" s="1"/>
  <c r="G22" i="81"/>
  <c r="E6" i="81"/>
  <c r="E5" i="81"/>
  <c r="G15" i="74"/>
  <c r="B6" i="74" s="1"/>
  <c r="D6" i="74" l="1"/>
  <c r="C6" i="74"/>
  <c r="D5" i="74"/>
  <c r="C5" i="74"/>
  <c r="G23" i="81"/>
  <c r="I23" i="81" s="1"/>
  <c r="F22" i="81"/>
  <c r="I22" i="81"/>
  <c r="C15" i="81"/>
  <c r="D15" i="81" s="1"/>
  <c r="D14" i="81"/>
  <c r="C16" i="81" l="1"/>
  <c r="F23" i="81"/>
  <c r="F24" i="81" s="1"/>
  <c r="F25" i="81" s="1"/>
  <c r="H22" i="81"/>
  <c r="H23" i="81" l="1"/>
  <c r="H24" i="81"/>
  <c r="H25" i="8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<sst xmlns="http://schemas.openxmlformats.org/spreadsheetml/2006/main" count="15026" uniqueCount="6145">
  <si>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</si>
  <si>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</si>
  <si>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</si>
  <si>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</si>
  <si>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</si>
  <si>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</si>
  <si>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</si>
  <si>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</si>
  <si>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</si>
  <si>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</si>
  <si>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</si>
  <si>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</si>
  <si>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</si>
  <si>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</si>
  <si>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</si>
  <si>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</si>
  <si>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</si>
  <si>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</si>
  <si>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</si>
  <si>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</si>
  <si>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</si>
  <si>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</si>
  <si>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</si>
  <si>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</si>
  <si>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</si>
  <si>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</si>
  <si>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</si>
  <si>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</si>
  <si>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</si>
  <si>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</si>
  <si>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</si>
  <si>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</si>
  <si>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</si>
  <si>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</si>
  <si>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</si>
  <si>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</si>
  <si>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</si>
  <si>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</si>
  <si>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</si>
  <si>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</si>
  <si>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</si>
  <si>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</si>
  <si>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</si>
  <si>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</si>
  <si>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</si>
  <si>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</si>
  <si>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</si>
  <si>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</si>
  <si>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</si>
  <si>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</si>
  <si>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</si>
  <si>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</si>
  <si>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</si>
  <si>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</si>
  <si>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</si>
  <si>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</si>
  <si>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</si>
  <si>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</si>
  <si>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</si>
  <si>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</si>
  <si>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</si>
  <si>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</si>
  <si>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</si>
  <si>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</si>
  <si>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</si>
  <si>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</si>
  <si>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</si>
  <si>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</si>
  <si>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</si>
  <si>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</si>
  <si>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</si>
  <si>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</si>
  <si>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</si>
  <si>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</si>
  <si>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</si>
  <si>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</si>
  <si>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</si>
  <si>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</si>
  <si>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</si>
  <si>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</si>
  <si>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</si>
  <si>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</si>
  <si>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</si>
  <si>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</si>
  <si>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</si>
  <si>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</si>
  <si>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</si>
  <si>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</si>
  <si>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</si>
  <si>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</si>
  <si>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</si>
  <si>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</si>
  <si>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</si>
  <si>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</si>
  <si>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</si>
  <si>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</si>
  <si>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</si>
  <si>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</si>
  <si>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</si>
  <si>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</si>
  <si>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</si>
  <si>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</si>
  <si>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</si>
  <si>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</si>
  <si>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</si>
  <si>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</si>
  <si>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</si>
  <si>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</si>
  <si>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</si>
  <si>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</si>
  <si>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</si>
  <si>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</si>
  <si>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</si>
  <si>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</si>
  <si>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</si>
  <si>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</si>
  <si>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</si>
  <si>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</si>
  <si>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</si>
  <si>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</si>
  <si>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</si>
  <si>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</si>
  <si>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</si>
  <si>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</si>
  <si>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</si>
  <si>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</si>
  <si>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</si>
  <si>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</si>
  <si>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</si>
  <si>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</si>
  <si>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</si>
  <si>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</si>
  <si>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</si>
  <si>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</si>
  <si>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</si>
  <si>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</si>
  <si>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</si>
  <si>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</si>
  <si>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</si>
  <si>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</si>
  <si>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</si>
  <si>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</si>
  <si>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</si>
  <si>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</si>
  <si>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</si>
  <si>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</si>
  <si>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</si>
  <si>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</si>
  <si>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</si>
  <si>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</si>
  <si>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</si>
  <si>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</si>
  <si>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</si>
  <si>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</si>
  <si>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</si>
  <si>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</si>
  <si>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</si>
  <si>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</si>
  <si>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</si>
  <si>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</si>
  <si>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</si>
  <si>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</si>
  <si>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</si>
  <si>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</si>
  <si>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</si>
  <si>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</si>
  <si>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</si>
  <si>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</si>
  <si>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</si>
  <si>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</si>
  <si>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</si>
  <si>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</si>
  <si>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</si>
  <si>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</si>
  <si>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</si>
  <si>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</si>
  <si>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</si>
  <si>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</si>
  <si>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</si>
  <si>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</si>
  <si>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</si>
  <si>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</si>
  <si>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</si>
  <si>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</si>
  <si>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</si>
  <si>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</si>
  <si>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</si>
  <si>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</si>
  <si>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</si>
  <si>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</si>
  <si>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</si>
  <si>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</si>
  <si>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</si>
  <si>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</si>
  <si>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</si>
  <si>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</si>
  <si>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</si>
  <si>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</si>
  <si>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</si>
  <si>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</si>
  <si>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</si>
  <si>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</si>
  <si>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</si>
  <si>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</si>
  <si>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</si>
  <si>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</si>
  <si>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</si>
  <si>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</si>
  <si>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</si>
  <si>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</si>
  <si>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</si>
  <si>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</si>
  <si>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</si>
  <si>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</si>
  <si>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</si>
  <si>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</si>
  <si>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</si>
  <si>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</si>
  <si>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</si>
  <si>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</si>
  <si>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</si>
  <si>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</si>
  <si>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</si>
  <si>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</si>
  <si>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</si>
  <si>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</si>
  <si>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</si>
  <si>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</si>
  <si>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</si>
  <si>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</si>
  <si>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</si>
  <si>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</si>
  <si>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</si>
  <si>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</si>
  <si>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</si>
  <si>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</si>
  <si>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</si>
  <si>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</si>
  <si>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</si>
  <si>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</si>
  <si>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</si>
  <si>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</si>
  <si>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</si>
  <si>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</si>
  <si>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</si>
  <si>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</si>
  <si>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</si>
  <si>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</si>
  <si>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</si>
  <si>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</si>
  <si>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</si>
  <si>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</si>
  <si>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</si>
  <si>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</si>
  <si>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</si>
  <si>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</si>
  <si>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</si>
  <si>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</si>
  <si>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</si>
  <si>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</si>
  <si>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</si>
  <si>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</si>
  <si>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</si>
  <si>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</si>
  <si>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</si>
  <si>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</si>
  <si>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</si>
  <si>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</si>
  <si>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</si>
  <si>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</si>
  <si>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</si>
  <si>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</si>
  <si>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</si>
  <si>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</si>
  <si>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</si>
  <si>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</si>
  <si>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</si>
  <si>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</si>
  <si>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</si>
  <si>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</si>
  <si>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</si>
  <si>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</si>
  <si>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</si>
  <si>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</si>
  <si>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</si>
  <si>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</si>
  <si>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</si>
  <si>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</si>
  <si>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</si>
  <si>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</si>
  <si>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</si>
  <si>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</si>
  <si>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</si>
  <si>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</si>
  <si>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</si>
  <si>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</si>
  <si>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</si>
  <si>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</si>
  <si>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</si>
  <si>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</si>
  <si>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</si>
  <si>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</si>
  <si>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</si>
  <si>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</si>
  <si>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</si>
  <si>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</si>
  <si>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</si>
  <si>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</si>
  <si>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</si>
  <si>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</si>
  <si>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</si>
  <si>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</si>
  <si>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</si>
  <si>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</si>
  <si>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</si>
  <si>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</si>
  <si>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</si>
  <si>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</si>
  <si>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</si>
  <si>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</si>
  <si>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</si>
  <si>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</si>
  <si>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</si>
  <si>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</si>
  <si>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</si>
  <si>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</si>
  <si>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</si>
  <si>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</si>
  <si>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</si>
  <si>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</si>
  <si>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</si>
  <si>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</si>
  <si>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</si>
  <si>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</si>
  <si>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</si>
  <si>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</si>
  <si>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</si>
  <si>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</si>
  <si>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</si>
  <si>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</si>
  <si>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</si>
  <si>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</si>
  <si>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</si>
  <si>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</si>
  <si>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</si>
  <si>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</si>
  <si>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</si>
  <si>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</si>
  <si>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</si>
  <si>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</si>
  <si>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</si>
  <si>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</si>
  <si>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</si>
  <si>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</si>
  <si>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</si>
  <si>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</si>
  <si>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</si>
  <si>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</si>
  <si>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</si>
  <si>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</si>
  <si>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</si>
  <si>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</si>
  <si>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</si>
  <si>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</si>
  <si>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</si>
  <si>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</si>
  <si>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</si>
  <si>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</si>
  <si>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</si>
  <si>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</si>
  <si>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</si>
  <si>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</si>
  <si>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</si>
  <si>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</si>
  <si>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</si>
  <si>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</si>
  <si>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</si>
  <si>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</si>
  <si>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</si>
  <si>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</si>
  <si>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</si>
  <si>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</si>
  <si>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</si>
  <si>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</si>
  <si>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</si>
  <si>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</si>
  <si>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</si>
  <si>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</si>
  <si>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</si>
  <si>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</si>
  <si>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</si>
  <si>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</si>
  <si>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</si>
  <si>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</si>
  <si>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</si>
  <si>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</si>
  <si>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</si>
  <si>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</si>
  <si>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</si>
  <si>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</si>
  <si>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</si>
  <si>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</si>
  <si>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</si>
  <si>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</si>
  <si>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</si>
  <si>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</si>
  <si>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</si>
  <si>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</si>
  <si>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</si>
  <si>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</si>
  <si>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</si>
  <si>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</si>
  <si>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</si>
  <si>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</si>
  <si>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</si>
  <si>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</si>
  <si>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</si>
  <si>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</si>
  <si>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</si>
  <si>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</si>
  <si>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</si>
  <si>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</si>
  <si>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</si>
  <si>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</si>
  <si>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</si>
  <si>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</si>
  <si>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</si>
  <si>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</si>
  <si>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</si>
  <si>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</si>
  <si>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</si>
  <si>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</si>
  <si>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</si>
  <si>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</si>
  <si>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</si>
  <si>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</si>
  <si>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</si>
  <si>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</si>
  <si>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</si>
  <si>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</si>
  <si>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</si>
  <si>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</si>
  <si>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</si>
  <si>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</si>
  <si>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</si>
  <si>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</si>
  <si>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</si>
  <si>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</si>
  <si>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</si>
  <si>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</si>
  <si>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</si>
  <si>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</si>
  <si>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</si>
  <si>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</si>
  <si>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</si>
  <si>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</si>
  <si>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</si>
  <si>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</si>
  <si>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</si>
  <si>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</si>
  <si>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</si>
  <si>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</si>
  <si>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</si>
  <si>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</si>
  <si>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</si>
  <si>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</si>
  <si>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</si>
  <si>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</si>
  <si>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</si>
  <si>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</si>
  <si>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</si>
  <si>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</si>
  <si>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</si>
  <si>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</si>
  <si>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</si>
  <si>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</si>
  <si>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</si>
  <si>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</si>
  <si>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</si>
  <si>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</si>
  <si>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</si>
  <si>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</si>
  <si>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</si>
  <si>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</si>
  <si>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</si>
  <si>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</si>
  <si>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</si>
  <si>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</si>
  <si>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</si>
  <si>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</si>
  <si>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</si>
  <si>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</si>
  <si>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</si>
  <si>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</si>
  <si>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</si>
  <si>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</si>
  <si>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</si>
  <si>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</si>
  <si>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</si>
  <si>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</si>
  <si>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</si>
  <si>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</si>
  <si>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</si>
  <si>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</si>
  <si>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</si>
  <si>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</si>
  <si>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</si>
  <si>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</si>
  <si>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</si>
  <si>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</si>
  <si>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</si>
  <si>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</si>
  <si>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</si>
  <si>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</si>
  <si>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</si>
  <si>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</si>
  <si>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</si>
  <si>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</si>
  <si>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</si>
  <si>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</si>
  <si>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</si>
  <si>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</si>
  <si>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</si>
  <si>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</si>
  <si>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</si>
  <si>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</si>
  <si>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</si>
  <si>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</si>
  <si>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</si>
  <si>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</si>
  <si>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</si>
  <si>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</si>
  <si>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</si>
  <si>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</si>
  <si>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</si>
  <si>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</si>
  <si>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</si>
  <si>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</si>
  <si>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</si>
  <si>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</si>
  <si>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</si>
  <si>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</si>
  <si>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</si>
  <si>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</si>
  <si>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</si>
  <si>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</si>
  <si>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</si>
  <si>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</si>
  <si>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</si>
  <si>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</si>
  <si>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</si>
  <si>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</si>
  <si>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</si>
  <si>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</si>
  <si>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</si>
  <si>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</si>
  <si>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</si>
  <si>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</si>
  <si>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</si>
  <si>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</si>
  <si>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</si>
  <si>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</si>
  <si>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</si>
  <si>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</si>
  <si>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</si>
  <si>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</si>
  <si>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</si>
  <si>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</si>
  <si>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</si>
  <si>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</si>
  <si>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</si>
  <si>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</si>
  <si>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</si>
  <si>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</si>
  <si>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</si>
  <si>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</si>
  <si>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</si>
  <si>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</si>
  <si>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</si>
  <si>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</si>
  <si>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</si>
  <si>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</si>
  <si>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</si>
  <si>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</si>
  <si>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</si>
  <si>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</si>
  <si>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</si>
  <si>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</si>
  <si>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</si>
  <si>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</si>
  <si>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</si>
  <si>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</si>
  <si>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</si>
  <si>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</si>
  <si>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</si>
  <si>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</si>
  <si>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</si>
  <si>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</si>
  <si>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</si>
  <si>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</si>
  <si>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</si>
  <si>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</si>
  <si>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</si>
  <si>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</si>
  <si>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</si>
  <si>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</si>
  <si>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</si>
  <si>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</si>
  <si>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</si>
  <si>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</si>
  <si>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</si>
  <si>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</si>
  <si>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</si>
  <si>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</si>
  <si>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</si>
  <si>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</si>
  <si>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</si>
  <si>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</si>
  <si>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</si>
  <si>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</si>
  <si>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</si>
  <si>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</si>
  <si>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</si>
  <si>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</si>
  <si>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</si>
  <si>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</si>
  <si>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</si>
  <si>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</si>
  <si>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</si>
  <si>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</si>
  <si>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</si>
  <si>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</si>
  <si>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</si>
  <si>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</si>
  <si>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</si>
  <si>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</si>
  <si>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</si>
  <si>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</si>
  <si>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</si>
  <si>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</si>
  <si>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</si>
  <si>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</si>
  <si>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</si>
  <si>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</si>
  <si>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</si>
  <si>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</si>
  <si>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</si>
  <si>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</si>
  <si>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</si>
  <si>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</si>
  <si>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</si>
  <si>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</si>
  <si>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</si>
  <si>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</si>
  <si>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</si>
  <si>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</si>
  <si>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</si>
  <si>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</si>
  <si>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</si>
  <si>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</si>
  <si>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</si>
  <si>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</si>
  <si>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</si>
  <si>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</si>
  <si>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</si>
  <si>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</si>
  <si>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</si>
  <si>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</si>
  <si>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</si>
  <si>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</si>
  <si>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</si>
  <si>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</si>
  <si>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</si>
  <si>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</si>
  <si>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</si>
  <si>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</si>
  <si>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</si>
  <si>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</si>
  <si>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</si>
  <si>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</si>
  <si>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</si>
  <si>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</si>
  <si>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</si>
  <si>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</si>
  <si>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</si>
  <si>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</si>
  <si>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</si>
  <si>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</si>
  <si>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</si>
  <si>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</si>
  <si>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</si>
  <si>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</si>
  <si>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</si>
  <si>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</si>
  <si>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</si>
  <si>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</si>
  <si>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</si>
  <si>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</si>
  <si>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</si>
  <si>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</si>
  <si>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</si>
  <si>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</si>
  <si>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</si>
  <si>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</si>
  <si>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</si>
  <si>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</si>
  <si>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</si>
  <si>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</si>
  <si>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</si>
  <si>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</si>
  <si>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</si>
  <si>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</si>
  <si>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</si>
  <si>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</si>
  <si>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</si>
  <si>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</si>
  <si>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</si>
  <si>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</si>
  <si>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</si>
  <si>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</si>
  <si>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</si>
  <si>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</si>
  <si>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</si>
  <si>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</si>
  <si>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</si>
  <si>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</si>
  <si>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</si>
  <si>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</si>
  <si>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</si>
  <si>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</si>
  <si>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</si>
  <si>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</si>
  <si>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</si>
  <si>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</si>
  <si>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</si>
  <si>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</si>
  <si>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</si>
  <si>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</si>
  <si>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</si>
  <si>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</si>
  <si>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</si>
  <si>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</si>
  <si>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</si>
  <si>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</si>
  <si>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</si>
  <si>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</si>
  <si>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</si>
  <si>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</si>
  <si>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</si>
  <si>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</si>
  <si>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</si>
  <si>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</si>
  <si>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</si>
  <si>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</si>
  <si>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</si>
  <si>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</si>
  <si>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</si>
  <si>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</si>
  <si>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</si>
  <si>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</si>
  <si>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</si>
  <si>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</si>
  <si>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</si>
  <si>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</si>
  <si>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</si>
  <si>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</si>
  <si>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</si>
  <si>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</si>
  <si>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</si>
  <si>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</si>
  <si>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</si>
  <si>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</si>
  <si>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</si>
  <si>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</si>
  <si>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</si>
  <si>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</si>
  <si>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</si>
  <si>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</si>
  <si>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</si>
  <si>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</si>
  <si>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</si>
  <si>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</si>
  <si>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</si>
  <si>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</si>
  <si>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</si>
  <si>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</si>
  <si>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</si>
  <si>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</si>
  <si>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</si>
  <si>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</si>
  <si>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</si>
  <si>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</si>
  <si>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</si>
  <si>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</si>
  <si>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</si>
  <si>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</si>
  <si>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</si>
  <si>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</si>
  <si>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</si>
  <si>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</si>
  <si>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</si>
  <si>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</si>
  <si>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</si>
  <si>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</si>
  <si>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</si>
  <si>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</si>
  <si>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</si>
  <si>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</si>
  <si>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</si>
  <si>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</si>
  <si>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</si>
  <si>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</si>
  <si>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</si>
  <si>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</si>
  <si>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</si>
  <si>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</si>
  <si>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</si>
  <si>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</si>
  <si>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</si>
  <si>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</si>
  <si>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</si>
  <si>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</si>
  <si>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</si>
  <si>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</si>
  <si>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</si>
  <si>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</si>
  <si>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</si>
  <si>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</si>
  <si>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</si>
  <si>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</si>
  <si>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</si>
  <si>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</si>
  <si>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</si>
  <si>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</si>
  <si>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</si>
  <si>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</si>
  <si>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</si>
  <si>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</si>
  <si>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</si>
  <si>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</si>
  <si>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</si>
  <si>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</si>
  <si>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</si>
  <si>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</si>
  <si>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</si>
  <si>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</si>
  <si>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</si>
  <si>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</si>
  <si>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</si>
  <si>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</si>
  <si>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</si>
  <si>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</si>
  <si>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</si>
  <si>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</si>
  <si>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</si>
  <si>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</si>
  <si>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</si>
  <si>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</si>
  <si>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</si>
  <si>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</si>
  <si>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</si>
  <si>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</si>
  <si>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</si>
  <si>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</si>
  <si>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</si>
  <si>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</si>
  <si>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</si>
  <si>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</si>
  <si>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</si>
  <si>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</si>
  <si>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</si>
  <si>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</si>
  <si>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</si>
  <si>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</si>
  <si>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</si>
  <si>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</si>
  <si>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</si>
  <si>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</si>
  <si>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</si>
  <si>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</si>
  <si>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</si>
  <si>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</si>
  <si>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</si>
  <si>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</si>
  <si>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</si>
  <si>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</si>
  <si>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</si>
  <si>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</si>
  <si>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</si>
  <si>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</si>
  <si>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</si>
  <si>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</si>
  <si>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</si>
  <si>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</si>
  <si>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</si>
  <si>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</si>
  <si>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</si>
  <si>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</si>
  <si>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</si>
  <si>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</si>
  <si>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</si>
  <si>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</si>
  <si>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</si>
  <si>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</si>
  <si>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</si>
  <si>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</si>
  <si>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</si>
  <si>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</si>
  <si>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</si>
  <si>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</si>
  <si>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</si>
  <si>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</si>
  <si>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</si>
  <si>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</si>
  <si>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</si>
  <si>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</si>
  <si>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</si>
  <si>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</si>
  <si>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</si>
  <si>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</si>
  <si>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</si>
  <si>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</si>
  <si>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</si>
  <si>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</si>
  <si>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</si>
  <si>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</si>
  <si>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</si>
  <si>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</si>
  <si>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</si>
  <si>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</si>
  <si>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</si>
  <si>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</si>
  <si>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</si>
  <si>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</si>
  <si>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</si>
  <si>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</si>
  <si>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</si>
  <si>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</si>
  <si>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</si>
  <si>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</si>
  <si>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</si>
  <si>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</si>
  <si>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</si>
  <si>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</si>
  <si>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</si>
  <si>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</si>
  <si>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</si>
  <si>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</si>
  <si>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</si>
  <si>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</si>
  <si>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</si>
  <si>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</si>
  <si>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</si>
  <si>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</si>
  <si>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</si>
  <si>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</si>
  <si>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</si>
  <si>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</si>
  <si>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</si>
  <si>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</si>
  <si>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</si>
  <si>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</si>
  <si>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</si>
  <si>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</si>
  <si>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</si>
  <si>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</si>
  <si>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</si>
  <si>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</si>
  <si>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</si>
  <si>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</si>
  <si>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</si>
  <si>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</si>
  <si>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</si>
  <si>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</si>
  <si>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</si>
  <si>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</si>
  <si>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</si>
  <si>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</si>
  <si>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</si>
  <si>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</si>
  <si>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</si>
  <si>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</si>
  <si>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</si>
  <si>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</si>
  <si>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</si>
  <si>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</si>
  <si>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</si>
  <si>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</si>
  <si>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</si>
  <si>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</si>
  <si>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</si>
  <si>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</si>
  <si>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</si>
  <si>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</si>
  <si>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</si>
  <si>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</si>
  <si>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</si>
  <si>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</si>
  <si>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</si>
  <si>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</si>
  <si>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</si>
  <si>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</si>
  <si>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</si>
  <si>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</si>
  <si>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</si>
  <si>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</si>
  <si>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</si>
  <si>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</si>
  <si>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</si>
  <si>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</si>
  <si>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</si>
  <si>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</si>
  <si>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</si>
  <si>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</si>
  <si>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</si>
  <si>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</si>
  <si>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</si>
  <si>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</si>
  <si>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</si>
  <si>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</si>
  <si>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</si>
  <si>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</si>
  <si>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</si>
  <si>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</si>
  <si>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</si>
  <si>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</si>
  <si>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</si>
  <si>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</si>
  <si>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</si>
  <si>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</si>
  <si>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</si>
  <si>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</si>
  <si>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</si>
  <si>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</si>
  <si>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</si>
  <si>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</si>
  <si>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</si>
  <si>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</si>
  <si>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</si>
  <si>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</si>
  <si>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</si>
  <si>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</si>
  <si>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</si>
  <si>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</si>
  <si>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</si>
  <si>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</si>
  <si>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</si>
  <si>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</si>
  <si>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</si>
  <si>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</si>
  <si>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</si>
  <si>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</si>
  <si>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</si>
  <si>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</si>
  <si>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</si>
  <si>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</si>
  <si>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</si>
  <si>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</si>
  <si>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</si>
  <si>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</si>
  <si>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</si>
  <si>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</si>
  <si>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</si>
  <si>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</si>
  <si>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</si>
  <si>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</si>
  <si>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</si>
  <si>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</si>
  <si>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</si>
  <si>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</si>
  <si>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</si>
  <si>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</si>
  <si>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</si>
  <si>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</si>
  <si>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</si>
  <si>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</si>
  <si>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</si>
  <si>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</si>
  <si>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</si>
  <si>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</si>
  <si>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</si>
  <si>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</si>
  <si>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</si>
  <si>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</si>
  <si>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</si>
  <si>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</si>
  <si>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</si>
  <si>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</si>
  <si>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</si>
  <si>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</si>
  <si>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</si>
  <si>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</si>
  <si>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</si>
  <si>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</si>
  <si>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</si>
  <si>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</si>
  <si>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</si>
  <si>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</si>
  <si>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</si>
  <si>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</si>
  <si>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</si>
  <si>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</si>
  <si>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</si>
  <si>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</si>
  <si>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</si>
  <si>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</si>
  <si>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</si>
  <si>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</si>
  <si>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</si>
  <si>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</si>
  <si>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</si>
  <si>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</si>
  <si>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</si>
  <si>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</si>
  <si>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</si>
  <si>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</si>
  <si>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</si>
  <si>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</si>
  <si>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</si>
  <si>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</si>
  <si>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</si>
  <si>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</si>
  <si>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</si>
  <si>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</si>
  <si>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</si>
  <si>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</si>
  <si>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</si>
  <si>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</si>
  <si>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</si>
  <si>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</si>
  <si>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</si>
  <si>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</si>
  <si>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</si>
  <si>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</si>
  <si>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</si>
  <si>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</si>
  <si>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</si>
  <si>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</si>
  <si>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</si>
  <si>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</si>
  <si>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</si>
  <si>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</si>
  <si>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</si>
  <si>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</si>
  <si>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</si>
  <si>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</si>
  <si>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</si>
  <si>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</si>
  <si>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</si>
  <si>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</si>
  <si>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</si>
  <si>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</si>
  <si>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</si>
  <si>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</si>
  <si>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</si>
  <si>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</si>
  <si>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</si>
  <si>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</si>
  <si>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</si>
  <si>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</si>
  <si>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</si>
  <si>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</si>
  <si>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</si>
  <si>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</si>
  <si>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</si>
  <si>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</si>
  <si>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</si>
  <si>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</si>
  <si>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</si>
  <si>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</si>
  <si>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</si>
  <si>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</si>
  <si>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</si>
  <si>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</si>
  <si>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</si>
  <si>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</si>
  <si>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</si>
  <si>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</si>
  <si>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</si>
  <si>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</si>
  <si>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</si>
  <si>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</si>
  <si>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</si>
  <si>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</si>
  <si>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</si>
  <si>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</si>
  <si>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</si>
  <si>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</si>
  <si>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</si>
  <si>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</si>
  <si>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</si>
  <si>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</si>
  <si>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</si>
  <si>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</si>
  <si>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</si>
  <si>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</si>
  <si>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</si>
  <si>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</si>
  <si>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</si>
  <si>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</si>
  <si>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</si>
  <si>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</si>
  <si>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</si>
  <si>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</si>
  <si>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</si>
  <si>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</si>
  <si>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</si>
  <si>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</si>
  <si>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</si>
  <si>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</si>
  <si>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</si>
  <si>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</si>
  <si>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</si>
  <si>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</si>
  <si>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</si>
  <si>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</si>
  <si>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</si>
  <si>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</si>
  <si>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</si>
  <si>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</si>
  <si>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</si>
  <si>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</si>
  <si>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</si>
  <si>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</si>
  <si>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</si>
  <si>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</si>
  <si>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</si>
  <si>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</si>
  <si>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</si>
  <si>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</si>
  <si>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</si>
  <si>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</si>
  <si>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</si>
  <si>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</si>
  <si>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</si>
  <si>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</si>
  <si>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</si>
  <si>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</si>
  <si>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</si>
  <si>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</si>
  <si>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</si>
  <si>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</si>
  <si>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</si>
  <si>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</si>
  <si>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</si>
  <si>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</si>
  <si>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</si>
  <si>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</si>
  <si>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</si>
  <si>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</si>
  <si>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</si>
  <si>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</si>
  <si>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</si>
  <si>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</si>
  <si>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</si>
  <si>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</si>
  <si>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</si>
  <si>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</si>
  <si>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</si>
  <si>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</si>
  <si>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</si>
  <si>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</si>
  <si>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</si>
  <si>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</si>
  <si>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</si>
  <si>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</si>
  <si>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</si>
  <si>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</si>
  <si>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</si>
  <si>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</si>
  <si>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</si>
  <si>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</si>
  <si>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</si>
  <si>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</si>
  <si>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</si>
  <si>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</si>
  <si>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</si>
  <si>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</si>
  <si>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</si>
  <si>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</si>
  <si>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</si>
  <si>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</si>
  <si>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</si>
  <si>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</si>
  <si>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</si>
  <si>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</si>
  <si>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</si>
  <si>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</si>
  <si>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</si>
  <si>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</si>
  <si>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</si>
  <si>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</si>
  <si>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</si>
  <si>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</si>
  <si>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</si>
  <si>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</si>
  <si>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</si>
  <si>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</si>
  <si>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</si>
  <si>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</si>
  <si>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</si>
  <si>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</si>
  <si>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</si>
  <si>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</si>
  <si>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</si>
  <si>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</si>
  <si>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</si>
  <si>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</si>
  <si>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</si>
  <si>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</si>
  <si>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</si>
  <si>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</si>
  <si>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</si>
  <si>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</si>
  <si>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</si>
  <si>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</si>
  <si>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</si>
  <si>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</si>
  <si>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</si>
  <si>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</si>
  <si>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</si>
  <si>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</si>
  <si>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</si>
  <si>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</si>
  <si>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</si>
  <si>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</si>
  <si>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</si>
  <si>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</si>
  <si>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</si>
  <si>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</si>
  <si>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</si>
  <si>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</si>
  <si>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</si>
  <si>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</si>
  <si>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</si>
  <si>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</si>
  <si>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</si>
  <si>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</si>
  <si>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</si>
  <si>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</si>
  <si>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</si>
  <si>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</si>
  <si>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</si>
  <si>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</si>
  <si>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</si>
  <si>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</si>
  <si>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</si>
  <si>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</si>
  <si>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</si>
  <si>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</si>
  <si>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</si>
  <si>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</si>
  <si>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</si>
  <si>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</si>
  <si>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</si>
  <si>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</si>
  <si>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</si>
  <si>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</si>
  <si>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</si>
  <si>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</si>
  <si>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</si>
  <si>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</si>
  <si>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</si>
  <si>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</si>
  <si>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</si>
  <si>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</si>
  <si>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</si>
  <si>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</si>
  <si>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</si>
  <si>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</si>
  <si>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</si>
  <si>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</si>
  <si>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</si>
  <si>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</si>
  <si>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</si>
  <si>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</si>
  <si>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</si>
  <si>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</si>
  <si>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</si>
  <si>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</si>
  <si>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</si>
  <si>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</si>
  <si>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</si>
  <si>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</si>
  <si>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</si>
  <si>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</si>
  <si>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</si>
  <si>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</si>
  <si>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</si>
  <si>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</si>
  <si>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</si>
  <si>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</si>
  <si>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</si>
  <si>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</si>
  <si>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</si>
  <si>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</si>
  <si>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</si>
  <si>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</si>
  <si>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</si>
  <si>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</si>
  <si>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</si>
  <si>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</si>
  <si>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</si>
  <si>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</si>
  <si>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</si>
  <si>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</si>
  <si>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</si>
  <si>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</si>
  <si>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</si>
  <si>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</si>
  <si>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</si>
  <si>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</si>
  <si>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</si>
  <si>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</si>
  <si>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</si>
  <si>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</si>
  <si>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</si>
  <si>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</si>
  <si>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</si>
  <si>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</si>
  <si>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</si>
  <si>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</si>
  <si>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</si>
  <si>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</si>
  <si>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</si>
  <si>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</si>
  <si>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</si>
  <si>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</si>
  <si>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</si>
  <si>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</si>
  <si>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</si>
  <si>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</si>
  <si>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</si>
  <si>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</si>
  <si>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</si>
  <si>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</si>
  <si>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</si>
  <si>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</si>
  <si>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</si>
  <si>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</si>
  <si>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</si>
  <si>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</si>
  <si>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</si>
  <si>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</si>
  <si>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</si>
  <si>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</si>
  <si>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</si>
  <si>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</si>
  <si>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</si>
  <si>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</si>
  <si>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</si>
  <si>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</si>
  <si>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</si>
  <si>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</si>
  <si>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</si>
  <si>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</si>
  <si>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</si>
  <si>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</si>
  <si>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</si>
  <si>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</si>
  <si>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</si>
  <si>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</si>
  <si>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</si>
  <si>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</si>
  <si>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</si>
  <si>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</si>
  <si>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</si>
  <si>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</si>
  <si>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</si>
  <si>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</si>
  <si>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</si>
  <si>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</si>
  <si>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</si>
  <si>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</si>
  <si>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</si>
  <si>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</si>
  <si>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</si>
  <si>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</si>
  <si>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</si>
  <si>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</si>
  <si>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</si>
  <si>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</si>
  <si>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</si>
  <si>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</si>
  <si>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</si>
  <si>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</si>
  <si>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</si>
  <si>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</si>
  <si>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</si>
  <si>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</si>
  <si>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</si>
  <si>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</si>
  <si>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</si>
  <si>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</si>
  <si>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</si>
  <si>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</si>
  <si>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</si>
  <si>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</si>
  <si>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</si>
  <si>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</si>
  <si>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</si>
  <si>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</si>
  <si>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</si>
  <si>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</si>
  <si>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</si>
  <si>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</si>
  <si>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</si>
  <si>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</si>
  <si>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</si>
  <si>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</si>
  <si>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</si>
  <si>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</si>
  <si>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</si>
  <si>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</si>
  <si>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</si>
  <si>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</si>
  <si>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</si>
  <si>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</si>
  <si>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</si>
  <si>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</si>
  <si>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</si>
  <si>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</si>
  <si>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</si>
  <si>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</si>
  <si>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</si>
  <si>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</si>
  <si>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</si>
  <si>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</si>
  <si>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</si>
  <si>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</si>
  <si>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</si>
  <si>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</si>
  <si>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</si>
  <si>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</si>
  <si>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</si>
  <si>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</si>
  <si>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</si>
  <si>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</si>
  <si>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</si>
  <si>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</si>
  <si>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</si>
  <si>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</si>
  <si>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</si>
  <si>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</si>
  <si>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</si>
  <si>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</si>
  <si>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</si>
  <si>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</si>
  <si>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</si>
  <si>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</si>
  <si>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</si>
  <si>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</si>
  <si>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</si>
  <si>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</si>
  <si>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</si>
  <si>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</si>
  <si>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</si>
  <si>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</si>
  <si>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</si>
  <si>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</si>
  <si>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</si>
  <si>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</si>
  <si>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</si>
  <si>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</si>
  <si>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</si>
  <si>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</si>
  <si>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</si>
  <si>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</si>
  <si>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</si>
  <si>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</si>
  <si>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</si>
  <si>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</si>
  <si>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</si>
  <si>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</si>
  <si>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</si>
  <si>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</si>
  <si>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</si>
  <si>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</si>
  <si>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</si>
  <si>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</si>
  <si>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</si>
  <si>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</si>
  <si>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</si>
  <si>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</si>
  <si>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</si>
  <si>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</si>
  <si>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</si>
  <si>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</si>
  <si>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</si>
  <si>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</si>
  <si>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</si>
  <si>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</si>
  <si>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</si>
  <si>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</si>
  <si>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</si>
  <si>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</si>
  <si>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</si>
  <si>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</si>
  <si>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</si>
  <si>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</si>
  <si>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</si>
  <si>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</si>
  <si>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</si>
  <si>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</si>
  <si>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</si>
  <si>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</si>
  <si>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</si>
  <si>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</si>
  <si>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</si>
  <si>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</si>
  <si>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</si>
  <si>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</si>
  <si>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</si>
  <si>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</si>
  <si>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</si>
  <si>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</si>
  <si>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</si>
  <si>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</si>
  <si>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</si>
  <si>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</si>
  <si>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</si>
  <si>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</si>
  <si>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</si>
  <si>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</si>
  <si>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</si>
  <si>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</si>
  <si>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</si>
  <si>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</si>
  <si>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</si>
  <si>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</si>
  <si>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</si>
  <si>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</si>
  <si>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</si>
  <si>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</si>
  <si>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</si>
  <si>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</si>
  <si>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</si>
  <si>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</si>
  <si>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</si>
  <si>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</si>
  <si>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</si>
  <si>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</si>
  <si>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</si>
  <si>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</si>
  <si>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</si>
  <si>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</si>
  <si>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</si>
  <si>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</si>
  <si>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</si>
  <si>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</si>
  <si>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</si>
  <si>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</si>
  <si>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</si>
  <si>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</si>
  <si>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</si>
  <si>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</si>
  <si>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</si>
  <si>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</si>
  <si>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</si>
  <si>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</si>
  <si>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</si>
  <si>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</si>
  <si>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</si>
  <si>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</si>
  <si>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</si>
  <si>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</si>
  <si>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</si>
  <si>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</si>
  <si>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</si>
  <si>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</si>
  <si>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</si>
  <si>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</si>
  <si>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</si>
  <si>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</si>
  <si>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</si>
  <si>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</si>
  <si>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</si>
  <si>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</si>
  <si>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</si>
  <si>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</si>
  <si>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</si>
  <si>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</si>
  <si>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</si>
  <si>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</si>
  <si>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</si>
  <si>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</si>
  <si>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</si>
  <si>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</si>
  <si>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</si>
  <si>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</si>
  <si>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</si>
  <si>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</si>
  <si>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</si>
  <si>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</si>
  <si>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</si>
  <si>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</si>
  <si>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</si>
  <si>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</si>
  <si>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</si>
  <si>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</si>
  <si>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</si>
  <si>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</si>
  <si>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</si>
  <si>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</si>
  <si>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</si>
  <si>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</si>
  <si>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</si>
  <si>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</si>
  <si>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</si>
  <si>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</si>
  <si>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</si>
  <si>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</si>
  <si>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</si>
  <si>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</si>
  <si>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</si>
  <si>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</si>
  <si>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</si>
  <si>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</si>
  <si>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</si>
  <si>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</si>
  <si>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</si>
  <si>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</si>
  <si>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</si>
  <si>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</si>
  <si>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</si>
  <si>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</si>
  <si>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</si>
  <si>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</si>
  <si>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</si>
  <si>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</si>
  <si>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</si>
  <si>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</si>
  <si>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</si>
  <si>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</si>
  <si>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</si>
  <si>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</si>
  <si>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</si>
  <si>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</si>
  <si>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</si>
  <si>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</si>
  <si>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</si>
  <si>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</si>
  <si>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</si>
  <si>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</si>
  <si>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</si>
  <si>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</si>
  <si>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</si>
  <si>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</si>
  <si>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</si>
  <si>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</si>
  <si>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</si>
  <si>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</si>
  <si>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</si>
  <si>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</si>
  <si>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</si>
  <si>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</si>
  <si>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</si>
  <si>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</si>
  <si>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</si>
  <si>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</si>
  <si>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</si>
  <si>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</si>
  <si>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</si>
  <si>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</si>
  <si>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</si>
  <si>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</si>
  <si>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</si>
  <si>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</si>
  <si>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</si>
  <si>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</si>
  <si>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</si>
  <si>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</si>
  <si>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</si>
  <si>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</si>
  <si>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</si>
  <si>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</si>
  <si>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</si>
  <si>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</si>
  <si>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</si>
  <si>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</si>
  <si>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</si>
  <si>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</si>
  <si>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</si>
  <si>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</si>
  <si>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</si>
  <si>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</si>
  <si>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</si>
  <si>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</si>
  <si>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</si>
  <si>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</si>
  <si>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</si>
  <si>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</si>
  <si>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</si>
  <si>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</si>
  <si>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</si>
  <si>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</si>
  <si>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</si>
  <si>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</si>
  <si>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</si>
  <si>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</si>
  <si>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</si>
  <si>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</si>
  <si>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</si>
  <si>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</si>
  <si>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</si>
  <si>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</si>
  <si>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</si>
  <si>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</si>
  <si>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</si>
  <si>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</si>
  <si>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</si>
  <si>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</si>
  <si>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</si>
  <si>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</si>
  <si>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</si>
  <si>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</si>
  <si>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</si>
  <si>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</si>
  <si>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</si>
  <si>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</si>
  <si>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</si>
  <si>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</si>
  <si>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</si>
  <si>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</si>
  <si>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</si>
  <si>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</si>
  <si>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</si>
  <si>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</si>
  <si>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</si>
  <si>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</si>
  <si>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</si>
  <si>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</si>
  <si>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</si>
  <si>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</si>
  <si>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</si>
  <si>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</si>
  <si>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</si>
  <si>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</si>
  <si>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</si>
  <si>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</si>
  <si>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</si>
  <si>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</si>
  <si>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</si>
  <si>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</si>
  <si>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</si>
  <si>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</si>
  <si>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</si>
  <si>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</si>
  <si>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</si>
  <si>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</si>
  <si>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</si>
  <si>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</si>
  <si>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</si>
  <si>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</si>
  <si>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</si>
  <si>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</si>
  <si>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</si>
  <si>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</si>
  <si>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</si>
  <si>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</si>
  <si>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</si>
  <si>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</si>
  <si>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</si>
  <si>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</si>
  <si>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</si>
  <si>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</si>
  <si>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</si>
  <si>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</si>
  <si>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</si>
  <si>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</si>
  <si>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</si>
  <si>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</si>
  <si>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</si>
  <si>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</si>
  <si>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</si>
  <si>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</si>
  <si>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</si>
  <si>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</si>
  <si>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</si>
  <si>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</si>
  <si>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</si>
  <si>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</si>
  <si>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</si>
  <si>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</si>
  <si>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</si>
  <si>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</si>
  <si>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</si>
  <si>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</si>
  <si>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</si>
  <si>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</si>
  <si>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</si>
  <si>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</si>
  <si>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</si>
  <si>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</si>
  <si>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</si>
  <si>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</si>
  <si>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</si>
  <si>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</si>
  <si>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</si>
  <si>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</si>
  <si>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</si>
  <si>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</si>
  <si>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</si>
  <si>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</si>
  <si>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</si>
  <si>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</si>
  <si>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</si>
  <si>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</si>
  <si>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</si>
  <si>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</si>
  <si>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</si>
  <si>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</si>
  <si>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</si>
  <si>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</si>
  <si>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</si>
  <si>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</si>
  <si>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</si>
  <si>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</si>
  <si>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</si>
  <si>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</si>
  <si>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</si>
  <si>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</si>
  <si>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</si>
  <si>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</si>
  <si>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</si>
  <si>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</si>
  <si>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</si>
  <si>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</si>
  <si>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</si>
  <si>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</si>
  <si>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</si>
  <si>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</si>
  <si>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</si>
  <si>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</si>
  <si>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</si>
  <si>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</si>
  <si>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</si>
  <si>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</si>
  <si>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</si>
  <si>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</si>
  <si>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</si>
  <si>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</si>
  <si>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</si>
  <si>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</si>
  <si>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</si>
  <si>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</si>
  <si>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</si>
  <si>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</si>
  <si>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</si>
  <si>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</si>
  <si>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</si>
  <si>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</si>
  <si>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</si>
  <si>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</si>
  <si>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</si>
  <si>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</si>
  <si>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</si>
  <si>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</si>
  <si>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</si>
  <si>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</si>
  <si>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</si>
  <si>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</si>
  <si>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</si>
  <si>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</si>
  <si>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</si>
  <si>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</si>
  <si>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</si>
  <si>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</si>
  <si>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</si>
  <si>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</si>
  <si>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</si>
  <si>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</si>
  <si>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</si>
  <si>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</si>
  <si>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</si>
  <si>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</si>
  <si>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</si>
  <si>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</si>
  <si>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</si>
  <si>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</si>
  <si>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</si>
  <si>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</si>
  <si>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</si>
  <si>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</si>
  <si>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</si>
  <si>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</si>
  <si>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</si>
  <si>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</si>
  <si>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</si>
  <si>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</si>
  <si>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</si>
  <si>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</si>
  <si>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</si>
  <si>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</si>
  <si>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</si>
  <si>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</si>
  <si>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</si>
  <si>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</si>
  <si>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</si>
  <si>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</si>
  <si>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</si>
  <si>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</si>
  <si>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</si>
  <si>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</si>
  <si>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</si>
  <si>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</si>
  <si>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</si>
  <si>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</si>
  <si>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</si>
  <si>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</si>
  <si>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</si>
  <si>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</si>
  <si>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</si>
  <si>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</si>
  <si>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</si>
  <si>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</si>
  <si>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</si>
  <si>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</si>
  <si>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</si>
  <si>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</si>
  <si>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</si>
  <si>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</si>
  <si>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</si>
  <si>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</si>
  <si>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</si>
  <si>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</si>
  <si>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</si>
  <si>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</si>
  <si>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</si>
  <si>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</si>
  <si>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</si>
  <si>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</si>
  <si>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</si>
  <si>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</si>
  <si>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</si>
  <si>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</si>
  <si>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</si>
  <si>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</si>
  <si>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</si>
  <si>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</si>
  <si>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</si>
  <si>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</si>
  <si>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</si>
  <si>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</si>
  <si>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</si>
  <si>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</si>
  <si>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</si>
  <si>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</si>
  <si>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</si>
  <si>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</si>
  <si>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</si>
  <si>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</si>
  <si>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</si>
  <si>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</si>
  <si>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</si>
  <si>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</si>
  <si>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</si>
  <si>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</si>
  <si>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</si>
  <si>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</si>
  <si>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</si>
  <si>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</si>
  <si>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</si>
  <si>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</si>
  <si>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</si>
  <si>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</si>
  <si>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</si>
  <si>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</si>
  <si>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</si>
  <si>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</si>
  <si>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</si>
  <si>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</si>
  <si>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</si>
  <si>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</si>
  <si>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</si>
  <si>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</si>
  <si>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</si>
  <si>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</si>
  <si>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</si>
  <si>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</si>
  <si>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</si>
  <si>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</si>
  <si>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</si>
  <si>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</si>
  <si>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</si>
  <si>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</si>
  <si>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</si>
  <si>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</si>
  <si>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</si>
  <si>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</si>
  <si>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</si>
  <si>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</si>
  <si>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</si>
  <si>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</si>
  <si>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</si>
  <si>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</si>
  <si>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</si>
  <si>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</si>
  <si>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</si>
  <si>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</si>
  <si>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</si>
  <si>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</si>
  <si>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</si>
  <si>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</si>
  <si>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</si>
  <si>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</si>
  <si>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</si>
  <si>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</si>
  <si>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</si>
  <si>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</si>
  <si>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</si>
  <si>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</si>
  <si>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</si>
  <si>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</si>
  <si>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</si>
  <si>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</si>
  <si>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</si>
  <si>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</si>
  <si>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</si>
  <si>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</si>
  <si>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</si>
  <si>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</si>
  <si>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</si>
  <si>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</si>
  <si>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</si>
  <si>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</si>
  <si>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</si>
  <si>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</si>
  <si>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</si>
  <si>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</si>
  <si>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</si>
  <si>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</si>
  <si>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</si>
  <si>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</si>
  <si>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</si>
  <si>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</si>
  <si>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</si>
  <si>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</si>
  <si>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</si>
  <si>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</si>
  <si>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</si>
  <si>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</si>
  <si>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</si>
  <si>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</si>
  <si>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</si>
  <si>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</si>
  <si>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</si>
  <si>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</si>
  <si>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</si>
  <si>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</si>
  <si>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</si>
  <si>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</si>
  <si>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</si>
  <si>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</si>
  <si>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</si>
  <si>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</si>
  <si>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</si>
  <si>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</si>
  <si>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</si>
  <si>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</si>
  <si>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</si>
  <si>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</si>
  <si>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</si>
  <si>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</si>
  <si>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</si>
  <si>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</si>
  <si>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</si>
  <si>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</si>
  <si>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</si>
  <si>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</si>
  <si>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</si>
  <si>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</si>
  <si>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</si>
  <si>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</si>
  <si>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</si>
  <si>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</si>
  <si>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</si>
  <si>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</si>
  <si>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</si>
  <si>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</si>
  <si>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</si>
  <si>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</si>
  <si>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</si>
  <si>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</si>
  <si>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</si>
  <si>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</si>
  <si>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</si>
  <si>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</si>
  <si>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</si>
  <si>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</si>
  <si>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</si>
  <si>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</si>
  <si>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</si>
  <si>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</si>
  <si>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</si>
  <si>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</si>
  <si>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</si>
  <si>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</si>
  <si>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</si>
  <si>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</si>
  <si>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</si>
  <si>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</si>
  <si>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</si>
  <si>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</si>
  <si>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</si>
  <si>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</si>
  <si>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</si>
  <si>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</si>
  <si>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</si>
  <si>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</si>
  <si>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</si>
  <si>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</si>
  <si>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</si>
  <si>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</si>
  <si>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</si>
  <si>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</si>
  <si>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</si>
  <si>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</si>
  <si>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</si>
  <si>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</si>
  <si>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</si>
  <si>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</si>
  <si>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</si>
  <si>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</si>
  <si>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</si>
  <si>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</si>
  <si>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</si>
  <si>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</si>
  <si>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</si>
  <si>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</si>
  <si>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</si>
  <si>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</si>
  <si>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</si>
  <si>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</si>
  <si>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</si>
  <si>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</si>
  <si>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</si>
  <si>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</si>
  <si>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</si>
  <si>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</si>
  <si>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</si>
  <si>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</si>
  <si>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</si>
  <si>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</si>
  <si>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</si>
  <si>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</si>
  <si>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</si>
  <si>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</si>
  <si>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</si>
  <si>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</si>
  <si>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</si>
  <si>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</si>
  <si>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</si>
  <si>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</si>
  <si>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</si>
  <si>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</si>
  <si>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</si>
  <si>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</si>
  <si>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</si>
  <si>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</si>
  <si>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</si>
  <si>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</si>
  <si>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</si>
  <si>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</si>
  <si>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</si>
  <si>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</si>
  <si>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</si>
  <si>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</si>
  <si>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</si>
  <si>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</si>
  <si>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</si>
  <si>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</si>
  <si>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</si>
  <si>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</si>
  <si>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</si>
  <si>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</si>
  <si>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</si>
  <si>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</si>
  <si>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</si>
  <si>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</si>
  <si>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</si>
  <si>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</si>
  <si>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</si>
  <si>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</si>
  <si>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</si>
  <si>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</si>
  <si>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</si>
  <si>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</si>
  <si>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</si>
  <si>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</si>
  <si>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</si>
  <si>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</si>
  <si>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</si>
  <si>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</si>
  <si>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</si>
  <si>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</si>
  <si>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</si>
  <si>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</si>
  <si>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</si>
  <si>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</si>
  <si>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</si>
  <si>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</si>
  <si>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</si>
  <si>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</si>
  <si>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</si>
  <si>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</si>
  <si>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</si>
  <si>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</si>
  <si>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</si>
  <si>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</si>
  <si>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</si>
  <si>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</si>
  <si>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</si>
  <si>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</si>
  <si>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</si>
  <si>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</si>
  <si>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</si>
  <si>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</si>
  <si>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</si>
  <si>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</si>
  <si>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</si>
  <si>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</si>
  <si>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</si>
  <si>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</si>
  <si>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</si>
  <si>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</si>
  <si>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</si>
  <si>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</si>
  <si>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</si>
  <si>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</si>
  <si>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</si>
  <si>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</si>
  <si>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</si>
  <si>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</si>
  <si>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</si>
  <si>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</si>
  <si>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</si>
  <si>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</si>
  <si>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</si>
  <si>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</si>
  <si>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</si>
  <si>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</si>
  <si>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</si>
  <si>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</si>
  <si>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</si>
  <si>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</si>
  <si>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</si>
  <si>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</si>
  <si>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</si>
  <si>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</si>
  <si>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</si>
  <si>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</si>
  <si>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</si>
  <si>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</si>
  <si>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</si>
  <si>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</si>
  <si>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</si>
  <si>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</si>
  <si>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</si>
  <si>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</si>
  <si>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</si>
  <si>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</si>
  <si>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</si>
  <si>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</si>
  <si>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</si>
  <si>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</si>
  <si>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</si>
  <si>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</si>
  <si>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</si>
  <si>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</si>
  <si>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</si>
  <si>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</si>
  <si>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</si>
  <si>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</si>
  <si>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</si>
  <si>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</si>
  <si>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</si>
  <si>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</si>
  <si>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</si>
  <si>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</si>
  <si>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</si>
  <si>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</si>
  <si>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</si>
  <si>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</si>
  <si>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</si>
  <si>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</si>
  <si>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</si>
  <si>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</si>
  <si>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</si>
  <si>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</si>
  <si>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</si>
  <si>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</si>
  <si>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</si>
  <si>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</si>
  <si>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</si>
  <si>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</si>
  <si>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</si>
  <si>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</si>
  <si>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</si>
  <si>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</si>
  <si>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</si>
  <si>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</si>
  <si>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</si>
  <si>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</si>
  <si>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</si>
  <si>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</si>
  <si>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</si>
  <si>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</si>
  <si>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</si>
  <si>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</si>
  <si>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</si>
  <si>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</si>
  <si>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</si>
  <si>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</si>
  <si>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</si>
  <si>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</si>
  <si>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</si>
  <si>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</si>
  <si>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</si>
  <si>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</si>
  <si>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</si>
  <si>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</si>
  <si>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</si>
  <si>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</si>
  <si>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</si>
  <si>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</si>
  <si>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</si>
  <si>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</si>
  <si>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</si>
  <si>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</si>
  <si>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</si>
  <si>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</si>
  <si>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</si>
  <si>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</si>
  <si>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</si>
  <si>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</si>
  <si>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</si>
  <si>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</si>
  <si>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</si>
  <si>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</si>
  <si>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</si>
  <si>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</si>
  <si>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</si>
  <si>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</si>
  <si>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</si>
  <si>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</si>
  <si>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</si>
  <si>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</si>
  <si>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</si>
  <si>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</si>
  <si>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</si>
  <si>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</si>
  <si>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</si>
  <si>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</si>
  <si>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</si>
  <si>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</si>
  <si>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</si>
  <si>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</si>
  <si>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</si>
  <si>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</si>
  <si>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</si>
  <si>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</si>
  <si>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</si>
  <si>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</si>
  <si>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</si>
  <si>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</si>
  <si>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</si>
  <si>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</si>
  <si>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</si>
  <si>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</si>
  <si>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</si>
  <si>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</si>
  <si>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</si>
  <si>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</si>
  <si>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</si>
  <si>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</si>
  <si>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</si>
  <si>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</si>
  <si>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</si>
  <si>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</si>
  <si>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</si>
  <si>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</si>
  <si>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</si>
  <si>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</si>
  <si>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</si>
  <si>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</si>
  <si>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</si>
  <si>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</si>
  <si>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</si>
  <si>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</si>
  <si>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</si>
  <si>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</si>
  <si>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</si>
  <si>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</si>
  <si>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</si>
  <si>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</si>
  <si>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</si>
  <si>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</si>
  <si>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</si>
  <si>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</si>
  <si>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</si>
  <si>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</si>
  <si>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</si>
  <si>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</si>
  <si>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</si>
  <si>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</si>
  <si>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</si>
  <si>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</si>
  <si>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</si>
  <si>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</si>
  <si>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</si>
  <si>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</si>
  <si>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</si>
  <si>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</si>
  <si>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</si>
  <si>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</si>
  <si>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</si>
  <si>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</si>
  <si>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</si>
  <si>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</si>
  <si>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</si>
  <si>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</si>
  <si>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</si>
  <si>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</si>
  <si>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</si>
  <si>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</si>
  <si>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</si>
  <si>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</si>
  <si>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</si>
  <si>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</si>
  <si>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</si>
  <si>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</si>
  <si>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</si>
  <si>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</si>
  <si>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</si>
  <si>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</si>
  <si>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</si>
  <si>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</si>
  <si>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</si>
  <si>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</si>
  <si>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</si>
  <si>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</si>
  <si>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</si>
  <si>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</si>
  <si>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</si>
  <si>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</si>
  <si>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</si>
  <si>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</si>
  <si>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</si>
  <si>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</si>
  <si>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</si>
  <si>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</si>
  <si>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</si>
  <si>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</si>
  <si>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</si>
  <si>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</si>
  <si>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</si>
  <si>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</si>
  <si>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</si>
  <si>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</si>
  <si>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</si>
  <si>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</si>
  <si>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</si>
  <si>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</si>
  <si>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</si>
  <si>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</si>
  <si>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</si>
  <si>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</si>
  <si>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</si>
  <si>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</si>
  <si>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</si>
  <si>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</si>
  <si>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</si>
  <si>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</si>
  <si>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</si>
  <si>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</si>
  <si>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</si>
  <si>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</si>
  <si>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</si>
  <si>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</si>
  <si>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</si>
  <si>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</si>
  <si>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</si>
  <si>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</si>
  <si>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</si>
  <si>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</si>
  <si>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</si>
  <si>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</si>
  <si>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</si>
  <si>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</si>
  <si>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</si>
  <si>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</si>
  <si>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</si>
  <si>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</si>
  <si>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</si>
  <si>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</si>
  <si>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</si>
  <si>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</si>
  <si>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</si>
  <si>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</si>
  <si>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</si>
  <si>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</si>
  <si>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</si>
  <si>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</si>
  <si>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</si>
  <si>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</si>
  <si>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</si>
  <si>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</si>
  <si>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</si>
  <si>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</si>
  <si>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</si>
  <si>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</si>
  <si>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</si>
  <si>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</si>
  <si>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</si>
  <si>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</si>
  <si>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</si>
  <si>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</si>
  <si>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</si>
  <si>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</si>
  <si>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</si>
  <si>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</si>
  <si>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</si>
  <si>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</si>
  <si>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</si>
  <si>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</si>
  <si>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</si>
  <si>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</si>
  <si>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</si>
  <si>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</si>
  <si>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</si>
  <si>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</si>
  <si>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</si>
  <si>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</si>
  <si>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</si>
  <si>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</si>
  <si>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</si>
  <si>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</si>
  <si>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</si>
  <si>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</si>
  <si>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</si>
  <si>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</si>
  <si>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</si>
  <si>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</si>
  <si>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</si>
  <si>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</si>
  <si>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</si>
  <si>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</si>
  <si>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</si>
  <si>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</si>
  <si>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</si>
  <si>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</si>
  <si>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</si>
  <si>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</si>
  <si>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</si>
  <si>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</si>
  <si>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</si>
  <si>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</si>
  <si>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</si>
  <si>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</si>
  <si>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</si>
  <si>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</si>
  <si>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</si>
  <si>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</si>
  <si>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</si>
  <si>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</si>
  <si>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</si>
  <si>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</si>
  <si>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</si>
  <si>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</si>
  <si>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</si>
  <si>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</si>
  <si>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</si>
  <si>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</si>
  <si>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</si>
  <si>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</si>
  <si>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</si>
  <si>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</si>
  <si>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</si>
  <si>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</si>
  <si>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</si>
  <si>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</si>
  <si>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</si>
  <si>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</si>
  <si>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</si>
  <si>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</si>
  <si>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</si>
  <si>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</si>
  <si>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</si>
  <si>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</si>
  <si>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</si>
  <si>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</si>
  <si>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</si>
  <si>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</si>
  <si>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</si>
  <si>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</si>
  <si>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</si>
  <si>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</si>
  <si>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</si>
  <si>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</si>
  <si>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</si>
  <si>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</si>
  <si>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</si>
  <si>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</si>
  <si>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</si>
  <si>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</si>
  <si>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</si>
  <si>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</si>
  <si>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</si>
  <si>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</si>
  <si>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</si>
  <si>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</si>
  <si>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</si>
  <si>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</si>
  <si>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</si>
  <si>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</si>
  <si>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</si>
  <si>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</si>
  <si>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</si>
  <si>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</si>
  <si>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</si>
  <si>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</si>
  <si>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</si>
  <si>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</si>
  <si>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</si>
  <si>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</si>
  <si>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</si>
  <si>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</si>
  <si>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</si>
  <si>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</si>
  <si>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</si>
  <si>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</si>
  <si>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</si>
  <si>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</si>
  <si>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</si>
  <si>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</si>
  <si>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</si>
  <si>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</si>
  <si>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</si>
  <si>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</si>
  <si>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</si>
  <si>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</si>
  <si>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</si>
  <si>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</si>
  <si>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</si>
  <si>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</si>
  <si>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</si>
  <si>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</si>
  <si>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</si>
  <si>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</si>
  <si>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</si>
  <si>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</si>
  <si>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</si>
  <si>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</si>
  <si>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</si>
  <si>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</si>
  <si>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</si>
  <si>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</si>
  <si>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</si>
  <si>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</si>
  <si>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</si>
  <si>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</si>
  <si>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</si>
  <si>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</si>
  <si>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</si>
  <si>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</si>
  <si>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</si>
  <si>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</si>
  <si>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</si>
  <si>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</si>
  <si>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</si>
  <si>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</si>
  <si>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</si>
  <si>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</si>
  <si>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</si>
  <si>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</si>
  <si>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</si>
  <si>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</si>
  <si>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</si>
  <si>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</si>
  <si>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</si>
  <si>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</si>
  <si>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</si>
  <si>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</si>
  <si>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</si>
  <si>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</si>
  <si>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</si>
  <si>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</si>
  <si>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</si>
  <si>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</si>
  <si>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</si>
  <si>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</si>
  <si>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</si>
  <si>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</si>
  <si>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</si>
  <si>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</si>
  <si>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</si>
  <si>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</si>
  <si>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</si>
  <si>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</si>
  <si>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</si>
  <si>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</si>
  <si>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</si>
  <si>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</si>
  <si>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</si>
  <si>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</si>
  <si>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</si>
  <si>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</si>
  <si>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</si>
  <si>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</si>
  <si>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</si>
  <si>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</si>
  <si>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</si>
  <si>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</si>
  <si>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</si>
  <si>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</si>
  <si>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</si>
  <si>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</si>
  <si>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</si>
  <si>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</si>
  <si>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</si>
  <si>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</si>
  <si>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</si>
  <si>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</si>
  <si>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</si>
  <si>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</si>
  <si>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</si>
  <si>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</si>
  <si>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</si>
  <si>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</si>
  <si>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</si>
  <si>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</si>
  <si>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</si>
  <si>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</si>
  <si>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</si>
  <si>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</si>
  <si>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</si>
  <si>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</si>
  <si>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</si>
  <si>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</si>
  <si>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</si>
  <si>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</si>
  <si>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</si>
  <si>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</si>
  <si>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</si>
  <si>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</si>
  <si>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</si>
  <si>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</si>
  <si>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</si>
  <si>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</si>
  <si>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</si>
  <si>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</si>
  <si>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</si>
  <si>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</si>
  <si>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</si>
  <si>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</si>
  <si>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</si>
  <si>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</si>
  <si>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</si>
  <si>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</si>
  <si>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</si>
  <si>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</si>
  <si>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</si>
  <si>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</si>
  <si>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</si>
  <si>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</si>
  <si>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</si>
  <si>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</si>
  <si>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</si>
  <si>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</si>
  <si>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</si>
  <si>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</si>
  <si>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</si>
  <si>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</si>
  <si>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</si>
  <si>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</si>
  <si>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</si>
  <si>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</si>
  <si>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</si>
  <si>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</si>
  <si>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</si>
  <si>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</si>
  <si>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</si>
  <si>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</si>
  <si>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</si>
  <si>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</si>
  <si>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</si>
  <si>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</si>
  <si>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</si>
  <si>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</si>
  <si>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</si>
  <si>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</si>
  <si>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</si>
  <si>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</si>
  <si>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</si>
  <si>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</si>
  <si>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</si>
  <si>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</si>
  <si>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</si>
  <si>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</si>
  <si>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</si>
  <si>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</si>
  <si>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</si>
  <si>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</si>
  <si>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</si>
  <si>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</si>
  <si>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</si>
  <si>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</si>
  <si>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</si>
  <si>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</si>
  <si>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</si>
  <si>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</si>
  <si>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</si>
  <si>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</si>
  <si>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</si>
  <si>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</si>
  <si>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</si>
  <si>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</si>
  <si>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</si>
  <si>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</si>
  <si>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</si>
  <si>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</si>
  <si>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</si>
  <si>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</si>
  <si>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</si>
  <si>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</si>
  <si>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</si>
  <si>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</si>
  <si>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</si>
  <si>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</si>
  <si>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</si>
  <si>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</si>
  <si>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</si>
  <si>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</si>
  <si>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</si>
  <si>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</si>
  <si>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</si>
  <si>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</si>
  <si>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</si>
  <si>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</si>
  <si>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</si>
  <si>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</si>
  <si>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</si>
  <si>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</si>
  <si>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</si>
  <si>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</si>
  <si>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</si>
  <si>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</si>
  <si>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</si>
  <si>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</si>
  <si>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</si>
  <si>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</si>
  <si>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</si>
  <si>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</si>
  <si>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</si>
  <si>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</si>
  <si>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</si>
  <si>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</si>
  <si>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</si>
  <si>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</si>
  <si>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</si>
  <si>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</si>
  <si>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</si>
  <si>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</si>
  <si>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</si>
  <si>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</si>
  <si>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</si>
  <si>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</si>
  <si>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</si>
  <si>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</si>
  <si>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</si>
  <si>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</si>
  <si>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</si>
  <si>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</si>
  <si>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</si>
  <si>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</si>
  <si>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</si>
  <si>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</si>
  <si>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</si>
  <si>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</si>
  <si>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</si>
  <si>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</si>
  <si>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</si>
  <si>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</si>
  <si>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</si>
  <si>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</si>
  <si>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</si>
  <si>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</si>
  <si>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</si>
  <si>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</si>
  <si>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</si>
  <si>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</si>
  <si>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</si>
  <si>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</si>
  <si>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</si>
  <si>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</si>
  <si>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</si>
  <si>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</si>
  <si>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</si>
  <si>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</si>
  <si>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</si>
  <si>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</si>
  <si>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</si>
  <si>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</si>
  <si>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</si>
  <si>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</si>
  <si>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</si>
  <si>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</si>
  <si>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</si>
  <si>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</si>
  <si>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</si>
  <si>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</si>
  <si>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</si>
  <si>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</si>
  <si>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</si>
  <si>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</si>
  <si>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</si>
  <si>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</si>
  <si>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</si>
  <si>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</si>
  <si>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</si>
  <si>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</si>
  <si>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</si>
  <si>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</si>
  <si>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</si>
  <si>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</si>
  <si>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</si>
  <si>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</si>
  <si>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</si>
  <si>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</si>
  <si>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</si>
  <si>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</si>
  <si>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</si>
  <si>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</si>
  <si>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</si>
  <si>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</si>
  <si>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</si>
  <si>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</si>
  <si>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</si>
  <si>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</si>
  <si>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</si>
  <si>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</si>
  <si>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</si>
  <si>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</si>
  <si>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</si>
  <si>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</si>
  <si>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</si>
  <si>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</si>
  <si>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</si>
  <si>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</si>
  <si>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</si>
  <si>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</si>
  <si>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</si>
  <si>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</si>
  <si>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</si>
  <si>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</si>
  <si>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</si>
  <si>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</si>
  <si>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</si>
  <si>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</si>
  <si>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</si>
  <si>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</si>
  <si>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</si>
  <si>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</si>
  <si>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</si>
  <si>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</si>
  <si>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</si>
  <si>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</si>
  <si>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</si>
  <si>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</si>
  <si>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</si>
  <si>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</si>
  <si>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</si>
  <si>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</si>
  <si>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</si>
  <si>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</si>
  <si>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</si>
  <si>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</si>
  <si>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</si>
  <si>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</si>
  <si>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</si>
  <si>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</si>
  <si>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</si>
  <si>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</si>
  <si>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</si>
  <si>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</si>
  <si>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</si>
  <si>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</si>
  <si>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</si>
  <si>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</si>
  <si>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</si>
  <si>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</si>
  <si>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</si>
  <si>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</si>
  <si>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</si>
  <si>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</si>
  <si>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</si>
  <si>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</si>
  <si>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</si>
  <si>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</si>
  <si>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</si>
  <si>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</si>
  <si>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</si>
  <si>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</si>
  <si>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</si>
  <si>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</si>
  <si>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</si>
  <si>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</si>
  <si>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</si>
  <si>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</si>
  <si>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</si>
  <si>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</si>
  <si>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</si>
  <si>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</si>
  <si>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</si>
  <si>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</si>
  <si>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</si>
  <si>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</si>
  <si>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</si>
  <si>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</si>
  <si>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</si>
  <si>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</si>
  <si>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</si>
  <si>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</si>
  <si>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</si>
  <si>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</si>
  <si>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</si>
  <si>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</si>
  <si>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</si>
  <si>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</si>
  <si>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</si>
  <si>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</si>
  <si>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</si>
  <si>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</si>
  <si>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</si>
  <si>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</si>
  <si>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</si>
  <si>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</si>
  <si>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</si>
  <si>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</si>
  <si>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</si>
  <si>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</si>
  <si>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</si>
  <si>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</si>
  <si>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</si>
  <si>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</si>
  <si>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</si>
  <si>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</si>
  <si>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</si>
  <si>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</si>
  <si>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</si>
  <si>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</si>
  <si>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</si>
  <si>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</si>
  <si>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</si>
  <si>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</si>
  <si>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</si>
  <si>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</si>
  <si>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</si>
  <si>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</si>
  <si>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</si>
  <si>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</si>
  <si>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</si>
  <si>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</si>
  <si>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</si>
  <si>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</si>
  <si>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</si>
  <si>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</si>
  <si>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</si>
  <si>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</si>
  <si>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</si>
  <si>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</si>
  <si>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</si>
  <si>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</si>
  <si>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</si>
  <si>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</si>
  <si>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</si>
  <si>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</si>
  <si>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</si>
  <si>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</si>
  <si>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</si>
  <si>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</si>
  <si>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</si>
  <si>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</si>
  <si>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</si>
  <si>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</si>
  <si>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</si>
  <si>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</si>
  <si>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</si>
  <si>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</si>
  <si>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</si>
  <si>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</si>
  <si>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</si>
  <si>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</si>
  <si>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</si>
  <si>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</si>
  <si>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</si>
  <si>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</si>
  <si>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</si>
  <si>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</si>
  <si>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</si>
  <si>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</si>
  <si>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</si>
  <si>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</si>
  <si>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</si>
  <si>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</si>
  <si>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</si>
  <si>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</si>
  <si>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</si>
  <si>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</si>
  <si>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</si>
  <si>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</si>
  <si>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</si>
  <si>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</si>
  <si>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</si>
  <si>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</si>
  <si>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</si>
  <si>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</si>
  <si>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</si>
  <si>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</si>
  <si>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</si>
  <si>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</si>
  <si>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</si>
  <si>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</si>
  <si>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</si>
  <si>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</si>
  <si>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</si>
  <si>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</si>
  <si>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</si>
  <si>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</si>
  <si>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</si>
  <si>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</si>
  <si>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</si>
  <si>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</si>
  <si>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</si>
  <si>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</si>
  <si>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</si>
  <si>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</si>
  <si>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</si>
  <si>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</si>
  <si>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</si>
  <si>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</si>
  <si>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</si>
  <si>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</si>
  <si>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</si>
  <si>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</si>
  <si>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</si>
  <si>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</si>
  <si>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</si>
  <si>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</si>
  <si>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</si>
  <si>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</si>
  <si>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</si>
  <si>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</si>
  <si>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</si>
  <si>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</si>
  <si>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</si>
  <si>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</si>
  <si>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</si>
  <si>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</si>
  <si>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</si>
  <si>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</si>
  <si>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</si>
  <si>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</si>
  <si>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</si>
  <si>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</si>
  <si>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</si>
  <si>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</si>
  <si>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</si>
  <si>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</si>
  <si>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</si>
  <si>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</si>
  <si>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</si>
  <si>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</si>
  <si>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</si>
  <si>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</si>
  <si>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</si>
  <si>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</si>
  <si>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</si>
  <si>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</si>
  <si>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</si>
  <si>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</si>
  <si>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</si>
  <si>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</si>
  <si>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</si>
  <si>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</si>
  <si>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</si>
  <si>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</si>
  <si>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</si>
  <si>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</si>
  <si>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</si>
  <si>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</si>
  <si>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</si>
  <si>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</si>
  <si>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</si>
  <si>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</si>
  <si>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</si>
  <si>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</si>
  <si>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</si>
  <si>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</si>
  <si>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</si>
  <si>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</si>
  <si>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</si>
  <si>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</si>
  <si>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</si>
  <si>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</si>
  <si>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</si>
  <si>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</si>
  <si>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</si>
  <si>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</si>
  <si>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</si>
  <si>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</si>
  <si>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</si>
  <si>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</si>
  <si>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</si>
  <si>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</si>
  <si>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</si>
  <si>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</si>
  <si>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</si>
  <si>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</si>
  <si>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</si>
  <si>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</si>
  <si>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</si>
  <si>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</si>
  <si>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</si>
  <si>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</si>
  <si>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</si>
  <si>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</si>
  <si>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</si>
  <si>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</si>
  <si>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</si>
  <si>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</si>
  <si>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</si>
  <si>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</si>
  <si>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</si>
  <si>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</si>
  <si>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</si>
  <si>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</si>
  <si>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</si>
  <si>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</si>
  <si>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</si>
  <si>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</si>
  <si>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</si>
  <si>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</si>
  <si>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</si>
  <si>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</si>
  <si>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</si>
  <si>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</si>
  <si>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</si>
  <si>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</si>
  <si>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</si>
  <si>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</si>
  <si>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</si>
  <si>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</si>
  <si>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</si>
  <si>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</si>
  <si>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</si>
  <si>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</si>
  <si>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</si>
  <si>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</si>
  <si>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</si>
  <si>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</si>
  <si>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</si>
  <si>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</si>
  <si>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</si>
  <si>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</si>
  <si>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</si>
  <si>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</si>
  <si>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</si>
  <si>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</si>
  <si>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</si>
  <si>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</si>
  <si>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</si>
  <si>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</si>
  <si>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</si>
  <si>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</si>
  <si>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</si>
  <si>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</si>
  <si>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</si>
  <si>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</si>
  <si>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</si>
  <si>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</si>
  <si>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</si>
  <si>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郑燚</t>
  </si>
  <si>
    <t>抵押</t>
  </si>
  <si>
    <t>房地产抵押价值</t>
  </si>
  <si>
    <t>北京市</t>
  </si>
  <si>
    <t>企业</t>
  </si>
  <si>
    <t>商业项目</t>
  </si>
  <si>
    <t>无</t>
  </si>
  <si>
    <t>否</t>
  </si>
  <si>
    <t>现房</t>
  </si>
  <si>
    <t>Ⅶ-房1</t>
  </si>
  <si>
    <t>容积率</t>
    <phoneticPr fontId="134" type="noConversion"/>
  </si>
  <si>
    <t>不动产证号</t>
    <phoneticPr fontId="134" type="noConversion"/>
  </si>
  <si>
    <t>不动产证号</t>
    <phoneticPr fontId="134" type="noConversion"/>
  </si>
  <si>
    <t>坐落</t>
    <phoneticPr fontId="134" type="noConversion"/>
  </si>
  <si>
    <t>坐落</t>
    <phoneticPr fontId="134" type="noConversion"/>
  </si>
  <si>
    <t>用途</t>
    <phoneticPr fontId="134" type="noConversion"/>
  </si>
  <si>
    <t>楼号</t>
    <phoneticPr fontId="134" type="noConversion"/>
  </si>
  <si>
    <t>楼号</t>
    <phoneticPr fontId="134" type="noConversion"/>
  </si>
  <si>
    <t>房屋总层数</t>
    <phoneticPr fontId="134" type="noConversion"/>
  </si>
  <si>
    <t>房屋总层数</t>
    <phoneticPr fontId="134" type="noConversion"/>
  </si>
  <si>
    <t>房屋所在楼层</t>
    <phoneticPr fontId="134" type="noConversion"/>
  </si>
  <si>
    <t>房屋所在楼层</t>
    <phoneticPr fontId="134" type="noConversion"/>
  </si>
  <si>
    <t>房屋建筑面积</t>
    <phoneticPr fontId="134" type="noConversion"/>
  </si>
  <si>
    <t>房屋建筑面积</t>
    <phoneticPr fontId="134" type="noConversion"/>
  </si>
  <si>
    <t>土地使用年限</t>
    <phoneticPr fontId="134" type="noConversion"/>
  </si>
  <si>
    <t>土地使用年限</t>
    <phoneticPr fontId="134" type="noConversion"/>
  </si>
  <si>
    <t>结构</t>
    <phoneticPr fontId="134" type="noConversion"/>
  </si>
  <si>
    <t>结构</t>
    <phoneticPr fontId="134" type="noConversion"/>
  </si>
  <si>
    <t>共有宗地面积</t>
    <phoneticPr fontId="134" type="noConversion"/>
  </si>
  <si>
    <t>共有宗地面积</t>
    <phoneticPr fontId="134" type="noConversion"/>
  </si>
  <si>
    <t>现状</t>
    <phoneticPr fontId="134" type="noConversion"/>
  </si>
  <si>
    <t>044地块</t>
    <phoneticPr fontId="134" type="noConversion"/>
  </si>
  <si>
    <t>京（2021）房不动产权0024764号</t>
    <phoneticPr fontId="134" type="noConversion"/>
  </si>
  <si>
    <t>商业</t>
    <phoneticPr fontId="134" type="noConversion"/>
  </si>
  <si>
    <t>商业</t>
    <phoneticPr fontId="134" type="noConversion"/>
  </si>
  <si>
    <t>2号楼</t>
    <phoneticPr fontId="134" type="noConversion"/>
  </si>
  <si>
    <t>6（-02）</t>
    <phoneticPr fontId="134" type="noConversion"/>
  </si>
  <si>
    <t>1-6层</t>
    <phoneticPr fontId="134" type="noConversion"/>
  </si>
  <si>
    <t>钢混</t>
    <phoneticPr fontId="134" type="noConversion"/>
  </si>
  <si>
    <t>钢混</t>
    <phoneticPr fontId="134" type="noConversion"/>
  </si>
  <si>
    <t>B馆</t>
    <phoneticPr fontId="134" type="noConversion"/>
  </si>
  <si>
    <t>京（2021）房不动产权0024765号</t>
    <phoneticPr fontId="134" type="noConversion"/>
  </si>
  <si>
    <t>房山区长于大街28号院100幢-2层B2033等[427套]</t>
    <phoneticPr fontId="134" type="noConversion"/>
  </si>
  <si>
    <t>车位、商业</t>
    <phoneticPr fontId="134" type="noConversion"/>
  </si>
  <si>
    <t>车位、商业</t>
    <phoneticPr fontId="134" type="noConversion"/>
  </si>
  <si>
    <t>100幢</t>
    <phoneticPr fontId="134" type="noConversion"/>
  </si>
  <si>
    <t>负2层</t>
    <phoneticPr fontId="134" type="noConversion"/>
  </si>
  <si>
    <t>2056/12/25、2066/12/25</t>
    <phoneticPr fontId="134" type="noConversion"/>
  </si>
  <si>
    <t>钢混</t>
    <phoneticPr fontId="134" type="noConversion"/>
  </si>
  <si>
    <t>B馆</t>
    <phoneticPr fontId="134" type="noConversion"/>
  </si>
  <si>
    <t>地下</t>
    <phoneticPr fontId="134" type="noConversion"/>
  </si>
  <si>
    <t>地下</t>
    <phoneticPr fontId="134" type="noConversion"/>
  </si>
  <si>
    <t>建面</t>
    <phoneticPr fontId="134" type="noConversion"/>
  </si>
  <si>
    <t>建面</t>
    <phoneticPr fontId="134" type="noConversion"/>
  </si>
  <si>
    <t>个数</t>
    <phoneticPr fontId="134" type="noConversion"/>
  </si>
  <si>
    <t>个数</t>
    <phoneticPr fontId="134" type="noConversion"/>
  </si>
  <si>
    <t>分摊土地面积</t>
    <phoneticPr fontId="134" type="noConversion"/>
  </si>
  <si>
    <t>分摊土地面积</t>
    <phoneticPr fontId="134" type="noConversion"/>
  </si>
  <si>
    <t>楼层（B馆)</t>
    <phoneticPr fontId="134" type="noConversion"/>
  </si>
  <si>
    <t>车位B2</t>
    <phoneticPr fontId="134" type="noConversion"/>
  </si>
  <si>
    <t>测绘</t>
    <phoneticPr fontId="134" type="noConversion"/>
  </si>
  <si>
    <t>测绘</t>
    <phoneticPr fontId="134" type="noConversion"/>
  </si>
  <si>
    <t>商业（-101）B1</t>
    <phoneticPr fontId="134" type="noConversion"/>
  </si>
  <si>
    <t>总建面</t>
    <phoneticPr fontId="134" type="noConversion"/>
  </si>
  <si>
    <t>地下商业</t>
    <phoneticPr fontId="134" type="noConversion"/>
  </si>
  <si>
    <t>附属</t>
  </si>
  <si>
    <t>建面</t>
    <phoneticPr fontId="134" type="noConversion"/>
  </si>
  <si>
    <t>分摊土地面积</t>
    <phoneticPr fontId="134" type="noConversion"/>
  </si>
  <si>
    <t>合计</t>
    <phoneticPr fontId="134" type="noConversion"/>
  </si>
  <si>
    <t>047地块</t>
    <phoneticPr fontId="134" type="noConversion"/>
  </si>
  <si>
    <t>京（2021）房不动产权0024766号</t>
    <phoneticPr fontId="134" type="noConversion"/>
  </si>
  <si>
    <t>房山区长于大街28号院3号楼-3至6层101</t>
    <phoneticPr fontId="134" type="noConversion"/>
  </si>
  <si>
    <t>3号楼</t>
    <phoneticPr fontId="134" type="noConversion"/>
  </si>
  <si>
    <t>6（-03）</t>
    <phoneticPr fontId="134" type="noConversion"/>
  </si>
  <si>
    <t>负3-6层</t>
    <phoneticPr fontId="134" type="noConversion"/>
  </si>
  <si>
    <t>京（2021）房不动产权0024768号</t>
    <phoneticPr fontId="134" type="noConversion"/>
  </si>
  <si>
    <t>房山区长于大街28号院101幢-2层B2591等[484套]</t>
    <phoneticPr fontId="134" type="noConversion"/>
  </si>
  <si>
    <t>101幢</t>
    <phoneticPr fontId="134" type="noConversion"/>
  </si>
  <si>
    <t>负3层</t>
    <phoneticPr fontId="134" type="noConversion"/>
  </si>
  <si>
    <t>楼层（A馆)</t>
    <phoneticPr fontId="134" type="noConversion"/>
  </si>
  <si>
    <t>车位B2-B3</t>
    <phoneticPr fontId="134" type="noConversion"/>
  </si>
  <si>
    <t>商业（-101）B1</t>
    <phoneticPr fontId="134" type="noConversion"/>
  </si>
  <si>
    <t>总建面</t>
    <phoneticPr fontId="134" type="noConversion"/>
  </si>
  <si>
    <t>个数</t>
    <phoneticPr fontId="134" type="noConversion"/>
  </si>
  <si>
    <t>夹层</t>
  </si>
  <si>
    <t>地下车位</t>
    <phoneticPr fontId="134" type="noConversion"/>
  </si>
  <si>
    <t>合计</t>
    <phoneticPr fontId="134" type="noConversion"/>
  </si>
  <si>
    <t>B馆（2号楼（7号楼）及100幢）</t>
    <phoneticPr fontId="134" type="noConversion"/>
  </si>
  <si>
    <t>A馆（3号楼（8号楼）及101幢）</t>
    <phoneticPr fontId="134" type="noConversion"/>
  </si>
  <si>
    <t>所在楼层</t>
    <phoneticPr fontId="134" type="noConversion"/>
  </si>
  <si>
    <t>建筑面积</t>
    <phoneticPr fontId="134" type="noConversion"/>
  </si>
  <si>
    <t>规划用途</t>
    <phoneticPr fontId="134" type="noConversion"/>
  </si>
  <si>
    <t>现状用途</t>
    <phoneticPr fontId="134" type="noConversion"/>
  </si>
  <si>
    <t>B2层</t>
    <phoneticPr fontId="134" type="noConversion"/>
  </si>
  <si>
    <t>车位</t>
    <phoneticPr fontId="134" type="noConversion"/>
  </si>
  <si>
    <t>B2-B3层</t>
    <phoneticPr fontId="134" type="noConversion"/>
  </si>
  <si>
    <t>车位</t>
    <phoneticPr fontId="134" type="noConversion"/>
  </si>
  <si>
    <r>
      <t>B</t>
    </r>
    <r>
      <rPr>
        <sz val="11"/>
        <color theme="1"/>
        <rFont val="宋体"/>
        <family val="3"/>
        <charset val="134"/>
        <scheme val="minor"/>
      </rPr>
      <t>1层</t>
    </r>
    <phoneticPr fontId="134" type="noConversion"/>
  </si>
  <si>
    <r>
      <t>B</t>
    </r>
    <r>
      <rPr>
        <sz val="11"/>
        <color theme="1"/>
        <rFont val="宋体"/>
        <family val="3"/>
        <charset val="134"/>
        <scheme val="minor"/>
      </rPr>
      <t>1层</t>
    </r>
    <phoneticPr fontId="134" type="noConversion"/>
  </si>
  <si>
    <t>超市、小型零售、小型餐饮等</t>
    <phoneticPr fontId="134" type="noConversion"/>
  </si>
  <si>
    <t>商业</t>
    <phoneticPr fontId="134" type="noConversion"/>
  </si>
  <si>
    <t>小型网红餐饮</t>
    <phoneticPr fontId="134" type="noConversion"/>
  </si>
  <si>
    <t>商业</t>
    <phoneticPr fontId="134" type="noConversion"/>
  </si>
  <si>
    <t>大型零售、珠宝、数码、化妆品等</t>
    <phoneticPr fontId="134" type="noConversion"/>
  </si>
  <si>
    <t>商业</t>
    <phoneticPr fontId="134" type="noConversion"/>
  </si>
  <si>
    <t>大型零售、珠宝、数码、化妆品等</t>
    <phoneticPr fontId="134" type="noConversion"/>
  </si>
  <si>
    <t>商业</t>
    <phoneticPr fontId="134" type="noConversion"/>
  </si>
  <si>
    <t>服装等小型零售</t>
    <phoneticPr fontId="134" type="noConversion"/>
  </si>
  <si>
    <t>商业</t>
    <phoneticPr fontId="134" type="noConversion"/>
  </si>
  <si>
    <t>服装等小型零售</t>
    <phoneticPr fontId="134" type="noConversion"/>
  </si>
  <si>
    <t>儿童娱乐教育</t>
    <phoneticPr fontId="134" type="noConversion"/>
  </si>
  <si>
    <t>品牌餐饮</t>
    <phoneticPr fontId="134" type="noConversion"/>
  </si>
  <si>
    <t>健身、时尚运动、潮玩体验</t>
    <phoneticPr fontId="134" type="noConversion"/>
  </si>
  <si>
    <t>品牌餐饮、影院</t>
    <phoneticPr fontId="134" type="noConversion"/>
  </si>
  <si>
    <t>影院</t>
    <phoneticPr fontId="134" type="noConversion"/>
  </si>
  <si>
    <t>附属</t>
    <phoneticPr fontId="134" type="noConversion"/>
  </si>
  <si>
    <t>附属</t>
    <phoneticPr fontId="134" type="noConversion"/>
  </si>
  <si>
    <t>夹层</t>
    <phoneticPr fontId="134" type="noConversion"/>
  </si>
  <si>
    <t>小计</t>
    <phoneticPr fontId="134" type="noConversion"/>
  </si>
  <si>
    <t>——</t>
    <phoneticPr fontId="134" type="noConversion"/>
  </si>
  <si>
    <t>序号</t>
    <phoneticPr fontId="134" type="noConversion"/>
  </si>
  <si>
    <t>楼号</t>
  </si>
  <si>
    <t>部位及房号</t>
  </si>
  <si>
    <t>建筑面积</t>
  </si>
  <si>
    <t>分摊土地面积</t>
  </si>
  <si>
    <t>用途</t>
    <phoneticPr fontId="134" type="noConversion"/>
  </si>
  <si>
    <t>2号楼</t>
  </si>
  <si>
    <t>商业</t>
    <phoneticPr fontId="134" type="noConversion"/>
  </si>
  <si>
    <t>100幢</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</si>
  <si>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</si>
  <si>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</si>
  <si>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</si>
  <si>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</si>
  <si>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</si>
  <si>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</si>
  <si>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</si>
  <si>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</si>
  <si>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</si>
  <si>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</si>
  <si>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</si>
  <si>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</si>
  <si>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</si>
  <si>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</si>
  <si>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</si>
  <si>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</si>
  <si>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</si>
  <si>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</si>
  <si>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</si>
  <si>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</si>
  <si>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</si>
  <si>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</si>
  <si>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</si>
  <si>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</si>
  <si>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</si>
  <si>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</si>
  <si>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</si>
  <si>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</si>
  <si>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</si>
  <si>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</si>
  <si>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</si>
  <si>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</si>
  <si>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</si>
  <si>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</si>
  <si>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</si>
  <si>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</si>
  <si>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</si>
  <si>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</si>
  <si>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</si>
  <si>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</si>
  <si>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</si>
  <si>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</si>
  <si>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</si>
  <si>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</si>
  <si>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</si>
  <si>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</si>
  <si>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</si>
  <si>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</si>
  <si>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</si>
  <si>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</si>
  <si>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</si>
  <si>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</si>
  <si>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</si>
  <si>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</si>
  <si>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</si>
  <si>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</si>
  <si>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</si>
  <si>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</si>
  <si>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</si>
  <si>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</si>
  <si>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</si>
  <si>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</si>
  <si>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</si>
  <si>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</si>
  <si>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</si>
  <si>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</si>
  <si>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</si>
  <si>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</si>
  <si>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</si>
  <si>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</si>
  <si>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</si>
  <si>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</si>
  <si>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</si>
  <si>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</si>
  <si>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</si>
  <si>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</si>
  <si>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</si>
  <si>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</si>
  <si>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</si>
  <si>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</si>
  <si>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</si>
  <si>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</si>
  <si>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</si>
  <si>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</si>
  <si>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</si>
  <si>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</si>
  <si>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</si>
  <si>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</si>
  <si>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</si>
  <si>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</si>
  <si>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</si>
  <si>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</si>
  <si>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</si>
  <si>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</si>
  <si>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</si>
  <si>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</si>
  <si>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</si>
  <si>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</si>
  <si>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</si>
  <si>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</si>
  <si>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</si>
  <si>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</si>
  <si>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</si>
  <si>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</si>
  <si>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</si>
  <si>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</si>
  <si>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</si>
  <si>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</si>
  <si>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</si>
  <si>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</si>
  <si>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</si>
  <si>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</si>
  <si>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</si>
  <si>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</si>
  <si>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</si>
  <si>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</si>
  <si>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</si>
  <si>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</si>
  <si>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</si>
  <si>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</si>
  <si>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</si>
  <si>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</si>
  <si>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</si>
  <si>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</si>
  <si>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</si>
  <si>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</si>
  <si>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</si>
  <si>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</si>
  <si>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</si>
  <si>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</si>
  <si>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</si>
  <si>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</si>
  <si>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</si>
  <si>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</si>
  <si>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</si>
  <si>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</si>
  <si>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</si>
  <si>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</si>
  <si>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</si>
  <si>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</si>
  <si>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</si>
  <si>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</si>
  <si>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</si>
  <si>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</si>
  <si>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</si>
  <si>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</si>
  <si>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</si>
  <si>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</si>
  <si>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</si>
  <si>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</si>
  <si>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</si>
  <si>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</si>
  <si>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</si>
  <si>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</si>
  <si>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</si>
  <si>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</si>
  <si>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</si>
  <si>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</si>
  <si>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</si>
  <si>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</si>
  <si>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</si>
  <si>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</si>
  <si>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</si>
  <si>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</si>
  <si>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</si>
  <si>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</si>
  <si>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</si>
  <si>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</si>
  <si>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</si>
  <si>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</si>
  <si>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</si>
  <si>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</si>
  <si>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</si>
  <si>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</si>
  <si>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</si>
  <si>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</si>
  <si>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</si>
  <si>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</si>
  <si>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</si>
  <si>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</si>
  <si>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</si>
  <si>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</si>
  <si>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</si>
  <si>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</si>
  <si>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</si>
  <si>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</si>
  <si>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</si>
  <si>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</si>
  <si>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</si>
  <si>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</si>
  <si>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</si>
  <si>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</si>
  <si>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</si>
  <si>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</si>
  <si>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</si>
  <si>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</si>
  <si>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</si>
  <si>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</si>
  <si>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</si>
  <si>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</si>
  <si>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</si>
  <si>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</si>
  <si>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</si>
  <si>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</si>
  <si>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</si>
  <si>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</si>
  <si>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</si>
  <si>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</si>
  <si>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</si>
  <si>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</si>
  <si>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</si>
  <si>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</si>
  <si>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</si>
  <si>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</si>
  <si>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</si>
  <si>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</si>
  <si>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</si>
  <si>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</si>
  <si>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</si>
  <si>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</si>
  <si>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</si>
  <si>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</si>
  <si>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</si>
  <si>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</si>
  <si>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</si>
  <si>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</si>
  <si>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</si>
  <si>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</si>
  <si>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</si>
  <si>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</si>
  <si>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</si>
  <si>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</si>
  <si>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</si>
  <si>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</si>
  <si>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</si>
  <si>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</si>
  <si>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</si>
  <si>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</si>
  <si>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</si>
  <si>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</si>
  <si>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</si>
  <si>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</si>
  <si>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</si>
  <si>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</si>
  <si>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</si>
  <si>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</si>
  <si>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</si>
  <si>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</si>
  <si>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</si>
  <si>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</si>
  <si>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</si>
  <si>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</si>
  <si>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</si>
  <si>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</si>
  <si>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</si>
  <si>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</si>
  <si>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</si>
  <si>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</si>
  <si>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</si>
  <si>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</si>
  <si>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</si>
  <si>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</si>
  <si>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</si>
  <si>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</si>
  <si>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</si>
  <si>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</si>
  <si>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</si>
  <si>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</si>
  <si>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</si>
  <si>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</si>
  <si>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</si>
  <si>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</si>
  <si>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</si>
  <si>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</si>
  <si>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</si>
  <si>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</si>
  <si>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</si>
  <si>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</si>
  <si>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</si>
  <si>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</si>
  <si>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</si>
  <si>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</si>
  <si>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</si>
  <si>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</si>
  <si>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</si>
  <si>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</si>
  <si>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</si>
  <si>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</si>
  <si>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</si>
  <si>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</si>
  <si>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</si>
  <si>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</si>
  <si>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</si>
  <si>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</si>
  <si>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</si>
  <si>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</si>
  <si>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</si>
  <si>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</si>
  <si>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</si>
  <si>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</si>
  <si>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</si>
  <si>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</si>
  <si>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</si>
  <si>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</si>
  <si>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</si>
  <si>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</si>
  <si>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</si>
  <si>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</si>
  <si>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</si>
  <si>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</si>
  <si>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</si>
  <si>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</si>
  <si>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</si>
  <si>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</si>
  <si>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</si>
  <si>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</si>
  <si>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</si>
  <si>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</si>
  <si>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</si>
  <si>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</si>
  <si>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</si>
  <si>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</si>
  <si>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</si>
  <si>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</si>
  <si>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</si>
  <si>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</si>
  <si>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</si>
  <si>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</si>
  <si>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</si>
  <si>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</si>
  <si>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</si>
  <si>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</si>
  <si>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</si>
  <si>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</si>
  <si>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</si>
  <si>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</si>
  <si>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</si>
  <si>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</si>
  <si>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</si>
  <si>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</si>
  <si>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</si>
  <si>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</si>
  <si>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</si>
  <si>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</si>
  <si>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</si>
  <si>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</si>
  <si>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</si>
  <si>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</si>
  <si>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</si>
  <si>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</si>
  <si>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</si>
  <si>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</si>
  <si>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</si>
  <si>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</si>
  <si>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</si>
  <si>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</si>
  <si>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</si>
  <si>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</si>
  <si>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</si>
  <si>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</si>
  <si>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</si>
  <si>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</si>
  <si>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</si>
  <si>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</si>
  <si>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</si>
  <si>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</si>
  <si>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</si>
  <si>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</si>
  <si>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</si>
  <si>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</si>
  <si>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</si>
  <si>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</si>
  <si>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</si>
  <si>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</si>
  <si>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</si>
  <si>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</si>
  <si>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</si>
  <si>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</si>
  <si>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</si>
  <si>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</si>
  <si>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</si>
  <si>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</si>
  <si>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</si>
  <si>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</si>
  <si>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</si>
  <si>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</si>
  <si>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</si>
  <si>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</si>
  <si>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</si>
  <si>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</si>
  <si>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</si>
  <si>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</si>
  <si>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</si>
  <si>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</si>
  <si>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</si>
  <si>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</si>
  <si>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</si>
  <si>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</si>
  <si>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</si>
  <si>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</si>
  <si>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</si>
  <si>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</si>
  <si>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</si>
  <si>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</si>
  <si>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</si>
  <si>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</si>
  <si>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</si>
  <si>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</si>
  <si>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</si>
  <si>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</si>
  <si>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</si>
  <si>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</si>
  <si>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</si>
  <si>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</si>
  <si>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</si>
  <si>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</si>
  <si>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</si>
  <si>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</si>
  <si>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</si>
  <si>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3号楼</t>
  </si>
  <si>
    <t>101幢</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</si>
  <si>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</si>
  <si>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</si>
  <si>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</si>
  <si>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</si>
  <si>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</si>
  <si>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</si>
  <si>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</si>
  <si>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</si>
  <si>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</si>
  <si>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</si>
  <si>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</si>
  <si>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</si>
  <si>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</si>
  <si>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</si>
  <si>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</si>
  <si>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</si>
  <si>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</si>
  <si>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</si>
  <si>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</si>
  <si>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</si>
  <si>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</si>
  <si>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</si>
  <si>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</si>
  <si>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</si>
  <si>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</si>
  <si>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</si>
  <si>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</si>
  <si>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</si>
  <si>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</si>
  <si>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</si>
  <si>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</si>
  <si>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</si>
  <si>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</si>
  <si>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</si>
  <si>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</si>
  <si>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</si>
  <si>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</si>
  <si>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</si>
  <si>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</si>
  <si>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</si>
  <si>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</si>
  <si>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</si>
  <si>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</si>
  <si>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</si>
  <si>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</si>
  <si>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</si>
  <si>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</si>
  <si>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</si>
  <si>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</si>
  <si>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</si>
  <si>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</si>
  <si>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</si>
  <si>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</si>
  <si>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</si>
  <si>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</si>
  <si>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</si>
  <si>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</si>
  <si>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</si>
  <si>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</si>
  <si>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</si>
  <si>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</si>
  <si>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</si>
  <si>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</si>
  <si>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</si>
  <si>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</si>
  <si>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</si>
  <si>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</si>
  <si>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</si>
  <si>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</si>
  <si>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</si>
  <si>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</si>
  <si>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</si>
  <si>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</si>
  <si>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</si>
  <si>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</si>
  <si>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</si>
  <si>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</si>
  <si>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</si>
  <si>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</si>
  <si>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</si>
  <si>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</si>
  <si>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</si>
  <si>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</si>
  <si>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</si>
  <si>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</si>
  <si>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</si>
  <si>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</si>
  <si>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</si>
  <si>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</si>
  <si>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</si>
  <si>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</si>
  <si>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</si>
  <si>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</si>
  <si>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</si>
  <si>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</si>
  <si>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</si>
  <si>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</si>
  <si>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</si>
  <si>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</si>
  <si>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</si>
  <si>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</si>
  <si>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</si>
  <si>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</si>
  <si>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</si>
  <si>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</si>
  <si>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</si>
  <si>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</si>
  <si>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</si>
  <si>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</si>
  <si>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</si>
  <si>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</si>
  <si>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</si>
  <si>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</si>
  <si>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</si>
  <si>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</si>
  <si>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</si>
  <si>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</si>
  <si>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</si>
  <si>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</si>
  <si>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</si>
  <si>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</si>
  <si>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</si>
  <si>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</si>
  <si>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</si>
  <si>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</si>
  <si>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</si>
  <si>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</si>
  <si>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</si>
  <si>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</si>
  <si>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</si>
  <si>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</si>
  <si>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</si>
  <si>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</si>
  <si>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</si>
  <si>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</si>
  <si>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</si>
  <si>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</si>
  <si>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</si>
  <si>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</si>
  <si>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</si>
  <si>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</si>
  <si>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</si>
  <si>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</si>
  <si>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</si>
  <si>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</si>
  <si>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</si>
  <si>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</si>
  <si>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</si>
  <si>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</si>
  <si>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</si>
  <si>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</si>
  <si>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</si>
  <si>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</si>
  <si>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</si>
  <si>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</si>
  <si>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</si>
  <si>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</si>
  <si>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</si>
  <si>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</si>
  <si>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</si>
  <si>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</si>
  <si>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</si>
  <si>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</si>
  <si>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</si>
  <si>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</si>
  <si>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</si>
  <si>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</si>
  <si>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</si>
  <si>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</si>
  <si>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</si>
  <si>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</si>
  <si>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</si>
  <si>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</si>
  <si>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</si>
  <si>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</si>
  <si>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</si>
  <si>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</si>
  <si>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</si>
  <si>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</si>
  <si>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</si>
  <si>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</si>
  <si>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</si>
  <si>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</si>
  <si>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</si>
  <si>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</si>
  <si>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</si>
  <si>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</si>
  <si>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</si>
  <si>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</si>
  <si>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</si>
  <si>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</si>
  <si>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</si>
  <si>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</si>
  <si>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</si>
  <si>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</si>
  <si>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</si>
  <si>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</si>
  <si>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</si>
  <si>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</si>
  <si>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</si>
  <si>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</si>
  <si>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</si>
  <si>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</si>
  <si>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</si>
  <si>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</si>
  <si>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</si>
  <si>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</si>
  <si>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</si>
  <si>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</si>
  <si>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</si>
  <si>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</si>
  <si>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</si>
  <si>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</si>
  <si>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</si>
  <si>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</si>
  <si>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</si>
  <si>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</si>
  <si>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</si>
  <si>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</si>
  <si>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</si>
  <si>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</si>
  <si>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</si>
  <si>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</si>
  <si>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</si>
  <si>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</si>
  <si>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</si>
  <si>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</si>
  <si>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</si>
  <si>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</si>
  <si>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</si>
  <si>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</si>
  <si>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</si>
  <si>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</si>
  <si>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</si>
  <si>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</si>
  <si>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</si>
  <si>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</si>
  <si>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</si>
  <si>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</si>
  <si>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</si>
  <si>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</si>
  <si>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</si>
  <si>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</si>
  <si>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</si>
  <si>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</si>
  <si>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</si>
  <si>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</si>
  <si>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</si>
  <si>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</si>
  <si>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</si>
  <si>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</si>
  <si>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</si>
  <si>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</si>
  <si>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</si>
  <si>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</si>
  <si>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</si>
  <si>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</si>
  <si>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</si>
  <si>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</si>
  <si>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</si>
  <si>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</si>
  <si>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</si>
  <si>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</si>
  <si>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</si>
  <si>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</si>
  <si>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</si>
  <si>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</si>
  <si>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</si>
  <si>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</si>
  <si>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</si>
  <si>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</si>
  <si>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</si>
  <si>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</si>
  <si>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</si>
  <si>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</si>
  <si>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</si>
  <si>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</si>
  <si>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</si>
  <si>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B2682</t>
  </si>
  <si>
    <t>B2683</t>
  </si>
  <si>
    <t>B2684</t>
  </si>
  <si>
    <t>B2685</t>
  </si>
  <si>
    <t>B2686</t>
  </si>
  <si>
    <t>B2687</t>
  </si>
  <si>
    <t>B2688</t>
  </si>
  <si>
    <t>B2690</t>
  </si>
  <si>
    <t>B2691</t>
  </si>
  <si>
    <t>B2692</t>
  </si>
  <si>
    <t>B2693</t>
  </si>
  <si>
    <t>B2694</t>
  </si>
  <si>
    <t>B2695</t>
  </si>
  <si>
    <t>B2696</t>
  </si>
  <si>
    <t>B2697</t>
  </si>
  <si>
    <t>B2698</t>
  </si>
  <si>
    <t>B2699</t>
  </si>
  <si>
    <t>B2700</t>
  </si>
  <si>
    <t>B2701</t>
  </si>
  <si>
    <t>B2703</t>
  </si>
  <si>
    <t>B2704</t>
  </si>
  <si>
    <t>B2705</t>
  </si>
  <si>
    <t>B2706</t>
  </si>
  <si>
    <t>B2707</t>
  </si>
  <si>
    <t>B2708</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</si>
  <si>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</si>
  <si>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</si>
  <si>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</si>
  <si>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</si>
  <si>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</si>
  <si>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</si>
  <si>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</si>
  <si>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</si>
  <si>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</si>
  <si>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</si>
  <si>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</si>
  <si>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</si>
  <si>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</si>
  <si>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</si>
  <si>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</si>
  <si>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</si>
  <si>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</si>
  <si>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</si>
  <si>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</si>
  <si>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</si>
  <si>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</si>
  <si>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</si>
  <si>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</si>
  <si>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</si>
  <si>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</si>
  <si>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</si>
  <si>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</si>
  <si>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</si>
  <si>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</si>
  <si>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</si>
  <si>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</si>
  <si>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</si>
  <si>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</si>
  <si>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</si>
  <si>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车位</t>
    <phoneticPr fontId="134" type="noConversion"/>
  </si>
  <si>
    <t>商业</t>
    <phoneticPr fontId="134" type="noConversion"/>
  </si>
  <si>
    <t>合计</t>
    <phoneticPr fontId="134" type="noConversion"/>
  </si>
  <si>
    <t>地下商业</t>
    <phoneticPr fontId="134" type="noConversion"/>
  </si>
  <si>
    <t>地下商业</t>
    <phoneticPr fontId="134" type="noConversion"/>
  </si>
  <si>
    <t>商业小计</t>
    <phoneticPr fontId="134" type="noConversion"/>
  </si>
  <si>
    <t>车位小计</t>
    <phoneticPr fontId="134" type="noConversion"/>
  </si>
  <si>
    <t>地下小计</t>
    <phoneticPr fontId="134" type="noConversion"/>
  </si>
  <si>
    <t>抵押物名称</t>
  </si>
  <si>
    <t>建筑面积</t>
    <phoneticPr fontId="134" type="noConversion"/>
  </si>
  <si>
    <t>分摊土地面积</t>
    <phoneticPr fontId="134" type="noConversion"/>
  </si>
  <si>
    <t>出让国有建设用地使用权价值</t>
  </si>
  <si>
    <t>建筑物价值</t>
    <phoneticPr fontId="134" type="noConversion"/>
  </si>
  <si>
    <t>房地产价值</t>
  </si>
  <si>
    <t>总 价</t>
  </si>
  <si>
    <t>楼面单价</t>
  </si>
  <si>
    <t>地上规划建筑面积</t>
    <phoneticPr fontId="134" type="noConversion"/>
  </si>
  <si>
    <t>地下规划建筑面积</t>
    <phoneticPr fontId="134" type="noConversion"/>
  </si>
  <si>
    <t>合计</t>
    <phoneticPr fontId="134" type="noConversion"/>
  </si>
  <si>
    <t>2号楼商业</t>
    <phoneticPr fontId="134" type="noConversion"/>
  </si>
  <si>
    <t>2号楼地下车库</t>
    <phoneticPr fontId="134" type="noConversion"/>
  </si>
  <si>
    <t>估价对象名称</t>
    <phoneticPr fontId="134" type="noConversion"/>
  </si>
  <si>
    <t>房地产价值</t>
    <phoneticPr fontId="134" type="noConversion"/>
  </si>
  <si>
    <t>楼面单价</t>
    <phoneticPr fontId="134" type="noConversion"/>
  </si>
  <si>
    <t>2056/12/25、2066/12/25</t>
    <phoneticPr fontId="134" type="noConversion"/>
  </si>
  <si>
    <t>A馆</t>
    <phoneticPr fontId="134" type="noConversion"/>
  </si>
  <si>
    <t>A馆-3号楼抵押土地面积分摊表明细表</t>
    <phoneticPr fontId="134" type="noConversion"/>
  </si>
  <si>
    <t>B馆-2号楼抵押土地面积分摊表明细表</t>
    <phoneticPr fontId="134" type="noConversion"/>
  </si>
  <si>
    <t>全部地下商业</t>
    <phoneticPr fontId="134" type="noConversion"/>
  </si>
  <si>
    <t>全部地下车位</t>
    <phoneticPr fontId="134" type="noConversion"/>
  </si>
  <si>
    <t>B馆</t>
    <phoneticPr fontId="134" type="noConversion"/>
  </si>
  <si>
    <t>合计</t>
    <phoneticPr fontId="134" type="noConversion"/>
  </si>
  <si>
    <t>A馆</t>
    <phoneticPr fontId="134" type="noConversion"/>
  </si>
  <si>
    <t>商业小计</t>
    <phoneticPr fontId="134" type="noConversion"/>
  </si>
  <si>
    <t>车位小计</t>
    <phoneticPr fontId="134" type="noConversion"/>
  </si>
  <si>
    <t>地下小计</t>
    <phoneticPr fontId="134" type="noConversion"/>
  </si>
  <si>
    <t>房山区长于大街28号院2号楼1至6层101</t>
    <phoneticPr fontId="134" type="noConversion"/>
  </si>
  <si>
    <t>是</t>
  </si>
  <si>
    <t>地上</t>
  </si>
  <si>
    <t>地下</t>
  </si>
  <si>
    <t>商业综合体</t>
    <phoneticPr fontId="7" type="noConversion"/>
  </si>
  <si>
    <t>建筑面积</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</si>
  <si>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</si>
  <si>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</si>
  <si>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</si>
  <si>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</si>
  <si>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</si>
  <si>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</si>
  <si>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</si>
  <si>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</si>
  <si>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综合平均</t>
    <phoneticPr fontId="3" type="noConversion"/>
  </si>
  <si>
    <t>成新度</t>
  </si>
  <si>
    <t>楼层</t>
    <phoneticPr fontId="3" type="noConversion"/>
  </si>
  <si>
    <t>系数</t>
    <phoneticPr fontId="3" type="noConversion"/>
  </si>
  <si>
    <t>租金</t>
    <phoneticPr fontId="3" type="noConversion"/>
  </si>
  <si>
    <t>面积</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</si>
  <si>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</si>
  <si>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车位</t>
    <phoneticPr fontId="3" type="noConversion"/>
  </si>
  <si>
    <t>个数</t>
    <phoneticPr fontId="3" type="noConversion"/>
  </si>
  <si>
    <r>
      <rPr>
        <sz val="10"/>
        <color indexed="8"/>
        <rFont val="宋体"/>
        <family val="3"/>
        <charset val="134"/>
      </rPr>
      <t>商业</t>
    </r>
    <r>
      <rPr>
        <sz val="10"/>
        <color indexed="8"/>
        <rFont val="Arial"/>
        <family val="2"/>
      </rPr>
      <t>+</t>
    </r>
    <r>
      <rPr>
        <sz val="10"/>
        <color indexed="8"/>
        <rFont val="宋体"/>
        <family val="3"/>
        <charset val="134"/>
      </rPr>
      <t>车位</t>
    </r>
    <phoneticPr fontId="3" type="noConversion"/>
  </si>
  <si>
    <t>单个车位面积</t>
    <phoneticPr fontId="3" type="noConversion"/>
  </si>
  <si>
    <t>商业综合体</t>
  </si>
  <si>
    <t>押一</t>
  </si>
  <si>
    <t>钢混</t>
  </si>
  <si>
    <t>非生产用房</t>
  </si>
  <si>
    <t>收益法</t>
  </si>
  <si>
    <t>无自持</t>
    <phoneticPr fontId="3"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</si>
  <si>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 type="noConversion"/>
  </si>
  <si>
    <t>全面积全自持</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</si>
  <si>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</si>
  <si>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</si>
  <si>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</si>
  <si>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</si>
  <si>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</si>
  <si>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自持限制</t>
    <phoneticPr fontId="30" type="noConversion"/>
  </si>
  <si>
    <t>长于大街</t>
  </si>
  <si>
    <t>次干道</t>
  </si>
  <si>
    <t>一般</t>
  </si>
  <si>
    <t>较好</t>
  </si>
  <si>
    <t>七通</t>
  </si>
  <si>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</si>
  <si>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</si>
  <si>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</si>
  <si>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</si>
  <si>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</si>
  <si>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</si>
  <si>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</si>
  <si>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</si>
  <si>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</si>
  <si>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30" type="noConversion"/>
  </si>
  <si>
    <t>较好</t>
    <phoneticPr fontId="30" type="noConversion"/>
  </si>
  <si>
    <t>较规则</t>
  </si>
  <si>
    <t>六通</t>
  </si>
  <si>
    <t>支路</t>
  </si>
  <si>
    <t>车库—商业</t>
  </si>
  <si>
    <t>未包含在土地购买价格中</t>
  </si>
  <si>
    <t>全部缴纳</t>
  </si>
  <si>
    <t>已包含在土地取得成本中</t>
  </si>
  <si>
    <t>总价</t>
  </si>
  <si>
    <t>成本比率</t>
  </si>
  <si>
    <t>成本法</t>
  </si>
  <si>
    <r>
      <t>2</t>
    </r>
    <r>
      <rPr>
        <sz val="11"/>
        <color theme="1"/>
        <rFont val="宋体"/>
        <family val="3"/>
        <charset val="134"/>
        <scheme val="minor"/>
      </rPr>
      <t>021年</t>
    </r>
    <phoneticPr fontId="134" type="noConversion"/>
  </si>
  <si>
    <t>营业收入</t>
    <phoneticPr fontId="134" type="noConversion"/>
  </si>
  <si>
    <r>
      <t>2022年</t>
    </r>
    <r>
      <rPr>
        <sz val="11"/>
        <color theme="1"/>
        <rFont val="宋体"/>
        <family val="3"/>
        <charset val="134"/>
        <scheme val="minor"/>
      </rPr>
      <t/>
    </r>
  </si>
  <si>
    <r>
      <t>2023年</t>
    </r>
    <r>
      <rPr>
        <sz val="11"/>
        <color theme="1"/>
        <rFont val="宋体"/>
        <family val="3"/>
        <charset val="134"/>
        <scheme val="minor"/>
      </rPr>
      <t/>
    </r>
  </si>
  <si>
    <t>2024年上半年</t>
    <phoneticPr fontId="134" type="noConversion"/>
  </si>
  <si>
    <t>建筑物价值</t>
  </si>
  <si>
    <r>
      <t>A</t>
    </r>
    <r>
      <rPr>
        <sz val="10"/>
        <color indexed="8"/>
        <rFont val="宋体"/>
        <family val="3"/>
        <charset val="134"/>
      </rPr>
      <t>、</t>
    </r>
    <r>
      <rPr>
        <sz val="10"/>
        <color indexed="8"/>
        <rFont val="Arial"/>
        <family val="2"/>
      </rPr>
      <t>B</t>
    </r>
    <r>
      <rPr>
        <sz val="10"/>
        <color indexed="8"/>
        <rFont val="宋体"/>
        <family val="3"/>
        <charset val="134"/>
      </rPr>
      <t>馆合计</t>
    </r>
    <phoneticPr fontId="3" type="noConversion"/>
  </si>
  <si>
    <t>B馆-2号楼及100幢</t>
    <phoneticPr fontId="134" type="noConversion"/>
  </si>
  <si>
    <t>A馆-3号楼及101幢</t>
    <phoneticPr fontId="134" type="noConversion"/>
  </si>
  <si>
    <t>B馆-2号楼地上</t>
    <phoneticPr fontId="134" type="noConversion"/>
  </si>
  <si>
    <t>B馆-2号楼地下</t>
    <phoneticPr fontId="134" type="noConversion"/>
  </si>
  <si>
    <t>A馆-3号楼地上</t>
    <phoneticPr fontId="134" type="noConversion"/>
  </si>
  <si>
    <t>A馆-3号楼地下</t>
    <phoneticPr fontId="134" type="noConversion"/>
  </si>
  <si>
    <t>房山区长于大街28号院2号楼1至6层101商业用房房地产</t>
    <phoneticPr fontId="134" type="noConversion"/>
  </si>
  <si>
    <t>房山区长于大街28号院100幢-2层B2033等[427套]车位、商业用房房地产</t>
    <phoneticPr fontId="134" type="noConversion"/>
  </si>
  <si>
    <t>房山区长于大街28号院3号楼-3至6层101商业用房房地产</t>
    <phoneticPr fontId="134" type="noConversion"/>
  </si>
  <si>
    <t>房山区长于大街28号院101幢-2层B2591等[484套]车位、商业用房房地产</t>
    <phoneticPr fontId="134" type="noConversion"/>
  </si>
  <si>
    <t>A、B馆合计面积</t>
    <phoneticPr fontId="3" type="noConversion"/>
  </si>
  <si>
    <t>熙悦天街品牌明细</t>
  </si>
  <si>
    <t>序号</t>
  </si>
  <si>
    <t>合同类型</t>
  </si>
  <si>
    <t>品牌名称</t>
  </si>
  <si>
    <t>租赁面积</t>
  </si>
  <si>
    <t>开始日期</t>
  </si>
  <si>
    <t>计划结束日期</t>
  </si>
  <si>
    <t>主力店租赁合同</t>
  </si>
  <si>
    <t>沃美影城(WOM  WOMEI CINEPLEX)</t>
  </si>
  <si>
    <t>2021-09-25</t>
  </si>
  <si>
    <t>2036-09-24</t>
  </si>
  <si>
    <t>物美(wumart)</t>
  </si>
  <si>
    <t>次主力店租赁合同</t>
  </si>
  <si>
    <t>The Green Party</t>
  </si>
  <si>
    <t>2027-08-31</t>
  </si>
  <si>
    <t>卡通尼乐园</t>
  </si>
  <si>
    <t>2020-12-19</t>
  </si>
  <si>
    <t>2028-12-18</t>
  </si>
  <si>
    <t>优衣库(UNIQLO)</t>
  </si>
  <si>
    <t>2023-08-18</t>
  </si>
  <si>
    <t>2033-08-17</t>
  </si>
  <si>
    <t>专卖店租赁合同</t>
  </si>
  <si>
    <t>361° kids</t>
  </si>
  <si>
    <t>2023-09-01</t>
  </si>
  <si>
    <t>2024-03-31</t>
  </si>
  <si>
    <t>adidas</t>
  </si>
  <si>
    <t>2023-12-31</t>
  </si>
  <si>
    <t>B.DUCK</t>
  </si>
  <si>
    <t>2024-08-31</t>
  </si>
  <si>
    <t>BLUEO</t>
  </si>
  <si>
    <t>2024-09-01</t>
  </si>
  <si>
    <t>2025-08-31</t>
  </si>
  <si>
    <t>Champion</t>
  </si>
  <si>
    <t>Dairy Queen</t>
  </si>
  <si>
    <t>2022-06-04</t>
  </si>
  <si>
    <t>2024-04-30</t>
  </si>
  <si>
    <t>Dichter Wohnet</t>
  </si>
  <si>
    <t>2023-12-08</t>
  </si>
  <si>
    <t>2024-04-07</t>
  </si>
  <si>
    <t>Dickies</t>
  </si>
  <si>
    <t>Dream Room</t>
  </si>
  <si>
    <t>2026-08-31</t>
  </si>
  <si>
    <t>FANNCEDY</t>
  </si>
  <si>
    <t>2023-10-20</t>
  </si>
  <si>
    <t>2027-09-19</t>
  </si>
  <si>
    <t>Hi Beauty skin</t>
  </si>
  <si>
    <t>J!NS</t>
  </si>
  <si>
    <t>KENMONT,伽百利(Gabriel)</t>
  </si>
  <si>
    <t>KKV</t>
  </si>
  <si>
    <t>LEGO</t>
  </si>
  <si>
    <t>LEVI'S</t>
  </si>
  <si>
    <t>LI-NING YOUNG</t>
  </si>
  <si>
    <t>2023-07-15</t>
  </si>
  <si>
    <t>2026-06-30</t>
  </si>
  <si>
    <t>LINCCHIC</t>
  </si>
  <si>
    <t>LOHO COLLECTION</t>
  </si>
  <si>
    <t>Luiza Barcelos</t>
  </si>
  <si>
    <t>LUSANLE</t>
  </si>
  <si>
    <t>2022-09-29</t>
  </si>
  <si>
    <t>2025-07-31</t>
  </si>
  <si>
    <t>MAKA HAIR SALON</t>
  </si>
  <si>
    <t>2022-06-13</t>
  </si>
  <si>
    <t>2025-05-05</t>
  </si>
  <si>
    <t>MISS&amp;AJIROU</t>
  </si>
  <si>
    <t>NEW BALANCE 1906</t>
  </si>
  <si>
    <t>NIKE</t>
  </si>
  <si>
    <t>ORIGINAL  GANG</t>
  </si>
  <si>
    <t>2024-10-25</t>
  </si>
  <si>
    <t>2026-10-31</t>
  </si>
  <si>
    <t>PEACEBIRD</t>
  </si>
  <si>
    <t>QUART WORLD</t>
  </si>
  <si>
    <t>2025-11-30</t>
  </si>
  <si>
    <t>ROBOKIX</t>
  </si>
  <si>
    <t>2022-10-01</t>
  </si>
  <si>
    <t>sanertu</t>
  </si>
  <si>
    <t>2023-08-31</t>
  </si>
  <si>
    <t>THE NORTH FACE</t>
  </si>
  <si>
    <t>THEMANBA</t>
  </si>
  <si>
    <t>2023-08-19</t>
  </si>
  <si>
    <t>2027-07-19</t>
  </si>
  <si>
    <t>U-CEVEL</t>
  </si>
  <si>
    <t>2024-05-08</t>
  </si>
  <si>
    <t>2026-04-07</t>
  </si>
  <si>
    <t>USHI</t>
  </si>
  <si>
    <t>VISUALSWING</t>
  </si>
  <si>
    <t>vivo</t>
  </si>
  <si>
    <t>WAKeN,JENNY QUEEN</t>
  </si>
  <si>
    <t>X kids</t>
  </si>
  <si>
    <t>X11</t>
  </si>
  <si>
    <t>YULO</t>
  </si>
  <si>
    <t>一品焖锅</t>
  </si>
  <si>
    <t>一点点</t>
  </si>
  <si>
    <t>七度银饰7℃(SEVEN DEGREE)</t>
  </si>
  <si>
    <t>三好礼行</t>
  </si>
  <si>
    <t>三福(SANFU)</t>
  </si>
  <si>
    <t>东方节奏</t>
  </si>
  <si>
    <t>2023-11-07</t>
  </si>
  <si>
    <t>2025-10-07</t>
  </si>
  <si>
    <t>东更道</t>
  </si>
  <si>
    <t>2022-09-01</t>
  </si>
  <si>
    <t>丝域养发(HAIROLOGY)</t>
  </si>
  <si>
    <t>中国福利彩票,中国体育彩票</t>
  </si>
  <si>
    <t>2022-05-01</t>
  </si>
  <si>
    <t>2023-04-30</t>
  </si>
  <si>
    <t>中国黄金(China Gold)</t>
  </si>
  <si>
    <t>丽家宝贝(lijia baby)</t>
  </si>
  <si>
    <t>乐友(Leyou)</t>
  </si>
  <si>
    <t>乐客VR(lekevr)</t>
  </si>
  <si>
    <t>2023-03-31</t>
  </si>
  <si>
    <t>乐百炸</t>
  </si>
  <si>
    <t>2023-12-01</t>
  </si>
  <si>
    <t>2024-09-30</t>
  </si>
  <si>
    <t>九木杂物社(M&amp;G SHOP)</t>
  </si>
  <si>
    <t>九本居酒屋</t>
  </si>
  <si>
    <t>九牧王(JOEONE)</t>
  </si>
  <si>
    <t>九田家</t>
  </si>
  <si>
    <t>乡村基</t>
  </si>
  <si>
    <t>2024-01-04</t>
  </si>
  <si>
    <t>2027-01-03</t>
  </si>
  <si>
    <t>云海肴</t>
  </si>
  <si>
    <t>京东之家</t>
  </si>
  <si>
    <t>京门烧虾师</t>
  </si>
  <si>
    <t>2023-05-01</t>
  </si>
  <si>
    <t>2024-07-31</t>
  </si>
  <si>
    <t>伊芙丽(eifini)</t>
  </si>
  <si>
    <t>伶俐(Lenle)</t>
  </si>
  <si>
    <t>佟源记</t>
  </si>
  <si>
    <t>2024-05-01</t>
  </si>
  <si>
    <t>2026-04-05</t>
  </si>
  <si>
    <t>兔子美甲美睫</t>
  </si>
  <si>
    <t>全牛道</t>
  </si>
  <si>
    <t>六桂福</t>
  </si>
  <si>
    <t>2023-10-14</t>
  </si>
  <si>
    <t>兰熊</t>
  </si>
  <si>
    <t>兰诺(LANO)</t>
  </si>
  <si>
    <t>农小锅</t>
  </si>
  <si>
    <t>2022-10-09</t>
  </si>
  <si>
    <t>2025-08-24</t>
  </si>
  <si>
    <t>冠发</t>
  </si>
  <si>
    <t>2022-12-01</t>
  </si>
  <si>
    <t>2024-10-31</t>
  </si>
  <si>
    <t>凝美妈咪(NEOBOMI)</t>
  </si>
  <si>
    <t>刘班长</t>
  </si>
  <si>
    <t>剪花娘子</t>
  </si>
  <si>
    <t>千佰莉(Qin&amp;beale)</t>
  </si>
  <si>
    <t>2022-09-30</t>
  </si>
  <si>
    <t>半天妖</t>
  </si>
  <si>
    <t>华为(HUAWEI)</t>
  </si>
  <si>
    <t>卓诗尼(Josiny)</t>
  </si>
  <si>
    <t>南锣肥猫</t>
  </si>
  <si>
    <t>2027-08-15</t>
  </si>
  <si>
    <t>卤多鲜,馋百妹</t>
  </si>
  <si>
    <t>2025-03-31</t>
  </si>
  <si>
    <t>卤山川</t>
  </si>
  <si>
    <t>2023-05-21</t>
  </si>
  <si>
    <t>古力家(GULIJIA)</t>
  </si>
  <si>
    <t>名创优品(MINISO)</t>
  </si>
  <si>
    <t>君羿</t>
  </si>
  <si>
    <t>2024-09-15</t>
  </si>
  <si>
    <t>周六福</t>
  </si>
  <si>
    <t>2022-10-06</t>
  </si>
  <si>
    <t>周大生(CHOW TAI SENG)</t>
  </si>
  <si>
    <t>周大福(CHOW TAI FOOK)</t>
  </si>
  <si>
    <t>2024-11-30</t>
  </si>
  <si>
    <t>2022-08-29</t>
  </si>
  <si>
    <t>2025-06-30</t>
  </si>
  <si>
    <t>周志萍</t>
  </si>
  <si>
    <t>2023-11-04</t>
  </si>
  <si>
    <t>2024-08-05</t>
  </si>
  <si>
    <t>周生生(Chow SangSang)</t>
  </si>
  <si>
    <t>2026-07-31</t>
  </si>
  <si>
    <t>周黑鸭(Zhou Hei Ya)</t>
  </si>
  <si>
    <t>味千拉面(AJISEN RAMEN)</t>
  </si>
  <si>
    <t>呷哺呷哺,茶米茶</t>
  </si>
  <si>
    <t>咏巷</t>
  </si>
  <si>
    <t>2024-12-31</t>
  </si>
  <si>
    <t>哈鲁托(haruto)</t>
  </si>
  <si>
    <t>唯美舞动</t>
  </si>
  <si>
    <t>善品家(SAPIENCE HOME)</t>
  </si>
  <si>
    <t>喜茶(HEYTEA)</t>
  </si>
  <si>
    <t>2023-07-16</t>
  </si>
  <si>
    <t>2028-05-31</t>
  </si>
  <si>
    <t>嗨特购(HitGoo)</t>
  </si>
  <si>
    <t>嘻闹泰迪(NOISY TEDDY)</t>
  </si>
  <si>
    <t>2026-03-31</t>
  </si>
  <si>
    <t>回力</t>
  </si>
  <si>
    <t>2024-05-18</t>
  </si>
  <si>
    <t>2024-08-17</t>
  </si>
  <si>
    <t>天福茗茶(TenFu’s TEA)</t>
  </si>
  <si>
    <t>夸父</t>
  </si>
  <si>
    <t>奈雪的茶(NAYUKI)</t>
  </si>
  <si>
    <t>2026-09-24</t>
  </si>
  <si>
    <t>奥莉(ONLY)</t>
  </si>
  <si>
    <t>奥飞欢乐世界(ALPHAWORLD)</t>
  </si>
  <si>
    <t>2023-01-01</t>
  </si>
  <si>
    <t>好利来(Holiland)</t>
  </si>
  <si>
    <t>好特卖(HOT MAXX)</t>
  </si>
  <si>
    <t>姚同楷</t>
  </si>
  <si>
    <t>婷美小屋(TIMIER HOUSE)</t>
  </si>
  <si>
    <t>子固路拌粉</t>
  </si>
  <si>
    <t>2023-10-17</t>
  </si>
  <si>
    <t>2025-09-21</t>
  </si>
  <si>
    <t>子悦(ziyue)</t>
  </si>
  <si>
    <t>宏状元</t>
  </si>
  <si>
    <t>宝乐迪</t>
  </si>
  <si>
    <t>宝珠奶酪</t>
  </si>
  <si>
    <t>2024-03-20</t>
  </si>
  <si>
    <t>2026-02-18</t>
  </si>
  <si>
    <t>宝贝鱼乐</t>
  </si>
  <si>
    <t>2022-09-20</t>
  </si>
  <si>
    <t>宠心府萌宠领养馆</t>
  </si>
  <si>
    <t>2024-01-29</t>
  </si>
  <si>
    <t>2025-12-29</t>
  </si>
  <si>
    <t>小楠湘</t>
  </si>
  <si>
    <t>2023-12-09</t>
  </si>
  <si>
    <t>2028-10-14</t>
  </si>
  <si>
    <t>小满手工粉</t>
  </si>
  <si>
    <t>2023-12-30</t>
  </si>
  <si>
    <t>2026-11-14</t>
  </si>
  <si>
    <t>小猪查理(CHARLIOPIG)</t>
  </si>
  <si>
    <t>2022-09-09</t>
  </si>
  <si>
    <t>小米之家(mi)</t>
  </si>
  <si>
    <t>小菜园</t>
  </si>
  <si>
    <t>小象动悟公园</t>
  </si>
  <si>
    <t>2024-01-24</t>
  </si>
  <si>
    <t>2026-12-09</t>
  </si>
  <si>
    <t>小隐春记</t>
  </si>
  <si>
    <t>小鬼当佳(kidsmile)</t>
  </si>
  <si>
    <t>小鹏</t>
  </si>
  <si>
    <t>尚翔国际(SHANGXIANG SUNSHINE KIDS)</t>
  </si>
  <si>
    <t>屈臣氏(Watsons)</t>
  </si>
  <si>
    <t>2029-09-24</t>
  </si>
  <si>
    <t>山城辣妹子</t>
  </si>
  <si>
    <t>峨嵋酒家</t>
  </si>
  <si>
    <t>2029-08-31</t>
  </si>
  <si>
    <t>川三两</t>
  </si>
  <si>
    <t>2023-12-04</t>
  </si>
  <si>
    <t>2024-07-20</t>
  </si>
  <si>
    <t>巧童艺荟</t>
  </si>
  <si>
    <t>巴川情</t>
  </si>
  <si>
    <t>2022-11-01</t>
  </si>
  <si>
    <t>巴拉巴拉(balabala)</t>
  </si>
  <si>
    <t>希小白(C-XAOBAI+)</t>
  </si>
  <si>
    <t>异时刻(xcape)</t>
  </si>
  <si>
    <t>彪马(PUMA)</t>
  </si>
  <si>
    <t>很芒の芒(HI MANGO)</t>
  </si>
  <si>
    <t>必胜客(Pizza Hut)</t>
  </si>
  <si>
    <t>2031-09-24</t>
  </si>
  <si>
    <t>戈美其(GEMEIQ)</t>
  </si>
  <si>
    <t>护童(Totguard)</t>
  </si>
  <si>
    <t>撒露(salud)</t>
  </si>
  <si>
    <t>文立新</t>
  </si>
  <si>
    <t>星巴克(STARBUCKS)</t>
  </si>
  <si>
    <t>2033-09-24</t>
  </si>
  <si>
    <t>朗香</t>
  </si>
  <si>
    <t>2025-11-04</t>
  </si>
  <si>
    <t>李宁(LI-NING)</t>
  </si>
  <si>
    <t>村上一屋</t>
  </si>
  <si>
    <t>2023-01-15</t>
  </si>
  <si>
    <t>杰克琼斯(JACK&amp;JONES)</t>
  </si>
  <si>
    <t>松山棉店</t>
  </si>
  <si>
    <t>果栗园(guoliyuan)</t>
  </si>
  <si>
    <t>柚子舞蹈</t>
  </si>
  <si>
    <t>梵妳卡波(Finelycup)</t>
  </si>
  <si>
    <t>森林鸟(SenLinNiao)</t>
  </si>
  <si>
    <t>樊文花(Fawa)</t>
  </si>
  <si>
    <t>2025-03-14</t>
  </si>
  <si>
    <t>步步高,小天才</t>
  </si>
  <si>
    <t>比格披萨(BigPizza)</t>
  </si>
  <si>
    <t>汉唐小馆</t>
  </si>
  <si>
    <t>汉拿山</t>
  </si>
  <si>
    <t>江南e柜</t>
  </si>
  <si>
    <t>2022-11-10</t>
  </si>
  <si>
    <t>2025-09-30</t>
  </si>
  <si>
    <t>江博士(DR·KONG)</t>
  </si>
  <si>
    <t>江边城外烤全鱼(JIANG BIAN CHENG WAI),江边城外烤全鱼(JIANG BIAN CHENG WAI)</t>
  </si>
  <si>
    <t>池田寿司</t>
  </si>
  <si>
    <t>沁原</t>
  </si>
  <si>
    <t>2028-04-30</t>
  </si>
  <si>
    <t>沙胆彪炭炉牛杂煲</t>
  </si>
  <si>
    <t>2023-06-14</t>
  </si>
  <si>
    <t>2028-04-15</t>
  </si>
  <si>
    <t>沪上阿姨(AUNTEA JENNY)</t>
  </si>
  <si>
    <t>洗脸丫</t>
  </si>
  <si>
    <t>2023-12-15</t>
  </si>
  <si>
    <t>2025-05-14</t>
  </si>
  <si>
    <t>洗脸熊(face wash bear)</t>
  </si>
  <si>
    <t>2023-08-04</t>
  </si>
  <si>
    <t>2025-07-09</t>
  </si>
  <si>
    <t>海澜之家(HLA)</t>
  </si>
  <si>
    <t>2022-10-10</t>
  </si>
  <si>
    <t>2025-09-10</t>
  </si>
  <si>
    <t>海馬体(HIMO)</t>
  </si>
  <si>
    <t>添柏岚(Timberland)</t>
  </si>
  <si>
    <t>源氏木语(YESWOOD)</t>
  </si>
  <si>
    <t>2022-08-04</t>
  </si>
  <si>
    <t>2025-06-19</t>
  </si>
  <si>
    <t>溪边姑娘</t>
  </si>
  <si>
    <t>2023-10-25</t>
  </si>
  <si>
    <t>2024-10-09</t>
  </si>
  <si>
    <t>潮宏基(CHJ JEWELLERY)</t>
  </si>
  <si>
    <t>2023-09-17</t>
  </si>
  <si>
    <t>2026-08-17</t>
  </si>
  <si>
    <t>火炉火</t>
  </si>
  <si>
    <t>2027-05-31</t>
  </si>
  <si>
    <t>灵丹真朱</t>
  </si>
  <si>
    <t>2024-04-04</t>
  </si>
  <si>
    <t>热风(hotwind)</t>
  </si>
  <si>
    <t>熊喵来了</t>
  </si>
  <si>
    <t>2024-01-14</t>
  </si>
  <si>
    <t>2028-11-14</t>
  </si>
  <si>
    <t>爱客(AIKE(I&amp;K))</t>
  </si>
  <si>
    <t>2023-10-05</t>
  </si>
  <si>
    <t>片断(LOVLIFE)</t>
  </si>
  <si>
    <t>猩猩橙</t>
  </si>
  <si>
    <t>玩具反斗城(TOYSRUS)</t>
  </si>
  <si>
    <t>2021-09-19</t>
  </si>
  <si>
    <t>玺發發</t>
  </si>
  <si>
    <t>2024-01-30</t>
  </si>
  <si>
    <t>2026-12-30</t>
  </si>
  <si>
    <t>珚仓</t>
  </si>
  <si>
    <t>理想(LI)</t>
  </si>
  <si>
    <t>琦王</t>
  </si>
  <si>
    <t>瑞幸咖啡</t>
  </si>
  <si>
    <t>2024-04-20</t>
  </si>
  <si>
    <t>2027-04-19</t>
  </si>
  <si>
    <t>瑞幸咖啡(luckin coffee)</t>
  </si>
  <si>
    <t>2022-09-16</t>
  </si>
  <si>
    <t>甜品女王(Dessert@Queen)</t>
  </si>
  <si>
    <t>2023-05-15</t>
  </si>
  <si>
    <t>2026-04-30</t>
  </si>
  <si>
    <t>百丽(BeLLE)</t>
  </si>
  <si>
    <t>2022-08-31</t>
  </si>
  <si>
    <t>科大讯飞(iFLYTEK)</t>
  </si>
  <si>
    <t>管氏翅吧</t>
  </si>
  <si>
    <t>米村</t>
  </si>
  <si>
    <t>2026-11-30</t>
  </si>
  <si>
    <t>粤家庄</t>
  </si>
  <si>
    <t>2023-07-19</t>
  </si>
  <si>
    <t>2029-05-31</t>
  </si>
  <si>
    <t>糖果乐轮滑(Sugar LH)</t>
  </si>
  <si>
    <t>2023-03-20</t>
  </si>
  <si>
    <t>2026-03-19</t>
  </si>
  <si>
    <t>结绳记</t>
  </si>
  <si>
    <t>绮思天使</t>
  </si>
  <si>
    <t>维意定制</t>
  </si>
  <si>
    <t>维沙曼(VERO MODA)</t>
  </si>
  <si>
    <t>罗丽丝(Rolise)</t>
  </si>
  <si>
    <t>罗莱家纺(LUOLAI)</t>
  </si>
  <si>
    <t>美吉姆</t>
  </si>
  <si>
    <t>聚初色(JUCHUSE)</t>
  </si>
  <si>
    <t>2023-07-20</t>
  </si>
  <si>
    <t>2026-06-19</t>
  </si>
  <si>
    <t>肯德基(KFC)</t>
  </si>
  <si>
    <t>胖哥俩肉蟹煲(PANG GELIA)</t>
  </si>
  <si>
    <t>能量驿站健身(ENERGY STATION FITNESS)</t>
  </si>
  <si>
    <t>2023-02-13</t>
  </si>
  <si>
    <t>2027-12-31</t>
  </si>
  <si>
    <t>膜壳先锋</t>
  </si>
  <si>
    <t>英氏(YeehoO)</t>
  </si>
  <si>
    <t>范斯黛欧(FINE STYLE)</t>
  </si>
  <si>
    <t>茉酸奶</t>
  </si>
  <si>
    <t>2024-04-01</t>
  </si>
  <si>
    <t>茶淘乐</t>
  </si>
  <si>
    <t>茶百道(CHABAIDAO)</t>
  </si>
  <si>
    <t>茶话弄</t>
  </si>
  <si>
    <t>荟医堂</t>
  </si>
  <si>
    <t>2022-03-25</t>
  </si>
  <si>
    <t>2023-02-28</t>
  </si>
  <si>
    <t>荣耀(HONOR)</t>
  </si>
  <si>
    <t>莎莎(Sasa)</t>
  </si>
  <si>
    <t>菜百首饰</t>
  </si>
  <si>
    <t>2022-11-15</t>
  </si>
  <si>
    <t>萌宝水科学</t>
  </si>
  <si>
    <t>2023-07-10</t>
  </si>
  <si>
    <t>2025-06-09</t>
  </si>
  <si>
    <t>萨莉亚(Saizeriya RISTORANTE E CAFFÈ)</t>
  </si>
  <si>
    <t>蒂悦</t>
  </si>
  <si>
    <t>2023-09-26</t>
  </si>
  <si>
    <t>2025-08-26</t>
  </si>
  <si>
    <t>蚝英雄</t>
  </si>
  <si>
    <t>袁记云饺</t>
  </si>
  <si>
    <t>2023-12-25</t>
  </si>
  <si>
    <t>2026-05-31</t>
  </si>
  <si>
    <t>西十二街</t>
  </si>
  <si>
    <t>西少爷</t>
  </si>
  <si>
    <t>2023-07-09</t>
  </si>
  <si>
    <t>西町村屋(SETIROM)</t>
  </si>
  <si>
    <t>2023-12-16</t>
  </si>
  <si>
    <t>西西弗(SISYPHE),矢量咖啡(UPCOFFEE)</t>
  </si>
  <si>
    <t>见味花甲(CLAMS MEMERY)</t>
  </si>
  <si>
    <t>詹记</t>
  </si>
  <si>
    <t>诗凡黎(SEIFINI)</t>
  </si>
  <si>
    <t>谭木匠</t>
  </si>
  <si>
    <t>贪吃英雄</t>
  </si>
  <si>
    <t>2023-10-01</t>
  </si>
  <si>
    <t>转转</t>
  </si>
  <si>
    <t>辣哥辣妹</t>
  </si>
  <si>
    <t>迪索怡(DEZOEE)</t>
  </si>
  <si>
    <t>迷你椰</t>
  </si>
  <si>
    <t>2023-05-04</t>
  </si>
  <si>
    <t>都可(CoCo)</t>
  </si>
  <si>
    <t>2023-11-30</t>
  </si>
  <si>
    <t>重八牛府</t>
  </si>
  <si>
    <t>野人牧坊</t>
  </si>
  <si>
    <t>2023-09-20</t>
  </si>
  <si>
    <t>2025-08-19</t>
  </si>
  <si>
    <t>金象大药房</t>
  </si>
  <si>
    <t>钟煲煲</t>
  </si>
  <si>
    <t>2024-05-10</t>
  </si>
  <si>
    <t>阿香米线(AXIANG)</t>
  </si>
  <si>
    <t>霸王茶姬(CHAGEE)</t>
  </si>
  <si>
    <t>2023-12-20</t>
  </si>
  <si>
    <t>2025-11-19</t>
  </si>
  <si>
    <t>霸蛮</t>
  </si>
  <si>
    <t>青年公社</t>
  </si>
  <si>
    <t>马博士(Doctor.Ma)</t>
  </si>
  <si>
    <t>马记永</t>
  </si>
  <si>
    <t>2022-07-08</t>
  </si>
  <si>
    <t>2025-04-30</t>
  </si>
  <si>
    <t>骆驼(CAMEL)</t>
  </si>
  <si>
    <t>2024-10-01</t>
  </si>
  <si>
    <t>鱼你在一起</t>
  </si>
  <si>
    <t>鲜果时间(IT′S TIME TO),西树泡芙(CHEZ CHOUX)</t>
  </si>
  <si>
    <t>鹿岛（会员）店(LuDao store(member))</t>
  </si>
  <si>
    <t>2023-10-15</t>
  </si>
  <si>
    <t>2029-07-31</t>
  </si>
  <si>
    <t>麦当劳(McDonald's)</t>
  </si>
  <si>
    <t>麦萌の胖子</t>
  </si>
  <si>
    <t>齿泰华</t>
  </si>
  <si>
    <t>2023-04-26</t>
  </si>
  <si>
    <t>2028-01-31</t>
  </si>
  <si>
    <t>UOU</t>
  </si>
  <si>
    <t>2024-08-16</t>
  </si>
  <si>
    <t>2025-08-15</t>
  </si>
  <si>
    <t>爱回收</t>
  </si>
  <si>
    <t>2024-06-01</t>
  </si>
  <si>
    <t>2025-05-31</t>
  </si>
  <si>
    <t>2024-07-01</t>
  </si>
  <si>
    <t>LINLEE</t>
  </si>
  <si>
    <t>2024-08-07</t>
  </si>
  <si>
    <t>2025-08-06</t>
  </si>
  <si>
    <t>柠季</t>
  </si>
  <si>
    <t>2024-07-10</t>
  </si>
  <si>
    <t>2025-06-14</t>
  </si>
  <si>
    <t>云上写生</t>
  </si>
  <si>
    <t>2024-07-05</t>
  </si>
  <si>
    <t>2025-06-04</t>
  </si>
  <si>
    <t>茉蓝山</t>
  </si>
  <si>
    <t>2024-08-01</t>
  </si>
  <si>
    <t>辣卤世家</t>
  </si>
  <si>
    <t>翼眠</t>
  </si>
  <si>
    <t>2024-08-18</t>
  </si>
  <si>
    <t>2025-08-17</t>
  </si>
  <si>
    <t>重叠派</t>
  </si>
  <si>
    <t>2024-07-11</t>
  </si>
  <si>
    <t>左岸琴声</t>
  </si>
  <si>
    <t>2024-06-30</t>
  </si>
  <si>
    <t>茉莉奶白</t>
  </si>
  <si>
    <t>爆脾气</t>
  </si>
  <si>
    <t>木花巷MUHUAXIANG</t>
  </si>
  <si>
    <t>K22.酸奶草莓</t>
  </si>
  <si>
    <t>2024-07-26</t>
  </si>
  <si>
    <t>小斑斑月龄盒</t>
  </si>
  <si>
    <t>2027-04-30</t>
  </si>
  <si>
    <t>2024-07-15</t>
  </si>
  <si>
    <t>2024-09-14</t>
  </si>
  <si>
    <t>库房租赁合同</t>
  </si>
  <si>
    <t>2023-01-25</t>
  </si>
  <si>
    <t>2026-01-24</t>
  </si>
  <si>
    <t>书亦烧仙草</t>
  </si>
  <si>
    <t>2023-04-05</t>
  </si>
  <si>
    <t>2023-01-16</t>
  </si>
  <si>
    <t>2024-01-15</t>
  </si>
  <si>
    <t>2024-04-11</t>
  </si>
  <si>
    <t>2023-01-21</t>
  </si>
  <si>
    <t>2024-01-20</t>
  </si>
  <si>
    <t>2024-04-08</t>
  </si>
  <si>
    <t>2025-04-07</t>
  </si>
  <si>
    <t>2024-03-19</t>
  </si>
  <si>
    <t>2025-03-18</t>
  </si>
  <si>
    <t>2024-02-01</t>
  </si>
  <si>
    <t>2025-01-31</t>
  </si>
  <si>
    <t>2024-02-29</t>
  </si>
  <si>
    <t>2025-02-28</t>
  </si>
  <si>
    <t>2025-01-03</t>
  </si>
  <si>
    <t>2024-01-21</t>
  </si>
  <si>
    <t>2025-01-20</t>
  </si>
  <si>
    <t>2024-01-01</t>
  </si>
  <si>
    <t>2023-11-06</t>
  </si>
  <si>
    <t>2024-11-05</t>
  </si>
  <si>
    <t>2023-09-19</t>
  </si>
  <si>
    <t>2026-09-18</t>
  </si>
  <si>
    <t>北京浚鑫商贸有限公司</t>
  </si>
  <si>
    <t>2024-06-02</t>
  </si>
  <si>
    <t>2024-07-06</t>
  </si>
  <si>
    <t>2024-06-20</t>
  </si>
  <si>
    <t>2024-01-31</t>
  </si>
  <si>
    <t>2023-10-31</t>
  </si>
  <si>
    <t>2024-10-13</t>
  </si>
  <si>
    <t>2024-10-19</t>
  </si>
  <si>
    <t>乐百串(LEBAICHUAN)</t>
  </si>
  <si>
    <t>北京琪琪格商贸服务有限公司</t>
  </si>
  <si>
    <t>2024-09-18</t>
  </si>
  <si>
    <t>2024-08-03</t>
  </si>
  <si>
    <t>2023-08-01</t>
  </si>
  <si>
    <t>2023-07-23</t>
  </si>
  <si>
    <t>2024-07-21</t>
  </si>
  <si>
    <t>2024-03-01</t>
  </si>
  <si>
    <t>2024-01-22</t>
  </si>
  <si>
    <t>2024-07-22</t>
  </si>
  <si>
    <t>2023-11-03</t>
  </si>
  <si>
    <t>2024-11-02</t>
  </si>
  <si>
    <t>蓉京玖格格</t>
  </si>
  <si>
    <t>2023-09-02</t>
  </si>
  <si>
    <t>光大银行</t>
  </si>
  <si>
    <t>2024-05-19</t>
  </si>
  <si>
    <t>2024-06-18</t>
  </si>
  <si>
    <t>2024-04-16</t>
  </si>
  <si>
    <t>茉酸奶(MORE YOGURT)</t>
  </si>
  <si>
    <t>李林海</t>
  </si>
  <si>
    <t>2024-03-16</t>
  </si>
  <si>
    <t>2024-04-15</t>
  </si>
  <si>
    <t>2024-02-08</t>
  </si>
  <si>
    <t>2023-07-08</t>
  </si>
  <si>
    <t>2023-06-05</t>
  </si>
  <si>
    <t>2024-05-31</t>
  </si>
  <si>
    <t>2023-05-06</t>
  </si>
  <si>
    <t>2024-03-18</t>
  </si>
  <si>
    <t>2023-03-01</t>
  </si>
  <si>
    <t>2024-02-28</t>
  </si>
  <si>
    <t>2023-04-08</t>
  </si>
  <si>
    <t>2024-07-07</t>
  </si>
  <si>
    <t>2024-07-08</t>
  </si>
  <si>
    <t>2024-07-23</t>
  </si>
  <si>
    <t>2025-01-18</t>
  </si>
  <si>
    <t>2024-08-04</t>
  </si>
  <si>
    <t>2025-08-04</t>
  </si>
  <si>
    <t>2024-08-24</t>
  </si>
  <si>
    <t>单柜机合同/外摆协议</t>
  </si>
  <si>
    <t>小铁</t>
  </si>
  <si>
    <t>2023-10-30</t>
  </si>
  <si>
    <t>时糖</t>
  </si>
  <si>
    <t>2024-03-05</t>
  </si>
  <si>
    <t>熊哆咪</t>
  </si>
  <si>
    <t>2024-12-19</t>
  </si>
  <si>
    <t>童真阿呆</t>
  </si>
  <si>
    <t>JUST FOTO</t>
  </si>
  <si>
    <t>2024-01-16</t>
  </si>
  <si>
    <t>2025-01-15</t>
  </si>
  <si>
    <t>友唱</t>
  </si>
  <si>
    <t>2024-03-09</t>
  </si>
  <si>
    <t>2025-03-08</t>
  </si>
  <si>
    <t>泡泡玛特(POP MART)</t>
  </si>
  <si>
    <t>广场服务合同</t>
  </si>
  <si>
    <t>北京蓝谷极狐汽车科技有限公司</t>
  </si>
  <si>
    <t>2022-06-01</t>
  </si>
  <si>
    <t>北京魔方电趣娱乐文化有限公司</t>
  </si>
  <si>
    <t>2022-08-08</t>
  </si>
  <si>
    <t>北京联横智控科技有限公司</t>
  </si>
  <si>
    <t>2027-06-14</t>
  </si>
  <si>
    <t>广州小鹏智慧充电科技有限公司</t>
  </si>
  <si>
    <t>激活印象(深圳)科技有限公司</t>
  </si>
  <si>
    <t>2023-01-13</t>
  </si>
  <si>
    <t>2024-01-12</t>
  </si>
  <si>
    <t>2023-03-10</t>
  </si>
  <si>
    <t>挚享科技（上海）有限公司</t>
  </si>
  <si>
    <t>2023-03-26</t>
  </si>
  <si>
    <t>2024-03-25</t>
  </si>
  <si>
    <t>2023-04-01</t>
  </si>
  <si>
    <t>2023-04-15</t>
  </si>
  <si>
    <t>2024-04-14</t>
  </si>
  <si>
    <t>乐摩吧</t>
  </si>
  <si>
    <t>2023-04-17</t>
  </si>
  <si>
    <t>梅你不渴</t>
  </si>
  <si>
    <t>2023-04-20</t>
  </si>
  <si>
    <t>2024-04-19</t>
  </si>
  <si>
    <t>乐摩吧(LEMO BAR)</t>
  </si>
  <si>
    <t>北京果果开心文化发展有限公司</t>
  </si>
  <si>
    <t>2023-06-01</t>
  </si>
  <si>
    <t>2024-04-28</t>
  </si>
  <si>
    <t>彭志勇</t>
  </si>
  <si>
    <t>2023-06-21</t>
  </si>
  <si>
    <t>北京启德志业科技有限公司</t>
  </si>
  <si>
    <t>2023-07-01</t>
  </si>
  <si>
    <t>北京丰巢网络技术有限公司</t>
  </si>
  <si>
    <t>萌机小甲</t>
  </si>
  <si>
    <t>2023-08-02</t>
  </si>
  <si>
    <t>朱博文</t>
  </si>
  <si>
    <t>2023-09-09</t>
  </si>
  <si>
    <t>2024-09-08</t>
  </si>
  <si>
    <t>北京三扬物业管理有限责任公司</t>
  </si>
  <si>
    <t>2023-09-10</t>
  </si>
  <si>
    <t>2024-09-09</t>
  </si>
  <si>
    <t>SUPMIA</t>
  </si>
  <si>
    <t>2023-09-15</t>
  </si>
  <si>
    <t>头号玩+(PLAYER+)</t>
  </si>
  <si>
    <t>2023-09-25</t>
  </si>
  <si>
    <t>2024-09-24</t>
  </si>
  <si>
    <t>刘伟</t>
  </si>
  <si>
    <t>玩刻</t>
  </si>
  <si>
    <t>2023-10-12</t>
  </si>
  <si>
    <t>2024-10-11</t>
  </si>
  <si>
    <t>2023-10-23</t>
  </si>
  <si>
    <t>2024-04-21</t>
  </si>
  <si>
    <t>2023-11-01</t>
  </si>
  <si>
    <t>王岩</t>
  </si>
  <si>
    <t>2023-12-02</t>
  </si>
  <si>
    <t>2023-12-05</t>
  </si>
  <si>
    <t>2023-12-06</t>
  </si>
  <si>
    <t>2024-01-05</t>
  </si>
  <si>
    <t>2023-12-10</t>
  </si>
  <si>
    <t>2024-01-02</t>
  </si>
  <si>
    <t>王新</t>
  </si>
  <si>
    <t>2024-01-08</t>
  </si>
  <si>
    <t>岚图</t>
  </si>
  <si>
    <t>2023-12-13</t>
  </si>
  <si>
    <t>圣奇道（北京）旅游发展有限公司</t>
  </si>
  <si>
    <t>北京博瑞通顺科贸有限公司</t>
  </si>
  <si>
    <t>2023-12-28</t>
  </si>
  <si>
    <t>2024-01-27</t>
  </si>
  <si>
    <t>KILIKILI</t>
  </si>
  <si>
    <t>北京巨燕置业有限公司</t>
  </si>
  <si>
    <t>2024-02-07</t>
  </si>
  <si>
    <t>王岳</t>
  </si>
  <si>
    <t>2024-01-13</t>
  </si>
  <si>
    <t>2024-02-12</t>
  </si>
  <si>
    <t>北京雨潼文化传媒有限公司</t>
  </si>
  <si>
    <t>2025-01-19</t>
  </si>
  <si>
    <t>2024-01-28</t>
  </si>
  <si>
    <t>2024-02-02</t>
  </si>
  <si>
    <t>2024-02-13</t>
  </si>
  <si>
    <t>2024-03-12</t>
  </si>
  <si>
    <t>2024-02-21</t>
  </si>
  <si>
    <t>2024-02-25</t>
  </si>
  <si>
    <t>2024-03-17</t>
  </si>
  <si>
    <t>2024-03-02</t>
  </si>
  <si>
    <t>2024-03-13</t>
  </si>
  <si>
    <t>2024-04-12</t>
  </si>
  <si>
    <t>2024-03-29</t>
  </si>
  <si>
    <t>2024-04-02</t>
  </si>
  <si>
    <t>小电</t>
  </si>
  <si>
    <t>2025-12-15</t>
  </si>
  <si>
    <t>2024-04-13</t>
  </si>
  <si>
    <t>2024-05-12</t>
  </si>
  <si>
    <t>2024-04-18</t>
  </si>
  <si>
    <t>2024-04-17</t>
  </si>
  <si>
    <t>2024-05-16</t>
  </si>
  <si>
    <t>王建桥</t>
  </si>
  <si>
    <t>2024-05-06</t>
  </si>
  <si>
    <t>2024-04-22</t>
  </si>
  <si>
    <t>肌肉蚂蚁</t>
  </si>
  <si>
    <t>2024-04-27</t>
  </si>
  <si>
    <t>蒙牛</t>
  </si>
  <si>
    <t>2024-05-05</t>
  </si>
  <si>
    <t>2024-05-17</t>
  </si>
  <si>
    <t>宋芙蓉</t>
  </si>
  <si>
    <t>摩享时光</t>
  </si>
  <si>
    <t>2024-05-02</t>
  </si>
  <si>
    <t>北京考拉快收商务有限公司</t>
  </si>
  <si>
    <t>2024-05-09</t>
  </si>
  <si>
    <t>2024-10-08</t>
  </si>
  <si>
    <t>华宇众联（北京）科技有限公司</t>
  </si>
  <si>
    <t>2024-05-13</t>
  </si>
  <si>
    <t>2024-06-12</t>
  </si>
  <si>
    <t>2024-06-16</t>
  </si>
  <si>
    <t>魏丽丽</t>
  </si>
  <si>
    <t>2024-05-20</t>
  </si>
  <si>
    <t>北京半阳轮盘文化传播有限公司</t>
  </si>
  <si>
    <t>2024-05-25</t>
  </si>
  <si>
    <t>2024-05-23</t>
  </si>
  <si>
    <t>2024-05-26</t>
  </si>
  <si>
    <t>2024-05-30</t>
  </si>
  <si>
    <t>2024-06-03</t>
  </si>
  <si>
    <t>2024-06-10</t>
  </si>
  <si>
    <t>瑞士军刀</t>
  </si>
  <si>
    <t>2024-06-29</t>
  </si>
  <si>
    <t>朵翼</t>
  </si>
  <si>
    <t>2024-08-02</t>
  </si>
  <si>
    <t>太湖雪</t>
  </si>
  <si>
    <t>2024-06-07</t>
  </si>
  <si>
    <t>2024-06-08</t>
  </si>
  <si>
    <t>2024-06-09</t>
  </si>
  <si>
    <t>林泽峰</t>
  </si>
  <si>
    <t>2024-06-13</t>
  </si>
  <si>
    <t>2024-07-12</t>
  </si>
  <si>
    <t>2024-06-14</t>
  </si>
  <si>
    <t>咔嗒诺其（北京）科技有限公司</t>
  </si>
  <si>
    <t>2025-06-15</t>
  </si>
  <si>
    <t>李明</t>
  </si>
  <si>
    <t>2024-06-21</t>
  </si>
  <si>
    <t>宇宙密码</t>
  </si>
  <si>
    <t>2025-06-20</t>
  </si>
  <si>
    <t>旺尔宝</t>
  </si>
  <si>
    <t>北京滨湖恒兴房地产开发有限公司</t>
  </si>
  <si>
    <t>2024-06-27</t>
  </si>
  <si>
    <t>蓝图life</t>
  </si>
  <si>
    <t>2024-06-28</t>
  </si>
  <si>
    <t>2024-07-28</t>
  </si>
  <si>
    <t>新国线运输集团有限公司</t>
  </si>
  <si>
    <t>康师傅私房牛肉面</t>
  </si>
  <si>
    <t>欢乐彩豆</t>
  </si>
  <si>
    <t>2025-07-05</t>
  </si>
  <si>
    <t>粒粒仔</t>
  </si>
  <si>
    <t>2024-08-26</t>
  </si>
  <si>
    <t>2024-09-25</t>
  </si>
  <si>
    <t>2024-08-25</t>
  </si>
  <si>
    <t>泰迪总动员</t>
  </si>
  <si>
    <t>2024-08-10</t>
  </si>
  <si>
    <t>2024-08-11</t>
  </si>
  <si>
    <t>乐友</t>
  </si>
  <si>
    <t>2024-07-27</t>
  </si>
  <si>
    <t>2024-08-15</t>
  </si>
  <si>
    <t>2024-08-08</t>
  </si>
  <si>
    <t>2025-08-08</t>
  </si>
  <si>
    <t>二五一八（北京）互联网科技有限公司</t>
  </si>
  <si>
    <t>2025-01-07</t>
  </si>
  <si>
    <t>2024-08-29</t>
  </si>
  <si>
    <t>拍立方</t>
  </si>
  <si>
    <t>2025-08-01</t>
  </si>
  <si>
    <t>丰巢</t>
  </si>
  <si>
    <t>彩蛋屋(EGGWOO！)</t>
  </si>
  <si>
    <t>2024-08-20</t>
  </si>
  <si>
    <t>埃安昊铂</t>
  </si>
  <si>
    <t>2024-08-30</t>
  </si>
  <si>
    <t>2024-08-21</t>
  </si>
  <si>
    <t>2024-09-20</t>
  </si>
  <si>
    <t>2024-08-13</t>
  </si>
  <si>
    <t>2024-09-12</t>
  </si>
  <si>
    <t>2024-09-02</t>
  </si>
  <si>
    <t>2024-08-12</t>
  </si>
  <si>
    <t>2024-07-24</t>
  </si>
  <si>
    <t>2024-07-19</t>
  </si>
  <si>
    <t>2024-07-13</t>
  </si>
  <si>
    <t>欧味多</t>
  </si>
  <si>
    <t>2024-07-03</t>
  </si>
  <si>
    <t>2025-07-02</t>
  </si>
  <si>
    <t>卡普瑜伽(K.P YOGA)</t>
  </si>
  <si>
    <t>2024-08-06</t>
  </si>
  <si>
    <t>招商银行</t>
  </si>
  <si>
    <t>北京车影随行文化传媒有限公司</t>
  </si>
  <si>
    <t>北京通朝亦禾文化发展有限公司</t>
  </si>
  <si>
    <t>广告位租赁合同</t>
  </si>
  <si>
    <t>北京山石巨幕文化传媒有限公司</t>
  </si>
  <si>
    <t>2022-03-12</t>
  </si>
  <si>
    <t>2023-01-19</t>
  </si>
  <si>
    <t>2024-01-18</t>
  </si>
  <si>
    <t>2023-02-01</t>
  </si>
  <si>
    <t>2023-02-20</t>
  </si>
  <si>
    <t>2024-03-14</t>
  </si>
  <si>
    <t>2023-07-22</t>
  </si>
  <si>
    <t>2023-08-15</t>
  </si>
  <si>
    <t>2024-02-14</t>
  </si>
  <si>
    <t>2023-09-04</t>
  </si>
  <si>
    <t>2024-09-03</t>
  </si>
  <si>
    <t>北京梯影传媒科技有限公司</t>
  </si>
  <si>
    <t>2023-10-08</t>
  </si>
  <si>
    <t>2024-10-07</t>
  </si>
  <si>
    <t>2023-11-10</t>
  </si>
  <si>
    <t>2023-11-17</t>
  </si>
  <si>
    <t>2024-11-16</t>
  </si>
  <si>
    <t>2024-01-11</t>
  </si>
  <si>
    <t>北京佳泽时代科技有限公司</t>
  </si>
  <si>
    <t>2023-12-21</t>
  </si>
  <si>
    <t>2024-12-20</t>
  </si>
  <si>
    <t>2023-12-22</t>
  </si>
  <si>
    <t>炫石文化传媒有限公司</t>
  </si>
  <si>
    <t>2024-01-03</t>
  </si>
  <si>
    <t>2026-01-02</t>
  </si>
  <si>
    <t>2024-01-23</t>
  </si>
  <si>
    <t>2024-02-04</t>
  </si>
  <si>
    <t>北京西柚传媒科技有限公司</t>
  </si>
  <si>
    <t>2024-02-22</t>
  </si>
  <si>
    <t>2025-02-21</t>
  </si>
  <si>
    <t>宠心府</t>
  </si>
  <si>
    <t>2024-05-24</t>
  </si>
  <si>
    <t>2024-03-08</t>
  </si>
  <si>
    <t>2024-03-15</t>
  </si>
  <si>
    <t>北京京西视通广告传媒有限公司</t>
  </si>
  <si>
    <t>2025-03-19</t>
  </si>
  <si>
    <t>2025-03-24</t>
  </si>
  <si>
    <t>2024-03-26</t>
  </si>
  <si>
    <t>2024-04-25</t>
  </si>
  <si>
    <t>茶米茶,呷哺呷哺</t>
  </si>
  <si>
    <t>北京四两视界广告传媒有限公司</t>
  </si>
  <si>
    <t>2024-04-10</t>
  </si>
  <si>
    <t>2024-10-14</t>
  </si>
  <si>
    <t>2024-04-26</t>
  </si>
  <si>
    <t>2024-10-26</t>
  </si>
  <si>
    <t>北京志盟家合广告有限公司</t>
  </si>
  <si>
    <t>2024-12-06</t>
  </si>
  <si>
    <t>橙视联动(北京)传媒科技有限公司</t>
  </si>
  <si>
    <t>2024-08-09</t>
  </si>
  <si>
    <t>2025-10-26</t>
  </si>
  <si>
    <t>熙悦天街上半年收入达成(万元）</t>
  </si>
  <si>
    <t>合同号</t>
  </si>
  <si>
    <t>1-9月</t>
  </si>
  <si>
    <t>201904158209</t>
  </si>
  <si>
    <t>201904118165</t>
  </si>
  <si>
    <t>202105150042</t>
  </si>
  <si>
    <t>201906118938</t>
  </si>
  <si>
    <t>202212300030</t>
  </si>
  <si>
    <t>ZS2023081810074</t>
  </si>
  <si>
    <t>202008310033</t>
  </si>
  <si>
    <t>202104210178</t>
  </si>
  <si>
    <t>ZS2024070310122</t>
  </si>
  <si>
    <t>ZS2024073010207</t>
  </si>
  <si>
    <t>202203210007</t>
  </si>
  <si>
    <t>ZS2024030510121</t>
  </si>
  <si>
    <t>ZS2024080810149</t>
  </si>
  <si>
    <t>202104010120</t>
  </si>
  <si>
    <t>ZS2023090610034</t>
  </si>
  <si>
    <t>202108120164</t>
  </si>
  <si>
    <t>2020040312969</t>
  </si>
  <si>
    <t>ZS2023081110011</t>
  </si>
  <si>
    <t>202101250024</t>
  </si>
  <si>
    <t>ZS2024080910069</t>
  </si>
  <si>
    <t>202105170061</t>
  </si>
  <si>
    <t>ZS2023051110087</t>
  </si>
  <si>
    <t>ZS2024081410150</t>
  </si>
  <si>
    <t>ZS2024070510032</t>
  </si>
  <si>
    <t>202105150045</t>
  </si>
  <si>
    <t>202208160098</t>
  </si>
  <si>
    <t>202204260068</t>
  </si>
  <si>
    <t>ZS2024080910097</t>
  </si>
  <si>
    <t>ZS2024071710035</t>
  </si>
  <si>
    <t>202303290035</t>
  </si>
  <si>
    <t>ZS2023101710151</t>
  </si>
  <si>
    <t>202101050048</t>
  </si>
  <si>
    <t>2019112211502</t>
  </si>
  <si>
    <t>202205260071</t>
  </si>
  <si>
    <t>202208010039</t>
  </si>
  <si>
    <t>ZS2024073110105</t>
  </si>
  <si>
    <t>ZS2024062410156</t>
  </si>
  <si>
    <t>ZS2023061310231</t>
  </si>
  <si>
    <t>ZS2024012210067</t>
  </si>
  <si>
    <t>202007270100</t>
  </si>
  <si>
    <t>ZS2024081510064</t>
  </si>
  <si>
    <t>ZS2023082110130</t>
  </si>
  <si>
    <t>2020042813293</t>
  </si>
  <si>
    <t>ZS2023081010031</t>
  </si>
  <si>
    <t>202106270053</t>
  </si>
  <si>
    <t>ZS2024081510100</t>
  </si>
  <si>
    <t>ZS2024080610203</t>
  </si>
  <si>
    <t>ZS2023071010126</t>
  </si>
  <si>
    <t>ZS2024080710108</t>
  </si>
  <si>
    <t>ZS2024080910041</t>
  </si>
  <si>
    <t>202011270049</t>
  </si>
  <si>
    <t>ZS2023090410134</t>
  </si>
  <si>
    <t>202207040046</t>
  </si>
  <si>
    <t>ZS2024070110175</t>
  </si>
  <si>
    <t>ZS2024031310035</t>
  </si>
  <si>
    <t>202307060004</t>
  </si>
  <si>
    <t>2020042313197</t>
  </si>
  <si>
    <t>201906149024</t>
  </si>
  <si>
    <t>202301120048</t>
  </si>
  <si>
    <t>ZS2023112210136</t>
  </si>
  <si>
    <t>202012230020</t>
  </si>
  <si>
    <t>202103150042</t>
  </si>
  <si>
    <t>202106010138</t>
  </si>
  <si>
    <t>2019102510979</t>
  </si>
  <si>
    <t>ZS2023102010222</t>
  </si>
  <si>
    <t>202106240185</t>
  </si>
  <si>
    <t>ZS2024082110022</t>
  </si>
  <si>
    <t>202211280066</t>
  </si>
  <si>
    <t>ZS2024062510160</t>
  </si>
  <si>
    <t>202105150043</t>
  </si>
  <si>
    <t>ZS2024032510248</t>
  </si>
  <si>
    <t>202302080035</t>
  </si>
  <si>
    <t>ZS2024081610022</t>
  </si>
  <si>
    <t>ZS2023082410077</t>
  </si>
  <si>
    <t>ZS2023100810043</t>
  </si>
  <si>
    <t>202105180022</t>
  </si>
  <si>
    <t>202208120057</t>
  </si>
  <si>
    <t>202209230045</t>
  </si>
  <si>
    <t>ZS2024081910182</t>
  </si>
  <si>
    <t>202101190057</t>
  </si>
  <si>
    <t>2019100910627</t>
  </si>
  <si>
    <t>202208290057</t>
  </si>
  <si>
    <t>202011180147</t>
  </si>
  <si>
    <t>202102200083</t>
  </si>
  <si>
    <t>202105200025</t>
  </si>
  <si>
    <t>202207180062</t>
  </si>
  <si>
    <t>ZS2024030610043</t>
  </si>
  <si>
    <t>ZS2024031310012</t>
  </si>
  <si>
    <t>ZS2023062710226</t>
  </si>
  <si>
    <t>2019111711411</t>
  </si>
  <si>
    <t>ZS2024081510061</t>
  </si>
  <si>
    <t>ZS2024070810103</t>
  </si>
  <si>
    <t>ZS2024062510244</t>
  </si>
  <si>
    <t>2019110611247</t>
  </si>
  <si>
    <t>202204260010</t>
  </si>
  <si>
    <t>ZS2023092610077</t>
  </si>
  <si>
    <t>ZS2023071910076</t>
  </si>
  <si>
    <t>202308040005</t>
  </si>
  <si>
    <t>202011030087</t>
  </si>
  <si>
    <t>202009280009</t>
  </si>
  <si>
    <t>ZS2023111410030</t>
  </si>
  <si>
    <t>202012280067</t>
  </si>
  <si>
    <t>ZS2024081610112</t>
  </si>
  <si>
    <t>ZS2024081510131</t>
  </si>
  <si>
    <t>ZS2023052210115</t>
  </si>
  <si>
    <t>ZS2024082310079</t>
  </si>
  <si>
    <t>ZS2024020110127</t>
  </si>
  <si>
    <t>ZS2024051310071</t>
  </si>
  <si>
    <t>ZS2024052110174</t>
  </si>
  <si>
    <t>ZS2024011510155</t>
  </si>
  <si>
    <t>202104260258</t>
  </si>
  <si>
    <t>202104010132</t>
  </si>
  <si>
    <t>ZS2023120810047</t>
  </si>
  <si>
    <t>202008050038</t>
  </si>
  <si>
    <t>ZS2024071010173</t>
  </si>
  <si>
    <t>ZS2024081910146</t>
  </si>
  <si>
    <t>ZS2024073110144</t>
  </si>
  <si>
    <t>ZS2023091210217</t>
  </si>
  <si>
    <t>202108020031</t>
  </si>
  <si>
    <t>2019120611733</t>
  </si>
  <si>
    <t>201907179382</t>
  </si>
  <si>
    <t>ZS2024011210004</t>
  </si>
  <si>
    <t>ZS2024072910174</t>
  </si>
  <si>
    <t>ZS2023121210088</t>
  </si>
  <si>
    <t>ZS2023090510044</t>
  </si>
  <si>
    <t>ZS2023101910267</t>
  </si>
  <si>
    <t>202207210051</t>
  </si>
  <si>
    <t>202104250052</t>
  </si>
  <si>
    <t>202105160039</t>
  </si>
  <si>
    <t>ZS2023112010041</t>
  </si>
  <si>
    <t>202104100013</t>
  </si>
  <si>
    <t>ZS2024082210181</t>
  </si>
  <si>
    <t>ZS2024062410263</t>
  </si>
  <si>
    <t>ZS2024081610140</t>
  </si>
  <si>
    <t>202105160005</t>
  </si>
  <si>
    <t>202101110102</t>
  </si>
  <si>
    <t>202012300014</t>
  </si>
  <si>
    <t>ZS2023091910171</t>
  </si>
  <si>
    <t>ZS2024072910152</t>
  </si>
  <si>
    <t>202209060007</t>
  </si>
  <si>
    <t>ZS2024071010095</t>
  </si>
  <si>
    <t>ZS2024072210087</t>
  </si>
  <si>
    <t>202007310049</t>
  </si>
  <si>
    <t>ZS2024062110217</t>
  </si>
  <si>
    <t>ZS2024062010132</t>
  </si>
  <si>
    <t>202012110081</t>
  </si>
  <si>
    <t>ZS2023101710084</t>
  </si>
  <si>
    <t>ZS2024082610244</t>
  </si>
  <si>
    <t>ZS2024012210048</t>
  </si>
  <si>
    <t>202104240010</t>
  </si>
  <si>
    <t>202102090009</t>
  </si>
  <si>
    <t>ZS2023101810212</t>
  </si>
  <si>
    <t>202105170125</t>
  </si>
  <si>
    <t>202211040006</t>
  </si>
  <si>
    <t>202102220095</t>
  </si>
  <si>
    <t>202104130105</t>
  </si>
  <si>
    <t>ZS2023081710007</t>
  </si>
  <si>
    <t>ZS2024081610216</t>
  </si>
  <si>
    <t>ZS2023082310324</t>
  </si>
  <si>
    <t>ZS2024071110169</t>
  </si>
  <si>
    <t>ZS2024090610096</t>
  </si>
  <si>
    <t>ZS2024070410102</t>
  </si>
  <si>
    <t>2019100810608</t>
  </si>
  <si>
    <t>2019120311679</t>
  </si>
  <si>
    <t>2019120511725</t>
  </si>
  <si>
    <t>202209070090</t>
  </si>
  <si>
    <t>ZS2023081810042</t>
  </si>
  <si>
    <t>2019090910199</t>
  </si>
  <si>
    <t>ZS2024070110140</t>
  </si>
  <si>
    <t>202303160092</t>
  </si>
  <si>
    <t>202303210086</t>
  </si>
  <si>
    <t>202303130093</t>
  </si>
  <si>
    <t>ZS2023102710089</t>
  </si>
  <si>
    <t>ZS2023061310148</t>
  </si>
  <si>
    <t>202208020015</t>
  </si>
  <si>
    <t>202012020132</t>
  </si>
  <si>
    <t>ZS2024062110214</t>
  </si>
  <si>
    <t>202204220023</t>
  </si>
  <si>
    <t>ZS2023091810301</t>
  </si>
  <si>
    <t>ZS2023072010050</t>
  </si>
  <si>
    <t>202007240093</t>
  </si>
  <si>
    <t>ZS2024022310124</t>
  </si>
  <si>
    <t>202104210192</t>
  </si>
  <si>
    <t>ZS2023102510059</t>
  </si>
  <si>
    <t>ZS2023081810121</t>
  </si>
  <si>
    <t>201908279998</t>
  </si>
  <si>
    <t>ZS2024081610212</t>
  </si>
  <si>
    <t>202104210190</t>
  </si>
  <si>
    <t>ZS2023120510067</t>
  </si>
  <si>
    <t>ZS2024080610057</t>
  </si>
  <si>
    <t>ZS2024080210097</t>
  </si>
  <si>
    <t>ZS2024081410120</t>
  </si>
  <si>
    <t>202207210063</t>
  </si>
  <si>
    <t>ZS2023101310145</t>
  </si>
  <si>
    <t>ZS2024070910216</t>
  </si>
  <si>
    <t>202303270075</t>
  </si>
  <si>
    <t>202207130023</t>
  </si>
  <si>
    <t>ZS2024061110190</t>
  </si>
  <si>
    <t>2019112511522</t>
  </si>
  <si>
    <t>202104270100</t>
  </si>
  <si>
    <t>ZS2023110710177</t>
  </si>
  <si>
    <t>202302160089</t>
  </si>
  <si>
    <t>202301160042</t>
  </si>
  <si>
    <t>ZS2024062010087</t>
  </si>
  <si>
    <t>ZS2024081910134</t>
  </si>
  <si>
    <t>202010260149</t>
  </si>
  <si>
    <t>202102030092</t>
  </si>
  <si>
    <t>ZS2024072910129</t>
  </si>
  <si>
    <t>2019082910049</t>
  </si>
  <si>
    <t>201908229920</t>
  </si>
  <si>
    <t>ZS2023052910170</t>
  </si>
  <si>
    <t>2020040312957</t>
  </si>
  <si>
    <t>202105240193</t>
  </si>
  <si>
    <t>202211010049</t>
  </si>
  <si>
    <t>ZS2024061910146</t>
  </si>
  <si>
    <t>202106270057</t>
  </si>
  <si>
    <t>ZS2024070110188</t>
  </si>
  <si>
    <t>ZS2024011510168</t>
  </si>
  <si>
    <t>ZS2024012410006</t>
  </si>
  <si>
    <t>ZS2024071110145</t>
  </si>
  <si>
    <t>ZS2023070510127</t>
  </si>
  <si>
    <t>ZS2023080810104</t>
  </si>
  <si>
    <t>ZS2023090310027</t>
  </si>
  <si>
    <t>202102010065</t>
  </si>
  <si>
    <t>202208250016</t>
  </si>
  <si>
    <t>ZS2023051810048</t>
  </si>
  <si>
    <t>202010200084</t>
  </si>
  <si>
    <t>ZS2023080710090</t>
  </si>
  <si>
    <t>202104120138</t>
  </si>
  <si>
    <t>ZS2023111310253</t>
  </si>
  <si>
    <t>2019092610531</t>
  </si>
  <si>
    <t>ZS2023042510184</t>
  </si>
  <si>
    <t>ZS2023081510112</t>
  </si>
  <si>
    <t>202011240178</t>
  </si>
  <si>
    <t>ZS2023081710088</t>
  </si>
  <si>
    <t>ZS2024071910029</t>
  </si>
  <si>
    <t>202106180157</t>
  </si>
  <si>
    <t>ZS2024081510095</t>
  </si>
  <si>
    <t>ZS2023080810083</t>
  </si>
  <si>
    <t>ZS2024062110089</t>
  </si>
  <si>
    <t>202105260141</t>
  </si>
  <si>
    <t>ZS2024072310158</t>
  </si>
  <si>
    <t>202302280032</t>
  </si>
  <si>
    <t>ZS2024071610135</t>
  </si>
  <si>
    <t>2019102510976</t>
  </si>
  <si>
    <t>ZS2023072810007</t>
  </si>
  <si>
    <t>202307140012</t>
  </si>
  <si>
    <t>ZS2024031310078</t>
  </si>
  <si>
    <t>2019100810612</t>
  </si>
  <si>
    <t>ZS2023110810146</t>
  </si>
  <si>
    <t>202101130068</t>
  </si>
  <si>
    <t>202104100009</t>
  </si>
  <si>
    <t>2019121611901</t>
  </si>
  <si>
    <t>202201240078</t>
  </si>
  <si>
    <t>202303010012</t>
  </si>
  <si>
    <t>202007150099</t>
  </si>
  <si>
    <t>ZS2024070510100</t>
  </si>
  <si>
    <t>ZS2023071210042</t>
  </si>
  <si>
    <t>2019092010443</t>
  </si>
  <si>
    <t>ZS2024082210128</t>
  </si>
  <si>
    <t>202212120010</t>
  </si>
  <si>
    <t>ZS2024072410082</t>
  </si>
  <si>
    <t>ZS2024042410248</t>
  </si>
  <si>
    <t>ZS2024060610083</t>
  </si>
  <si>
    <t>ZS2024052810129</t>
  </si>
  <si>
    <t>ZS2024052810074</t>
  </si>
  <si>
    <t>ZS2024032110010</t>
  </si>
  <si>
    <t>ZS2024062110182</t>
  </si>
  <si>
    <t>ZS2024070110180</t>
  </si>
  <si>
    <t>ZS2024061210061</t>
  </si>
  <si>
    <t>ZS2024062810002</t>
  </si>
  <si>
    <t>ZS2024070510147</t>
  </si>
  <si>
    <t>202011240131</t>
  </si>
  <si>
    <t>ZS2024071710140</t>
  </si>
  <si>
    <t>ZS2024070910070</t>
  </si>
  <si>
    <t>ZS2024062510214</t>
  </si>
  <si>
    <t>ZS2024061310136</t>
  </si>
  <si>
    <t>ZS2024042610057</t>
  </si>
  <si>
    <t>ZS2023102510139</t>
  </si>
  <si>
    <t>ZS2024061910138</t>
  </si>
  <si>
    <t>PT2022122610067</t>
  </si>
  <si>
    <t>PT2023031610004</t>
  </si>
  <si>
    <t>PT2023010410092</t>
  </si>
  <si>
    <t>PT2024032110145</t>
  </si>
  <si>
    <t>PT2024042810225</t>
  </si>
  <si>
    <t>PT2024040410012</t>
  </si>
  <si>
    <t>PT2023011710020</t>
  </si>
  <si>
    <t>PT2024022710122</t>
  </si>
  <si>
    <t>PT2024012310011</t>
  </si>
  <si>
    <t>PT2024011610084</t>
  </si>
  <si>
    <t>PT2024010410109</t>
  </si>
  <si>
    <t>PT2024010410054</t>
  </si>
  <si>
    <t>PT2023122810032</t>
  </si>
  <si>
    <t>PT2023111610222</t>
  </si>
  <si>
    <t>PT2023110110130</t>
  </si>
  <si>
    <t>PT2023103010095</t>
  </si>
  <si>
    <t>PT2023102610188</t>
  </si>
  <si>
    <t>PT2023101910153</t>
  </si>
  <si>
    <t>PT2023081410148</t>
  </si>
  <si>
    <t>PT2024051810022</t>
  </si>
  <si>
    <t>PT2024032610246</t>
  </si>
  <si>
    <t>PT2023121810039</t>
  </si>
  <si>
    <t>PT2023112810236</t>
  </si>
  <si>
    <t>PT2023102610075</t>
  </si>
  <si>
    <t>PT2023092610142</t>
  </si>
  <si>
    <t>PT2023092610078</t>
  </si>
  <si>
    <t>PT2023090110159</t>
  </si>
  <si>
    <t>PT2023082810146</t>
  </si>
  <si>
    <t>PT2023082110270</t>
  </si>
  <si>
    <t>PT2023082110092</t>
  </si>
  <si>
    <t>PT2023081510256</t>
  </si>
  <si>
    <t>PT2023081410248</t>
  </si>
  <si>
    <t>PT2023081410239</t>
  </si>
  <si>
    <t>PT2023080210026</t>
  </si>
  <si>
    <t>PT2023072610062</t>
  </si>
  <si>
    <t>PT2023072410108</t>
  </si>
  <si>
    <t>PT2023070310094</t>
  </si>
  <si>
    <t>PT2024021910045</t>
  </si>
  <si>
    <t>PT2024011510079</t>
  </si>
  <si>
    <t>PT2023122710228</t>
  </si>
  <si>
    <t>PT2023111310179</t>
  </si>
  <si>
    <t>PT2023101710136</t>
  </si>
  <si>
    <t>PT2023081510201</t>
  </si>
  <si>
    <t>PT2023081410249</t>
  </si>
  <si>
    <t>PT2023071910075</t>
  </si>
  <si>
    <t>PT2024051610005</t>
  </si>
  <si>
    <t>PT2024041310002</t>
  </si>
  <si>
    <t>PT2024041010111</t>
  </si>
  <si>
    <t>PT2024031410103</t>
  </si>
  <si>
    <t>PT2024020510112</t>
  </si>
  <si>
    <t>PT2023060510131</t>
  </si>
  <si>
    <t>PT2023052410014</t>
  </si>
  <si>
    <t>PT2023042410164</t>
  </si>
  <si>
    <t>PT2023022810043</t>
  </si>
  <si>
    <t>PT2023021510117</t>
  </si>
  <si>
    <t>PT2023021510116</t>
  </si>
  <si>
    <t>PT2023032710151</t>
  </si>
  <si>
    <t>PT2024071710264</t>
  </si>
  <si>
    <t>PT2024070310008</t>
  </si>
  <si>
    <t>PT2024063010027</t>
  </si>
  <si>
    <t>PT2024071010096</t>
  </si>
  <si>
    <t>PT2024062410160</t>
  </si>
  <si>
    <t>PT2024061310198</t>
  </si>
  <si>
    <t>PT2024073010188</t>
  </si>
  <si>
    <t>PT2024070110055</t>
  </si>
  <si>
    <t>PT2024071710210</t>
  </si>
  <si>
    <t>PT2024081810017</t>
  </si>
  <si>
    <t>PT2024062710189</t>
  </si>
  <si>
    <t>ZS2023101610093</t>
  </si>
  <si>
    <t>ZS2023102410062</t>
  </si>
  <si>
    <t>ZS2023112710068</t>
  </si>
  <si>
    <t>ZS2023121210171</t>
  </si>
  <si>
    <t>ZS2023122510187</t>
  </si>
  <si>
    <t>ZS2024010910136</t>
  </si>
  <si>
    <t>ZS2024022810186</t>
  </si>
  <si>
    <t>ZS2024030110120</t>
  </si>
  <si>
    <t>ZS2024032010055</t>
  </si>
  <si>
    <t>GC2022050500025</t>
  </si>
  <si>
    <t>GC2022080110015</t>
  </si>
  <si>
    <t>GC2022071910119</t>
  </si>
  <si>
    <t>GC2022083010130</t>
  </si>
  <si>
    <t>GC2023010710048</t>
  </si>
  <si>
    <t>GC2023021410020</t>
  </si>
  <si>
    <t>GC2023022310138</t>
  </si>
  <si>
    <t>GC2023031310109</t>
  </si>
  <si>
    <t>GC2023031410024</t>
  </si>
  <si>
    <t>GC2023041210133</t>
  </si>
  <si>
    <t>GC2023031410057</t>
  </si>
  <si>
    <t>GC2023031710115</t>
  </si>
  <si>
    <t>GC2023041110136</t>
  </si>
  <si>
    <t>GC2023041310133</t>
  </si>
  <si>
    <t>GC2023061310254</t>
  </si>
  <si>
    <t>GC2023060810144</t>
  </si>
  <si>
    <t>GC2023060710057</t>
  </si>
  <si>
    <t>GC2023070410178</t>
  </si>
  <si>
    <t>GC2023071310065</t>
  </si>
  <si>
    <t>GC2023090510182</t>
  </si>
  <si>
    <t>GC2023083110051</t>
  </si>
  <si>
    <t>GC2023082810356</t>
  </si>
  <si>
    <t>GC2023091810317</t>
  </si>
  <si>
    <t>GC2023091810315</t>
  </si>
  <si>
    <t>GC2023090510111</t>
  </si>
  <si>
    <t>GC2023090510220</t>
  </si>
  <si>
    <t>GC2023092010156</t>
  </si>
  <si>
    <t>GC2023101810170</t>
  </si>
  <si>
    <t>GC2023101810065</t>
  </si>
  <si>
    <t>GC2023112910251</t>
  </si>
  <si>
    <t>GC2023112710253</t>
  </si>
  <si>
    <t>GC2023110110087</t>
  </si>
  <si>
    <t>GC2023112710125</t>
  </si>
  <si>
    <t>GC2023120410207</t>
  </si>
  <si>
    <t>GC2023121110083</t>
  </si>
  <si>
    <t>GC2023120410150</t>
  </si>
  <si>
    <t>GC2023121910256</t>
  </si>
  <si>
    <t>GC2023121910255</t>
  </si>
  <si>
    <t>GC2023121910080</t>
  </si>
  <si>
    <t>GC2023122510214</t>
  </si>
  <si>
    <t>GC2023121810223</t>
  </si>
  <si>
    <t>GC2023122710110</t>
  </si>
  <si>
    <t>GC2024010410111</t>
  </si>
  <si>
    <t>GC2024011610066</t>
  </si>
  <si>
    <t>GC2024011610071</t>
  </si>
  <si>
    <t>GC2024012310166</t>
  </si>
  <si>
    <t>GC2024012210119</t>
  </si>
  <si>
    <t>GC2024013110059</t>
  </si>
  <si>
    <t>GC2024010410119</t>
  </si>
  <si>
    <t>GC2024020710044</t>
  </si>
  <si>
    <t>GC2024022210127</t>
  </si>
  <si>
    <t>GC2024022910139</t>
  </si>
  <si>
    <t>GC2024030210007</t>
  </si>
  <si>
    <t>GC2024030910025</t>
  </si>
  <si>
    <t>GC2024022710214</t>
  </si>
  <si>
    <t>GC2024030410075</t>
  </si>
  <si>
    <t>GC2024032510224</t>
  </si>
  <si>
    <t>GC2024032810122</t>
  </si>
  <si>
    <t>GC2024031510108</t>
  </si>
  <si>
    <t>GC2024040110151</t>
  </si>
  <si>
    <t>GC2024040210188</t>
  </si>
  <si>
    <t>GC2024031510117</t>
  </si>
  <si>
    <t>GC2024040910205</t>
  </si>
  <si>
    <t>GC2024041210177</t>
  </si>
  <si>
    <t>GC2024041610218</t>
  </si>
  <si>
    <t>GC2024041510213</t>
  </si>
  <si>
    <t>GC2024040310084</t>
  </si>
  <si>
    <t>GC2024040610019</t>
  </si>
  <si>
    <t>GC2024041010123</t>
  </si>
  <si>
    <t>GC2024040110161</t>
  </si>
  <si>
    <t>GC2024041710084</t>
  </si>
  <si>
    <t>GC2024041010107</t>
  </si>
  <si>
    <t>GC2024042510119</t>
  </si>
  <si>
    <t>GC2024042210192</t>
  </si>
  <si>
    <t>GC2024042810161</t>
  </si>
  <si>
    <t>GC2024042510225</t>
  </si>
  <si>
    <t>GC2024041810183</t>
  </si>
  <si>
    <t>GC2024041510185</t>
  </si>
  <si>
    <t>GC2024041610033</t>
  </si>
  <si>
    <t>GC2024041810193</t>
  </si>
  <si>
    <t>GC2024042310162</t>
  </si>
  <si>
    <t>GC2024043010082</t>
  </si>
  <si>
    <t>GC2024050810156</t>
  </si>
  <si>
    <t>GC2024051110151</t>
  </si>
  <si>
    <t>GC2024042610100</t>
  </si>
  <si>
    <t>GC2024051810020</t>
  </si>
  <si>
    <t>GC2024050810160</t>
  </si>
  <si>
    <t>GC2024051710074</t>
  </si>
  <si>
    <t>GC2024050810179</t>
  </si>
  <si>
    <t>GC2024052510004</t>
  </si>
  <si>
    <t>GC2024051610186</t>
  </si>
  <si>
    <t>GC2024051510205</t>
  </si>
  <si>
    <t>GC2024052210022</t>
  </si>
  <si>
    <t>GC2024052710131</t>
  </si>
  <si>
    <t>GC2024052810096</t>
  </si>
  <si>
    <t>GC2024052010242</t>
  </si>
  <si>
    <t>GC2024051710163</t>
  </si>
  <si>
    <t>GC2024060510093</t>
  </si>
  <si>
    <t>GC2024060510211</t>
  </si>
  <si>
    <t>GC2024060710167</t>
  </si>
  <si>
    <t>GC2024061210270</t>
  </si>
  <si>
    <t>GC2024052910236</t>
  </si>
  <si>
    <t>GC2024061810232</t>
  </si>
  <si>
    <t>GC2024061810220</t>
  </si>
  <si>
    <t>GC2024052910257</t>
  </si>
  <si>
    <t>GC2024062110256</t>
  </si>
  <si>
    <t>GC2024052410116</t>
  </si>
  <si>
    <t>GC2024062610077</t>
  </si>
  <si>
    <t>GC2024061910039</t>
  </si>
  <si>
    <t>GC2024062510216</t>
  </si>
  <si>
    <t>GC2024082110256</t>
  </si>
  <si>
    <t>GC2024072510160</t>
  </si>
  <si>
    <t>GC2024072010034</t>
  </si>
  <si>
    <t>GC2024071710190</t>
  </si>
  <si>
    <t>GC2024062010139</t>
  </si>
  <si>
    <t>GC2024071710202</t>
  </si>
  <si>
    <t>GC2024061310141</t>
  </si>
  <si>
    <t>GC2024072310274</t>
  </si>
  <si>
    <t>GC2024072310089</t>
  </si>
  <si>
    <t>GC2024070810140</t>
  </si>
  <si>
    <t>GC2024073110073</t>
  </si>
  <si>
    <t>GC2024062610023</t>
  </si>
  <si>
    <t>GC2024072410100</t>
  </si>
  <si>
    <t>GC2024072310270</t>
  </si>
  <si>
    <t>GC2024070810227</t>
  </si>
  <si>
    <t>GC2024070810225</t>
  </si>
  <si>
    <t>GC2024061210193</t>
  </si>
  <si>
    <t>GC2024053010165</t>
  </si>
  <si>
    <t>GC2024072310255</t>
  </si>
  <si>
    <t>GC2024071210217</t>
  </si>
  <si>
    <t>GC2024071210215</t>
  </si>
  <si>
    <t>GC2024082310075</t>
  </si>
  <si>
    <t>GC2024081910017</t>
  </si>
  <si>
    <t>GC2024080710029</t>
  </si>
  <si>
    <t>GC2024071610111</t>
  </si>
  <si>
    <t>GC2024071610090</t>
  </si>
  <si>
    <t>GC2024071610089</t>
  </si>
  <si>
    <t>GC2024071210211</t>
  </si>
  <si>
    <t>GC2024071210207</t>
  </si>
  <si>
    <t>GC2024071210194</t>
  </si>
  <si>
    <t>GC2024071210188</t>
  </si>
  <si>
    <t>GC2024071210184</t>
  </si>
  <si>
    <t>GC2024071210172</t>
  </si>
  <si>
    <t>GC2024071110111</t>
  </si>
  <si>
    <t>GC2024062010138</t>
  </si>
  <si>
    <t>GC2024061910254</t>
  </si>
  <si>
    <t>GC2024061910178</t>
  </si>
  <si>
    <t>GC2024080510014</t>
  </si>
  <si>
    <t>GC2024080110154</t>
  </si>
  <si>
    <t>GC2024072610028</t>
  </si>
  <si>
    <t>GC2024072510056</t>
  </si>
  <si>
    <t>GC2024082010136</t>
  </si>
  <si>
    <t>GC2024080510239</t>
  </si>
  <si>
    <t>GG2022021100006</t>
  </si>
  <si>
    <t>GG2022073110018</t>
  </si>
  <si>
    <t>GG2023010110015</t>
  </si>
  <si>
    <t>GG2023011010042</t>
  </si>
  <si>
    <t>GG2023020710003</t>
  </si>
  <si>
    <t>GG2023021310085</t>
  </si>
  <si>
    <t>GG2023032110015</t>
  </si>
  <si>
    <t>GG2023021410015</t>
  </si>
  <si>
    <t>GG2023022710054</t>
  </si>
  <si>
    <t>GG2023052910192</t>
  </si>
  <si>
    <t>GG2023051510160</t>
  </si>
  <si>
    <t>GG2023060710204</t>
  </si>
  <si>
    <t>GG2023052310216</t>
  </si>
  <si>
    <t>GG2023071310018</t>
  </si>
  <si>
    <t>GG2023081310002</t>
  </si>
  <si>
    <t>GG2023082110117</t>
  </si>
  <si>
    <t>GG2023083010098</t>
  </si>
  <si>
    <t>GG2023091910133</t>
  </si>
  <si>
    <t>GG2023081410107</t>
  </si>
  <si>
    <t>GG2023081010197</t>
  </si>
  <si>
    <t>GG2023081210059</t>
  </si>
  <si>
    <t>GG2023091110112</t>
  </si>
  <si>
    <t>GG2023092210052</t>
  </si>
  <si>
    <t>GG2023091210251</t>
  </si>
  <si>
    <t>GG2023102510085</t>
  </si>
  <si>
    <t>GG2023101810083</t>
  </si>
  <si>
    <t>GG2023110710172</t>
  </si>
  <si>
    <t>GG2023110810203</t>
  </si>
  <si>
    <t>GG2023101910250</t>
  </si>
  <si>
    <t>GG2023110710149</t>
  </si>
  <si>
    <t>GG2023112710256</t>
  </si>
  <si>
    <t>GG2023112710258</t>
  </si>
  <si>
    <t>GG2023112410210</t>
  </si>
  <si>
    <t>GG2023120810072</t>
  </si>
  <si>
    <t>GG2023120110150</t>
  </si>
  <si>
    <t>GG2023121810005</t>
  </si>
  <si>
    <t>GG2023121910174</t>
  </si>
  <si>
    <t>GG2023122610077</t>
  </si>
  <si>
    <t>GG2023120610211</t>
  </si>
  <si>
    <t>GG2023121310260</t>
  </si>
  <si>
    <t>GG2023111410079</t>
  </si>
  <si>
    <t>GG2023122610274</t>
  </si>
  <si>
    <t>GG2023122610010</t>
  </si>
  <si>
    <t>GG2023122610239</t>
  </si>
  <si>
    <t>GG2024011610015</t>
  </si>
  <si>
    <t>GG2024013010167</t>
  </si>
  <si>
    <t>GG2024020710027</t>
  </si>
  <si>
    <t>GG2024022010182</t>
  </si>
  <si>
    <t>GG2024022010169</t>
  </si>
  <si>
    <t>GG2024022110192</t>
  </si>
  <si>
    <t>GG2024030510200</t>
  </si>
  <si>
    <t>GG2024022810243</t>
  </si>
  <si>
    <t>GG2024030710101</t>
  </si>
  <si>
    <t>GG2024030710213</t>
  </si>
  <si>
    <t>GG2024031810130</t>
  </si>
  <si>
    <t>GG2024032510066</t>
  </si>
  <si>
    <t>GG2024032910185</t>
  </si>
  <si>
    <t>GG2024031410207</t>
  </si>
  <si>
    <t>GG2024031410199</t>
  </si>
  <si>
    <t>GG2024031410121</t>
  </si>
  <si>
    <t>GG2024031110228</t>
  </si>
  <si>
    <t>GG2024030510191</t>
  </si>
  <si>
    <t>GG2024040110158</t>
  </si>
  <si>
    <t>GG2024031910114</t>
  </si>
  <si>
    <t>GG2024042410136</t>
  </si>
  <si>
    <t>GG2024040810217</t>
  </si>
  <si>
    <t>GG2024040310208</t>
  </si>
  <si>
    <t>GG2024040710131</t>
  </si>
  <si>
    <t>GG2024040310104</t>
  </si>
  <si>
    <t>GG2024040410006</t>
  </si>
  <si>
    <t>GG2024040410005</t>
  </si>
  <si>
    <t>GG2024050610004</t>
  </si>
  <si>
    <t>GG2024052910166</t>
  </si>
  <si>
    <t>GG2024052310214</t>
  </si>
  <si>
    <t>GG2024060410132</t>
  </si>
  <si>
    <t>GG2024062510183</t>
  </si>
  <si>
    <t>GG2024071210013</t>
  </si>
  <si>
    <t>GG2024072510129</t>
  </si>
  <si>
    <t>GG2024061510038</t>
  </si>
  <si>
    <t>GG2024070210073</t>
  </si>
  <si>
    <t>GG2024072710013</t>
  </si>
  <si>
    <t>GG2024070210179</t>
  </si>
  <si>
    <t>GG2024061810118</t>
  </si>
  <si>
    <t>GG2024061710297</t>
  </si>
  <si>
    <t>GG2024061810090</t>
  </si>
  <si>
    <t>GG2024072810050</t>
  </si>
  <si>
    <t>GG2024071610104</t>
  </si>
  <si>
    <t>租费收入合计</t>
  </si>
  <si>
    <t>停车场收入</t>
  </si>
  <si>
    <t>B+C端线上收入</t>
  </si>
  <si>
    <t>其他经营收入</t>
  </si>
  <si>
    <t>收入合计</t>
  </si>
  <si>
    <t>天数</t>
    <phoneticPr fontId="134" type="noConversion"/>
  </si>
  <si>
    <t>熙悦天街2024年出租率及营业额</t>
  </si>
  <si>
    <t>月份</t>
  </si>
  <si>
    <t>1月</t>
  </si>
  <si>
    <t>2月</t>
  </si>
  <si>
    <t>3月</t>
  </si>
  <si>
    <t>4月</t>
  </si>
  <si>
    <t>5月</t>
  </si>
  <si>
    <t>6月</t>
  </si>
  <si>
    <t>7月</t>
  </si>
  <si>
    <t>8月</t>
  </si>
  <si>
    <t>9月</t>
  </si>
  <si>
    <t>10月</t>
  </si>
  <si>
    <t>11月</t>
  </si>
  <si>
    <t>12月</t>
  </si>
  <si>
    <t>累计</t>
  </si>
  <si>
    <t>出租率</t>
  </si>
  <si>
    <t>营业额(万元）</t>
  </si>
  <si>
    <t>地块名称</t>
  </si>
  <si>
    <t>城市</t>
  </si>
  <si>
    <t>区县</t>
  </si>
  <si>
    <t>板块</t>
  </si>
  <si>
    <t>地块编号</t>
  </si>
  <si>
    <t>建设用地面积(㎡)</t>
  </si>
  <si>
    <t>规划建筑面积(㎡)</t>
  </si>
  <si>
    <t>用地性质</t>
  </si>
  <si>
    <t>详细规划</t>
  </si>
  <si>
    <t>出让年限(年)</t>
  </si>
  <si>
    <t>容积率</t>
  </si>
  <si>
    <t>出让方式</t>
  </si>
  <si>
    <t>集中供地</t>
  </si>
  <si>
    <t>成交特殊政策</t>
  </si>
  <si>
    <t>成交时间</t>
  </si>
  <si>
    <t>交易状态</t>
  </si>
  <si>
    <t>开工进度</t>
  </si>
  <si>
    <t>受让单位</t>
  </si>
  <si>
    <t>成交价(万元)</t>
  </si>
  <si>
    <t>成交土地单价(元/㎡)</t>
  </si>
  <si>
    <t>成交每亩价(万元/亩)</t>
  </si>
  <si>
    <t>成交楼面价(元/㎡)</t>
  </si>
  <si>
    <t>溢价率(%)</t>
  </si>
  <si>
    <t>限地价(万元)</t>
  </si>
  <si>
    <t>政府指导价(元/㎡)</t>
  </si>
  <si>
    <t>限售价(元/㎡)</t>
  </si>
  <si>
    <t>基准地价</t>
  </si>
  <si>
    <t>项目名称</t>
  </si>
  <si>
    <t>北京市平谷区马坊镇02街区北区PG05-0101-D007地块商业用地</t>
  </si>
  <si>
    <t>平谷区</t>
  </si>
  <si>
    <t>马坊</t>
  </si>
  <si>
    <t>京土储挂(平)[2024]041号</t>
  </si>
  <si>
    <t>商业/办公用地</t>
  </si>
  <si>
    <t>商业用地</t>
  </si>
  <si>
    <t>商业40年</t>
  </si>
  <si>
    <t>1.20</t>
  </si>
  <si>
    <t>挂牌</t>
  </si>
  <si>
    <t/>
  </si>
  <si>
    <t>已成交</t>
  </si>
  <si>
    <t>未开工</t>
  </si>
  <si>
    <t>北京九擎科技有限公司</t>
  </si>
  <si>
    <t>3340元/㎡(十级办公用途2021-01-01)</t>
  </si>
  <si>
    <t>北京城市副中心1202街区FZX-1202-0074地块 F3其他类多功能用地国有建设用地使用权挂牌出让</t>
  </si>
  <si>
    <t>通州区</t>
  </si>
  <si>
    <t>环球度假区</t>
  </si>
  <si>
    <t>京土储挂(通)〔2024〕031号</t>
  </si>
  <si>
    <t>F3其他类多功能用地</t>
  </si>
  <si>
    <t>商业 40 年 办公 50 年</t>
  </si>
  <si>
    <t>2.20</t>
  </si>
  <si>
    <t>2024-09-11</t>
  </si>
  <si>
    <t>已开工</t>
  </si>
  <si>
    <t>北京通州鲸航置业发展有限公司</t>
  </si>
  <si>
    <t>11490元/㎡(六级办公用途2021-01-01)</t>
  </si>
  <si>
    <t>北京大兴国际机场临空经济区 DX16-0104-0013地块F3其他类多功能用地</t>
  </si>
  <si>
    <t>大兴区</t>
  </si>
  <si>
    <t>礼贤镇</t>
  </si>
  <si>
    <t>京土储挂(兴临空)〔2024〕030号</t>
  </si>
  <si>
    <t>1.30</t>
  </si>
  <si>
    <t>2024-09-04</t>
  </si>
  <si>
    <t>北京航城兴贤商业管理有限公司</t>
  </si>
  <si>
    <t>4860元/㎡(九级办公用途2021-01-01)</t>
  </si>
  <si>
    <t>北京经济技术开发区亦庄新城0701 街区 N17F3地块F3其他类多功能用地</t>
  </si>
  <si>
    <t>路南区</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</si>
  <si>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</si>
  <si>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</si>
  <si>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</si>
  <si>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</si>
  <si>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</si>
  <si>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</si>
  <si>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</si>
  <si>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</si>
  <si>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顺义区</t>
  </si>
  <si>
    <t>中央别墅区</t>
  </si>
  <si>
    <t>京土储挂(顺)[2024]024号</t>
  </si>
  <si>
    <t>B4综合性商业金融服务用地</t>
  </si>
  <si>
    <t>1.50</t>
  </si>
  <si>
    <t>北京罗红摄影艺术文化有限公司</t>
  </si>
  <si>
    <t>北京城市副中心通州运河核心区6号地项目VIII-09瓮城遗址公园地块国有建设用地使用权出让</t>
  </si>
  <si>
    <t>乔庄</t>
  </si>
  <si>
    <t>京土储挂(通)〔2024〕018号</t>
  </si>
  <si>
    <t>其他公园绿地、地下用地</t>
  </si>
  <si>
    <t>地面层:0.04、地下一层:0.43、地下二层:0.74</t>
  </si>
  <si>
    <t>北京城市副中心投资建设集团有限公司</t>
  </si>
  <si>
    <t>14980元/㎡(五级办公用途2021-01-01)</t>
  </si>
  <si>
    <t>北京市海淀区温泉镇中心区F16地块0901商业用地</t>
  </si>
  <si>
    <t>海淀区</t>
  </si>
  <si>
    <t>温泉镇南部</t>
  </si>
  <si>
    <t>京土储挂(海)[2024]014号</t>
  </si>
  <si>
    <t>0901商业用地</t>
  </si>
  <si>
    <t>1</t>
  </si>
  <si>
    <t>2024-05-28</t>
  </si>
  <si>
    <t>北京阳泰兴泉科技股份有限公司</t>
  </si>
  <si>
    <t>8580元/㎡(七级办公用途2021-01-01)</t>
  </si>
  <si>
    <t>北京市海淀区清河站北-安宁庄综合开发地块综合性商业金融服务业用地</t>
  </si>
  <si>
    <t>西二旗</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</si>
  <si>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</si>
  <si>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</si>
  <si>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</si>
  <si>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</si>
  <si>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</si>
  <si>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西北旺镇北</t>
  </si>
  <si>
    <t>京土储挂(海)[2024]008号</t>
  </si>
  <si>
    <t>F3其他类多功能用地、B23研发设计用地</t>
  </si>
  <si>
    <t>商业 40 年; 办公 50 年; 公服(科研) 20 年</t>
  </si>
  <si>
    <t>0175:1、6008:1.6</t>
  </si>
  <si>
    <t>北京翠湖智达科技服务有限责任公司</t>
  </si>
  <si>
    <t>北京市延庆区八达岭经济开发区光谷三街南侧YQ02-0102-6028-2地块F3其他类多功能用地</t>
  </si>
  <si>
    <t>延庆区</t>
  </si>
  <si>
    <t>康庄镇</t>
  </si>
  <si>
    <t>京土储挂(延)[2024]001号</t>
  </si>
  <si>
    <t>不大于2.3不小于2</t>
  </si>
  <si>
    <t>北京中发展领航科技有限公司</t>
  </si>
  <si>
    <t>北京市朝阳区大屯地区0205-659地块及周边储备用地B4综合性商业金融服务业用地</t>
  </si>
  <si>
    <t>朝阳区</t>
  </si>
  <si>
    <t>大屯</t>
  </si>
  <si>
    <t>京土储挂(朝)[2023]074号</t>
  </si>
  <si>
    <t>B4综合性商业金融服务业用地</t>
  </si>
  <si>
    <t>1.76</t>
  </si>
  <si>
    <t>安徽省高速地产集团有限公司</t>
  </si>
  <si>
    <t>24380元/㎡(三级办公用途2021-01-01)</t>
  </si>
  <si>
    <t>北京市海淀区学院路北端A、B、C、J地块B4综合性商业金融服务业用地、 B23研发设计用地</t>
  </si>
  <si>
    <t>学院路</t>
  </si>
  <si>
    <t>京土储挂(海)[2023]073号</t>
  </si>
  <si>
    <t>B4综合性商业金融服务业用地、B23研发设计用地</t>
  </si>
  <si>
    <t>商业 40 年; 办公 50 年; 公服(科研) 50 年</t>
  </si>
  <si>
    <t>4.04</t>
  </si>
  <si>
    <t>腾讯科技(北京)有限公司</t>
  </si>
  <si>
    <t>19290元/㎡(四级办公用途2021-01-01)</t>
  </si>
  <si>
    <t>北京市石景山区中关村科技园区石景山园北I区1605-650地块B23研发设计用地</t>
  </si>
  <si>
    <t>石景山区</t>
  </si>
  <si>
    <t>西山八大处</t>
  </si>
  <si>
    <t>京土储挂(石)[2023]072号</t>
  </si>
  <si>
    <t>B23研发设计用地</t>
  </si>
  <si>
    <t>2.40</t>
  </si>
  <si>
    <t>2024-01-17</t>
  </si>
  <si>
    <t>北京保恒置业发展有限公司</t>
  </si>
  <si>
    <t>北京丽泽金融商务区北区A地块建设及综合治理项目FT00-0609-0037(2)地块B4综合性商业金融服务业用地</t>
  </si>
  <si>
    <t>丰台区</t>
  </si>
  <si>
    <t>丽泽</t>
  </si>
  <si>
    <t>京土储挂(丰)[2023]067号</t>
  </si>
  <si>
    <t>商业40年 办公50年</t>
  </si>
  <si>
    <t>小于等于7</t>
  </si>
  <si>
    <t>中国南水北调集团综合服务有限公司</t>
  </si>
  <si>
    <t>北京市延庆区八达岭经济开发区光谷三街南侧YQ02-0102-6028-1-1地块F3其他类多功能用地</t>
  </si>
  <si>
    <t>京土储挂(延)[2023]047号</t>
  </si>
  <si>
    <t>商业40年办公50年</t>
  </si>
  <si>
    <t>2.30</t>
  </si>
  <si>
    <t>北京图精科技有限公司</t>
  </si>
  <si>
    <t>北京城市副中心0201街区玉桥家园中心FZX-0201-0096、0102地块F3其他类多功能用地国有建设用地使用权出让公告</t>
  </si>
  <si>
    <t>京土储挂(通)[2023]042号</t>
  </si>
  <si>
    <t>商业40年办公50年公服50年</t>
  </si>
  <si>
    <t>1.56</t>
  </si>
  <si>
    <t>北京通州投资发展有限公司</t>
  </si>
  <si>
    <t>北京市海淀区西北旺镇永丰产业基地(新)HD00-0403-004地块F3其他类多功能用地</t>
  </si>
  <si>
    <t>京土储挂(海)[2023]039号</t>
  </si>
  <si>
    <t>2023-08-03</t>
  </si>
  <si>
    <t>北京泽御置业有限公司</t>
  </si>
  <si>
    <t>北京城市副中心0403街区FZX-0403-0146、0148地块F3 其他类多功能用地</t>
  </si>
  <si>
    <t>通州北苑</t>
  </si>
  <si>
    <t>京土储挂(通)〔2023〕032号</t>
  </si>
  <si>
    <t>居住70年、商业40年、办公50年</t>
  </si>
  <si>
    <t>0146容积率3.82、0148容积率2.75</t>
  </si>
  <si>
    <t>2023-07-07</t>
  </si>
  <si>
    <t>北京市朝阳区太阳宫乡0301-613地块B4综合性商业金融服务业用地</t>
  </si>
  <si>
    <t>麦子店</t>
  </si>
  <si>
    <t>京土储挂(朝)[2023]031号</t>
  </si>
  <si>
    <t>4.50</t>
  </si>
  <si>
    <t>北京懋源鸿竺房地产开发有限公司</t>
  </si>
  <si>
    <t>29800元/㎡(二级办公用途2021-01-01)</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</si>
  <si>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</si>
  <si>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</si>
  <si>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</si>
  <si>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</si>
  <si>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</si>
  <si>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</si>
  <si>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</si>
  <si>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房山区</t>
  </si>
  <si>
    <t>窦店镇</t>
  </si>
  <si>
    <t>京土储挂(房)[2023]013号</t>
  </si>
  <si>
    <t>fs00-dd06-0018、0019容积率1.6;0023、0024容积率2.5</t>
  </si>
  <si>
    <t>2023-06-12</t>
  </si>
  <si>
    <t>北京京东方医院有限公司</t>
  </si>
  <si>
    <t>北京市通州区永顺镇0401街区 46号地块(西马庄收储) B4综合性商业金融服务业用地</t>
  </si>
  <si>
    <t>通州北关</t>
  </si>
  <si>
    <t>京土储挂(通)〔2023〕004号</t>
  </si>
  <si>
    <t>商业 40 年、办公 50 年</t>
  </si>
  <si>
    <t>≤2.8</t>
  </si>
  <si>
    <t>2023-04-14</t>
  </si>
  <si>
    <t>北京易创通景信息科技有限公司</t>
  </si>
  <si>
    <t>大兴区西红门镇集体经营性建设用地2号地2-002A地块</t>
  </si>
  <si>
    <t>西红门镇东</t>
  </si>
  <si>
    <t>京规自集使挂(兴)[2023]002号</t>
  </si>
  <si>
    <t>F81集体产业用地</t>
  </si>
  <si>
    <t>2</t>
  </si>
  <si>
    <t>2023-03-27</t>
  </si>
  <si>
    <t>电建智汇(北京)运营管理有限公司</t>
  </si>
  <si>
    <t>北京市朝阳区朝阳站交通枢纽南侧建设用地一体化项目0313-5597、5598、5599地块B4综合性商业金融服务业用地</t>
  </si>
  <si>
    <t>朝阳公园北</t>
  </si>
  <si>
    <t>京土储挂(朝)[2023]001号</t>
  </si>
  <si>
    <t>4.39</t>
  </si>
  <si>
    <t>2023-02-23</t>
  </si>
  <si>
    <t>北京顺进商务咨询有限公司</t>
  </si>
  <si>
    <t>北京大兴国际机场临空经济区DX12-0105-6103地块S5加油加气站(加氢站)用地</t>
  </si>
  <si>
    <t>榆垡镇</t>
  </si>
  <si>
    <t>京土储挂(兴临空)[2022]072号</t>
  </si>
  <si>
    <t>S5加油加气站(加氢站)用地</t>
  </si>
  <si>
    <t>≤0.4</t>
  </si>
  <si>
    <t>空气(北京)氢能科技有限公司</t>
  </si>
  <si>
    <t>北京市平谷区兴谷新消费综合体项目商业地块PG00-0106-0106地块B1商业用地</t>
  </si>
  <si>
    <t>兴谷</t>
  </si>
  <si>
    <t>京土储挂(平)[2022]071号</t>
  </si>
  <si>
    <t>B1商业用地</t>
  </si>
  <si>
    <t>1.90</t>
  </si>
  <si>
    <t>2023-01-10</t>
  </si>
  <si>
    <t>北京市平谷区联扶实业管理有限公司</t>
  </si>
  <si>
    <t>北京市石景山区中关村科技园石景山园北Ⅱ区西井地块土地一级开发项目1606-605地块B23研发设计用地</t>
  </si>
  <si>
    <t>苹果园</t>
  </si>
  <si>
    <t>京土储挂(石)[2022]070号</t>
  </si>
  <si>
    <t>50年</t>
  </si>
  <si>
    <t>3</t>
  </si>
  <si>
    <t>2023-01-05</t>
  </si>
  <si>
    <t>北京中关村工业互联网产业发展有限公司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</si>
  <si>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</si>
  <si>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</si>
  <si>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</si>
  <si>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</si>
  <si>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</si>
  <si>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</si>
  <si>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</si>
  <si>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北京市丰台区丽泽金融商务区D-01地块B4综合性商业金融服务业用地</t>
  </si>
  <si>
    <t>京土储挂(丰)[2022]043号</t>
  </si>
  <si>
    <t>≤6.33</t>
  </si>
  <si>
    <t>2022-08-25</t>
  </si>
  <si>
    <t>已竣工</t>
  </si>
  <si>
    <t>北京福榕置业有限公司</t>
  </si>
  <si>
    <t>北京市通州经济开发区西区南扩区 三、五、六期棚户区改造项目 FZX-1102-6002地块 F3其他类多功能用地</t>
  </si>
  <si>
    <t>张家湾休闲</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</si>
  <si>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</si>
  <si>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</si>
  <si>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</si>
  <si>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</si>
  <si>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</si>
  <si>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</si>
  <si>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</si>
  <si>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</si>
  <si>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</si>
  <si>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</si>
  <si>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</si>
  <si>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</si>
  <si>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</si>
  <si>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</si>
  <si>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</si>
  <si>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路东区</t>
  </si>
  <si>
    <t>京土储挂(开)[2022]039号</t>
  </si>
  <si>
    <t>商业40 年、办公 50 年</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</si>
  <si>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</si>
  <si>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</si>
  <si>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</si>
  <si>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</si>
  <si>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</si>
  <si>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</si>
  <si>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</si>
  <si>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</si>
  <si>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</si>
  <si>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</si>
  <si>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</si>
  <si>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</si>
  <si>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旧宫南</t>
  </si>
  <si>
    <t>京土整储挂(开)[2021]099号</t>
  </si>
  <si>
    <t>2022-02-08</t>
  </si>
  <si>
    <t>中国太平洋人寿保险股份有限公司</t>
  </si>
  <si>
    <t>北京市怀柔区怀北、雁栖镇HR00-0211-6031地块〔城市客厅B地块(北侧地块)〕F3其他类多功能用地(怀柔科学城核心区及周边土地一级开发项目)</t>
  </si>
  <si>
    <t>怀柔区</t>
  </si>
  <si>
    <t>雁栖</t>
  </si>
  <si>
    <t>京土整储挂(怀)[2021]097号</t>
  </si>
  <si>
    <t>2022-01-19</t>
  </si>
  <si>
    <t>北京怀柔科学城城开三部开发建设有限公司</t>
  </si>
  <si>
    <t>北京市怀柔区北房镇、怀北镇HR00-0211-6027、6028、6029、6030地块(城市客厅C地块)F3其他类多功能用地(怀柔科学城核心区及周边土地一级开发项目)</t>
  </si>
  <si>
    <t>西田各庄镇</t>
  </si>
  <si>
    <t>京土整储挂(怀)[2021]098号</t>
  </si>
  <si>
    <t>1.82</t>
  </si>
  <si>
    <t>北京怀柔科学城城开四部开发建设有限公司</t>
  </si>
  <si>
    <t>怀柔梧桐园</t>
  </si>
  <si>
    <t>北京城市副中心0101街区FZX-0101-0902地块F3其他类多功能用地</t>
  </si>
  <si>
    <t>通运</t>
  </si>
  <si>
    <t>京土整储挂(通)[2021]096号</t>
  </si>
  <si>
    <t>4</t>
  </si>
  <si>
    <t>2022-01-05</t>
  </si>
  <si>
    <t>华夏银行股份有限公司</t>
  </si>
  <si>
    <t>北京市大兴区黄村镇DX00-0201-6001地块B14旅馆用地</t>
  </si>
  <si>
    <t>黄村</t>
  </si>
  <si>
    <t>B14旅馆用地</t>
  </si>
  <si>
    <t>2021年第3批次</t>
  </si>
  <si>
    <t>2021-12-24</t>
  </si>
  <si>
    <t>北京大兴宾馆有限责任公司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</si>
  <si>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</si>
  <si>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</si>
  <si>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</si>
  <si>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</si>
  <si>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</si>
  <si>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</si>
  <si>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</si>
  <si>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北京市通州区张家湾车辆段综合利用供地项目FZX-1202-0079-02(上盖区)、FZX-1202-0079-03(落地区)、FZX-1202-0079-04(落地区)地块F3其他类多功能用地</t>
  </si>
  <si>
    <t>京土整储挂(通)[2021] 077号</t>
  </si>
  <si>
    <t>北京市基础设施投资有限公司 、北京首都旅游集团有限责任公司 、北京城建集团有限责任公司</t>
  </si>
  <si>
    <t>北京市石景山区首钢园区东南区土地一级开发项目1612-774地块B4综合性商业金融服务业用地</t>
  </si>
  <si>
    <t>八角南</t>
  </si>
  <si>
    <t>京土整储挂(石)[2021] 079号</t>
  </si>
  <si>
    <t>3.50</t>
  </si>
  <si>
    <t>北京首鹰置业有限公司</t>
  </si>
  <si>
    <t>自定义容积率</t>
  </si>
  <si>
    <t>不临65条商业街</t>
  </si>
  <si>
    <t>与级别开发程度不一致</t>
  </si>
  <si>
    <t>通路</t>
  </si>
  <si>
    <t>通电</t>
  </si>
  <si>
    <t>通讯</t>
  </si>
  <si>
    <t>通上水</t>
  </si>
  <si>
    <t>通下水</t>
  </si>
  <si>
    <t>燃气</t>
  </si>
  <si>
    <t>平整</t>
  </si>
  <si>
    <t>中心城区以外</t>
  </si>
  <si>
    <t>楼层修正</t>
  </si>
  <si>
    <t>B4</t>
    <phoneticPr fontId="3" type="noConversion"/>
  </si>
  <si>
    <t>F3</t>
    <phoneticPr fontId="3" type="noConversion"/>
  </si>
  <si>
    <r>
      <t>B14</t>
    </r>
    <r>
      <rPr>
        <sz val="11"/>
        <rFont val="宋体"/>
        <family val="3"/>
        <charset val="134"/>
      </rPr>
      <t>旅馆</t>
    </r>
    <phoneticPr fontId="3" type="noConversion"/>
  </si>
  <si>
    <t>B4</t>
  </si>
  <si>
    <t>F3</t>
  </si>
  <si>
    <t>B14旅馆</t>
  </si>
  <si>
    <t>竹木厂东路</t>
    <phoneticPr fontId="30" type="noConversion"/>
  </si>
  <si>
    <t>旧宫东西大街</t>
    <phoneticPr fontId="30" type="noConversion"/>
  </si>
  <si>
    <t>兴丰南大街</t>
    <phoneticPr fontId="30" type="noConversion"/>
  </si>
  <si>
    <t>规则</t>
  </si>
  <si>
    <t>三通</t>
  </si>
  <si>
    <t>五通</t>
  </si>
  <si>
    <r>
      <rPr>
        <sz val="11"/>
        <rFont val="宋体"/>
        <family val="3"/>
        <charset val="134"/>
      </rPr>
      <t>自持</t>
    </r>
    <r>
      <rPr>
        <sz val="11"/>
        <rFont val="Arial"/>
        <family val="2"/>
      </rPr>
      <t>50%20</t>
    </r>
    <r>
      <rPr>
        <sz val="11"/>
        <rFont val="宋体"/>
        <family val="3"/>
        <charset val="134"/>
      </rPr>
      <t>年</t>
    </r>
    <phoneticPr fontId="30" type="noConversion"/>
  </si>
  <si>
    <t>无自持</t>
    <phoneticPr fontId="30" type="noConversion"/>
  </si>
  <si>
    <t>京土整储挂(兴)[2021]089号</t>
    <phoneticPr fontId="134" type="noConversion"/>
  </si>
  <si>
    <t>https://j.map.baidu.com/9a/wHLi</t>
    <phoneticPr fontId="134" type="noConversion"/>
  </si>
  <si>
    <r>
      <rPr>
        <sz val="10"/>
        <color indexed="8"/>
        <rFont val="宋体"/>
        <family val="3"/>
        <charset val="134"/>
      </rPr>
      <t>临街底商</t>
    </r>
    <r>
      <rPr>
        <sz val="10"/>
        <color indexed="8"/>
        <rFont val="Arial"/>
        <family val="2"/>
      </rPr>
      <t>4.5-6</t>
    </r>
    <r>
      <rPr>
        <sz val="10"/>
        <color indexed="8"/>
        <rFont val="宋体"/>
        <family val="3"/>
        <charset val="134"/>
      </rPr>
      <t>块，档口铺位</t>
    </r>
    <r>
      <rPr>
        <sz val="10"/>
        <color indexed="8"/>
        <rFont val="Arial"/>
        <family val="2"/>
      </rPr>
      <t>10</t>
    </r>
    <r>
      <rPr>
        <sz val="10"/>
        <color indexed="8"/>
        <rFont val="宋体"/>
        <family val="3"/>
        <charset val="134"/>
      </rPr>
      <t>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</si>
</sst>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b/>
      <sz val="11"/>
      <color rgb="FF000000"/>
      <name val="宋体"/>
      <family val="3"/>
      <charset val="134"/>
    </font>
    <font>
      <sz val="11"/>
      <color rgb="FF000000"/>
      <name val="宋体"/>
      <family val="3"/>
      <charset val="134"/>
    </font>
    <font>
      <sz val="10"/>
      <color indexed="8"/>
      <name val="Arial"/>
      <family val="3"/>
      <charset val="134"/>
    </font>
    <font>
      <sz val="11"/>
      <color indexed="8"/>
      <name val="Arial"/>
      <family val="3"/>
      <charset val="134"/>
    </font>
    <font>
      <sz val="11"/>
      <color rgb="FF000000"/>
      <name val="宋体"/>
      <family val="3"/>
      <charset val="134"/>
      <scheme val="minor"/>
    </font>
    <font>
      <sz val="11"/>
      <color theme="1"/>
      <name val="宋体"/>
      <family val="3"/>
      <charset val="134"/>
      <scheme val="minor"/>
    </font>
    <font>
      <b/>
      <sz val="14"/>
      <color theme="0"/>
      <name val="微软雅黑"/>
      <family val="2"/>
      <charset val="134"/>
    </font>
    <font>
      <sz val="11"/>
      <color theme="1"/>
      <name val="微软雅黑"/>
      <family val="2"/>
      <charset val="134"/>
    </font>
    <font>
      <b/>
      <sz val="11"/>
      <color theme="0"/>
      <name val="微软雅黑"/>
      <family val="2"/>
      <charset val="134"/>
    </font>
    <font>
      <sz val="10"/>
      <name val="微软雅黑"/>
      <family val="2"/>
      <charset val="134"/>
    </font>
    <font>
      <sz val="11"/>
      <color indexed="8"/>
      <name val="微软雅黑"/>
      <family val="2"/>
      <charset val="134"/>
    </font>
    <font>
      <b/>
      <sz val="11"/>
      <color theme="1"/>
      <name val="微软雅黑"/>
      <family val="2"/>
      <charset val="134"/>
    </font>
    <font>
      <b/>
      <sz val="16"/>
      <color theme="0"/>
      <name val="微软雅黑"/>
      <family val="2"/>
      <charset val="134"/>
    </font>
    <font>
      <sz val="11"/>
      <color theme="0"/>
      <name val="微软雅黑"/>
      <family val="2"/>
      <charset val="134"/>
    </font>
    <font>
      <sz val="10"/>
      <color rgb="FFFF0000"/>
      <name val="宋体"/>
      <family val="3"/>
      <charset val="134"/>
      <scheme val="minor"/>
    </font>
    <font>
      <u/>
      <sz val="11"/>
      <color theme="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8" tint="-0.249977111117893"/>
        <bgColor indexed="64"/>
      </patternFill>
    </fill>
    <fill>
      <patternFill patternType="solid">
        <fgColor theme="9"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5" fillId="0" borderId="0" applyFont="0" applyFill="0" applyBorder="0" applyAlignment="0" applyProtection="0">
      <alignment vertical="center"/>
    </xf>
    <xf numFmtId="0" fontId="285" fillId="0" borderId="0" applyNumberFormat="0" applyFill="0" applyBorder="0" applyAlignment="0" applyProtection="0">
      <alignment vertical="center"/>
    </xf>
  </cellStyleXfs>
  <cellXfs count="35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wrapText="1"/>
    </xf>
    <xf numFmtId="0" fontId="94" fillId="0" borderId="1" xfId="10" applyFont="1" applyBorder="1" applyAlignment="1">
      <alignment horizontal="center" vertical="center"/>
    </xf>
    <xf numFmtId="0" fontId="19" fillId="0" borderId="1" xfId="10" applyFont="1" applyBorder="1" applyAlignment="1">
      <alignment horizontal="center" vertical="center"/>
    </xf>
    <xf numFmtId="0" fontId="95" fillId="0" borderId="1" xfId="10" applyBorder="1" applyAlignment="1">
      <alignment horizontal="left" vertical="center" wrapText="1"/>
    </xf>
    <xf numFmtId="0" fontId="95" fillId="0" borderId="1" xfId="10" applyBorder="1">
      <alignment vertical="center"/>
    </xf>
    <xf numFmtId="0" fontId="95" fillId="5" borderId="1" xfId="10" applyFill="1" applyBorder="1" applyAlignment="1">
      <alignment horizontal="left" vertical="center" wrapText="1"/>
    </xf>
    <xf numFmtId="0" fontId="95" fillId="0" borderId="1" xfId="10" applyBorder="1" applyAlignment="1">
      <alignment horizontal="center" vertical="center"/>
    </xf>
    <xf numFmtId="0" fontId="95" fillId="0" borderId="1" xfId="10" applyBorder="1" applyAlignment="1">
      <alignment horizontal="center" vertical="center" wrapText="1"/>
    </xf>
    <xf numFmtId="0" fontId="114" fillId="0" borderId="0" xfId="10" applyFont="1" applyAlignment="1">
      <alignment horizontal="center" vertical="center"/>
    </xf>
    <xf numFmtId="0" fontId="271" fillId="0" borderId="0" xfId="10" applyFont="1" applyAlignment="1">
      <alignment horizontal="center" vertical="center"/>
    </xf>
    <xf numFmtId="0" fontId="114" fillId="0" borderId="1" xfId="10" applyFont="1" applyBorder="1" applyAlignment="1">
      <alignment horizontal="center" vertical="center"/>
    </xf>
    <xf numFmtId="0" fontId="271" fillId="0" borderId="1" xfId="10" applyFont="1" applyBorder="1" applyAlignment="1">
      <alignment horizontal="center" vertical="center"/>
    </xf>
    <xf numFmtId="0" fontId="95" fillId="0" borderId="0" xfId="10" applyAlignment="1">
      <alignment horizontal="center" vertical="center"/>
    </xf>
    <xf numFmtId="14" fontId="95" fillId="0" borderId="0" xfId="10" applyNumberFormat="1" applyAlignment="1">
      <alignment horizontal="left" vertical="center" wrapText="1"/>
    </xf>
    <xf numFmtId="0" fontId="77" fillId="12" borderId="0" xfId="0" applyFont="1" applyFill="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7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272" fillId="12" borderId="0" xfId="0" applyFont="1" applyFill="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5" fillId="5" borderId="1" xfId="10" applyFill="1" applyBorder="1" applyAlignment="1">
      <alignment horizontal="center" vertical="center"/>
    </xf>
    <xf numFmtId="0" fontId="95" fillId="5" borderId="0" xfId="10" applyFill="1" applyAlignment="1">
      <alignment horizontal="center" vertical="center"/>
    </xf>
    <xf numFmtId="0" fontId="96" fillId="0" borderId="1" xfId="10" applyFont="1" applyBorder="1" applyAlignment="1">
      <alignment horizontal="center" vertical="center"/>
    </xf>
    <xf numFmtId="0" fontId="96" fillId="0" borderId="0" xfId="10" applyFont="1" applyAlignment="1">
      <alignment horizontal="center" vertical="center"/>
    </xf>
    <xf numFmtId="0" fontId="95" fillId="22" borderId="0" xfId="10" applyFill="1" applyAlignment="1">
      <alignment horizontal="center" vertical="center"/>
    </xf>
    <xf numFmtId="0" fontId="274" fillId="0" borderId="1" xfId="10" applyFont="1" applyBorder="1" applyAlignment="1">
      <alignment horizontal="center" vertical="center"/>
    </xf>
    <xf numFmtId="0" fontId="264" fillId="0" borderId="1" xfId="10" applyFont="1" applyBorder="1" applyAlignment="1">
      <alignment horizontal="center" vertical="center"/>
    </xf>
    <xf numFmtId="179" fontId="277" fillId="0" borderId="0" xfId="0" applyNumberFormat="1" applyFont="1" applyAlignment="1">
      <alignment horizontal="left" vertical="center"/>
    </xf>
    <xf numFmtId="179" fontId="278" fillId="23" borderId="176" xfId="0" applyNumberFormat="1" applyFont="1" applyFill="1" applyBorder="1" applyAlignment="1">
      <alignment horizontal="left" vertical="center"/>
    </xf>
    <xf numFmtId="179" fontId="278" fillId="23" borderId="176" xfId="19" applyNumberFormat="1" applyFont="1" applyFill="1" applyBorder="1" applyAlignment="1">
      <alignment horizontal="left" vertical="center"/>
    </xf>
    <xf numFmtId="179" fontId="277" fillId="0" borderId="0" xfId="0" quotePrefix="1" applyNumberFormat="1" applyFont="1" applyAlignment="1">
      <alignment horizontal="left" vertical="center" wrapText="1"/>
    </xf>
    <xf numFmtId="179" fontId="277" fillId="0" borderId="0" xfId="0" quotePrefix="1" applyNumberFormat="1" applyFont="1" applyAlignment="1">
      <alignment horizontal="left" vertical="center"/>
    </xf>
    <xf numFmtId="179" fontId="281" fillId="0" borderId="0" xfId="0" applyNumberFormat="1" applyFont="1" applyFill="1" applyAlignment="1">
      <alignment horizontal="left" vertical="center"/>
    </xf>
    <xf numFmtId="179" fontId="281" fillId="0" borderId="0" xfId="19" applyNumberFormat="1" applyFont="1" applyAlignment="1">
      <alignment horizontal="left" vertical="center"/>
    </xf>
    <xf numFmtId="179" fontId="281" fillId="24" borderId="0" xfId="0" applyNumberFormat="1" applyFont="1" applyFill="1" applyAlignment="1">
      <alignment horizontal="left" vertical="center"/>
    </xf>
    <xf numFmtId="179" fontId="281" fillId="24" borderId="0" xfId="19" applyNumberFormat="1" applyFont="1" applyFill="1" applyAlignment="1">
      <alignment horizontal="left" vertical="center"/>
    </xf>
    <xf numFmtId="0" fontId="277" fillId="0" borderId="0" xfId="0" applyNumberFormat="1" applyFont="1" applyAlignment="1">
      <alignment horizontal="left" vertical="center"/>
    </xf>
    <xf numFmtId="0" fontId="278" fillId="23" borderId="0" xfId="0" applyNumberFormat="1" applyFont="1" applyFill="1" applyAlignment="1">
      <alignment horizontal="left" vertical="center"/>
    </xf>
    <xf numFmtId="0" fontId="278" fillId="23" borderId="0" xfId="19" applyNumberFormat="1" applyFont="1" applyFill="1" applyAlignment="1">
      <alignment horizontal="left" vertical="center"/>
    </xf>
    <xf numFmtId="0" fontId="277" fillId="0" borderId="1" xfId="0" applyNumberFormat="1" applyFont="1" applyFill="1" applyBorder="1" applyAlignment="1">
      <alignment horizontal="left" vertical="center"/>
    </xf>
    <xf numFmtId="0" fontId="279" fillId="0" borderId="1" xfId="0" applyNumberFormat="1" applyFont="1" applyFill="1" applyBorder="1" applyAlignment="1">
      <alignment horizontal="left"/>
    </xf>
    <xf numFmtId="0" fontId="277" fillId="0" borderId="1" xfId="0" applyNumberFormat="1" applyFont="1" applyBorder="1" applyAlignment="1">
      <alignment horizontal="left" vertical="center"/>
    </xf>
    <xf numFmtId="0" fontId="53" fillId="0" borderId="1" xfId="0" applyNumberFormat="1" applyFont="1" applyFill="1" applyBorder="1" applyAlignment="1">
      <alignment horizontal="left"/>
    </xf>
    <xf numFmtId="0" fontId="280" fillId="0" borderId="1" xfId="0" applyNumberFormat="1" applyFont="1" applyBorder="1" applyAlignment="1">
      <alignment horizontal="left" vertical="center"/>
    </xf>
    <xf numFmtId="0" fontId="277" fillId="0" borderId="1" xfId="19" applyNumberFormat="1" applyFont="1" applyBorder="1" applyAlignment="1">
      <alignment horizontal="left" vertical="center"/>
    </xf>
    <xf numFmtId="177" fontId="278" fillId="23" borderId="176" xfId="0" applyNumberFormat="1" applyFont="1" applyFill="1" applyBorder="1" applyAlignment="1">
      <alignment horizontal="left" vertical="center"/>
    </xf>
    <xf numFmtId="177" fontId="277" fillId="0" borderId="0" xfId="0" applyNumberFormat="1" applyFont="1" applyAlignment="1">
      <alignment horizontal="left" vertical="center"/>
    </xf>
    <xf numFmtId="0" fontId="278" fillId="23" borderId="176" xfId="0" applyFont="1" applyFill="1" applyBorder="1" applyAlignment="1">
      <alignment horizontal="center" vertical="center"/>
    </xf>
    <xf numFmtId="0" fontId="283" fillId="23" borderId="176" xfId="0" applyFont="1" applyFill="1" applyBorder="1" applyAlignment="1">
      <alignment horizontal="center" vertical="center"/>
    </xf>
    <xf numFmtId="0" fontId="277" fillId="0" borderId="176" xfId="0" applyFont="1" applyFill="1" applyBorder="1" applyAlignment="1">
      <alignment horizontal="center" vertical="center"/>
    </xf>
    <xf numFmtId="181" fontId="277" fillId="0" borderId="176" xfId="17" applyNumberFormat="1" applyFont="1" applyBorder="1" applyAlignment="1">
      <alignment horizontal="center" vertical="center"/>
    </xf>
    <xf numFmtId="0" fontId="277" fillId="0" borderId="176" xfId="0" applyNumberFormat="1" applyFont="1" applyFill="1" applyBorder="1" applyAlignment="1">
      <alignment horizontal="center" vertical="center"/>
    </xf>
    <xf numFmtId="0" fontId="277" fillId="0" borderId="176" xfId="19" applyNumberFormat="1" applyFont="1" applyBorder="1" applyAlignment="1">
      <alignment horizontal="center" vertical="center"/>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284" fillId="0" borderId="0" xfId="0" applyNumberFormat="1" applyFont="1" applyAlignment="1">
      <alignment horizontal="left" vertical="center" wrapText="1"/>
    </xf>
    <xf numFmtId="0" fontId="284" fillId="0" borderId="0" xfId="0" applyNumberFormat="1" applyFont="1" applyAlignment="1">
      <alignment horizontal="left" vertical="center"/>
    </xf>
    <xf numFmtId="0" fontId="58" fillId="0" borderId="1" xfId="8" applyFont="1" applyBorder="1" applyAlignment="1">
      <alignment horizontal="left" vertical="center" wrapText="1"/>
    </xf>
    <xf numFmtId="0" fontId="107" fillId="9" borderId="0" xfId="0" applyNumberFormat="1" applyFont="1" applyFill="1" applyAlignment="1">
      <alignment horizontal="left" vertical="center"/>
    </xf>
    <xf numFmtId="0" fontId="284" fillId="9" borderId="0" xfId="0" applyNumberFormat="1" applyFont="1" applyFill="1" applyAlignment="1">
      <alignment horizontal="left" vertical="center"/>
    </xf>
    <xf numFmtId="49" fontId="94" fillId="0" borderId="35"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285" fillId="0" borderId="0" xfId="20" applyNumberFormat="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5" fillId="0" borderId="1" xfId="10" applyBorder="1" applyAlignment="1">
      <alignment horizontal="center" vertical="center"/>
    </xf>
    <xf numFmtId="0" fontId="270" fillId="0" borderId="60" xfId="10" applyFont="1" applyBorder="1" applyAlignment="1">
      <alignment horizontal="center" vertical="center"/>
    </xf>
    <xf numFmtId="0" fontId="96" fillId="0" borderId="60" xfId="10" applyFont="1" applyBorder="1" applyAlignment="1">
      <alignment horizontal="center" vertical="center"/>
    </xf>
    <xf numFmtId="0" fontId="276" fillId="23" borderId="0" xfId="0" applyNumberFormat="1" applyFont="1" applyFill="1" applyAlignment="1">
      <alignment horizontal="left" vertical="center" wrapText="1"/>
    </xf>
    <xf numFmtId="179" fontId="276" fillId="23" borderId="0" xfId="0" applyNumberFormat="1" applyFont="1" applyFill="1" applyBorder="1" applyAlignment="1">
      <alignment horizontal="left" vertical="center"/>
    </xf>
    <xf numFmtId="0" fontId="282" fillId="23" borderId="0" xfId="0" applyFont="1" applyFill="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6" fillId="0" borderId="1" xfId="10" applyFont="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9" fontId="47" fillId="16" borderId="5" xfId="0" applyNumberFormat="1" applyFont="1" applyFill="1" applyBorder="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xfId="19" builtinId="3"/>
  </cellStyles>
  <dxfs count="16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solid">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732823</xdr:colOff>
      <xdr:row>85</xdr:row>
      <xdr:rowOff>142150</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0" y="11877675"/>
          <a:ext cx="4819048" cy="5800000"/>
        </a:xfrm>
        <a:prstGeom prst="rect">
          <a:avLst/>
        </a:prstGeom>
      </xdr:spPr>
    </xdr:pic>
    <xdr:clientData/>
  </xdr:twoCellAnchor>
  <xdr:twoCellAnchor editAs="oneCell">
    <xdr:from>
      <xdr:col>6</xdr:col>
      <xdr:colOff>0</xdr:colOff>
      <xdr:row>52</xdr:row>
      <xdr:rowOff>0</xdr:rowOff>
    </xdr:from>
    <xdr:to>
      <xdr:col>11</xdr:col>
      <xdr:colOff>589955</xdr:colOff>
      <xdr:row>85</xdr:row>
      <xdr:rowOff>94531</xdr:rowOff>
    </xdr:to>
    <xdr:pic>
      <xdr:nvPicPr>
        <xdr:cNvPr id="3" name="图片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5838825" y="11877675"/>
          <a:ext cx="4761905" cy="5752381"/>
        </a:xfrm>
        <a:prstGeom prst="rect">
          <a:avLst/>
        </a:prstGeom>
      </xdr:spPr>
    </xdr:pic>
    <xdr:clientData/>
  </xdr:twoCellAnchor>
  <xdr:twoCellAnchor editAs="oneCell">
    <xdr:from>
      <xdr:col>6</xdr:col>
      <xdr:colOff>0</xdr:colOff>
      <xdr:row>86</xdr:row>
      <xdr:rowOff>0</xdr:rowOff>
    </xdr:from>
    <xdr:to>
      <xdr:col>11</xdr:col>
      <xdr:colOff>599479</xdr:colOff>
      <xdr:row>90</xdr:row>
      <xdr:rowOff>76105</xdr:rowOff>
    </xdr:to>
    <xdr:pic>
      <xdr:nvPicPr>
        <xdr:cNvPr id="4" name="图片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3"/>
        <a:stretch>
          <a:fillRect/>
        </a:stretch>
      </xdr:blipFill>
      <xdr:spPr>
        <a:xfrm>
          <a:off x="5838825" y="17706975"/>
          <a:ext cx="4771429"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21</xdr:col>
      <xdr:colOff>274808</xdr:colOff>
      <xdr:row>119</xdr:row>
      <xdr:rowOff>56667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622000"/>
          <a:ext cx="11342858" cy="3866667"/>
        </a:xfrm>
        <a:prstGeom prst="rect">
          <a:avLst/>
        </a:prstGeom>
      </xdr:spPr>
    </xdr:pic>
    <xdr:clientData/>
  </xdr:twoCellAnchor>
  <xdr:twoCellAnchor editAs="oneCell">
    <xdr:from>
      <xdr:col>0</xdr:col>
      <xdr:colOff>0</xdr:colOff>
      <xdr:row>120</xdr:row>
      <xdr:rowOff>0</xdr:rowOff>
    </xdr:from>
    <xdr:to>
      <xdr:col>21</xdr:col>
      <xdr:colOff>112903</xdr:colOff>
      <xdr:row>145</xdr:row>
      <xdr:rowOff>18572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584400"/>
          <a:ext cx="11180953" cy="3828572"/>
        </a:xfrm>
        <a:prstGeom prst="rect">
          <a:avLst/>
        </a:prstGeom>
      </xdr:spPr>
    </xdr:pic>
    <xdr:clientData/>
  </xdr:twoCellAnchor>
  <xdr:twoCellAnchor editAs="oneCell">
    <xdr:from>
      <xdr:col>0</xdr:col>
      <xdr:colOff>0</xdr:colOff>
      <xdr:row>146</xdr:row>
      <xdr:rowOff>0</xdr:rowOff>
    </xdr:from>
    <xdr:to>
      <xdr:col>21</xdr:col>
      <xdr:colOff>27189</xdr:colOff>
      <xdr:row>174</xdr:row>
      <xdr:rowOff>28038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1546800"/>
          <a:ext cx="11095239" cy="4295238"/>
        </a:xfrm>
        <a:prstGeom prst="rect">
          <a:avLst/>
        </a:prstGeom>
      </xdr:spPr>
    </xdr:pic>
    <xdr:clientData/>
  </xdr:twoCellAnchor>
  <xdr:twoCellAnchor editAs="oneCell">
    <xdr:from>
      <xdr:col>0</xdr:col>
      <xdr:colOff>0</xdr:colOff>
      <xdr:row>175</xdr:row>
      <xdr:rowOff>0</xdr:rowOff>
    </xdr:from>
    <xdr:to>
      <xdr:col>21</xdr:col>
      <xdr:colOff>122427</xdr:colOff>
      <xdr:row>195</xdr:row>
      <xdr:rowOff>56762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5966400"/>
          <a:ext cx="11190477" cy="3104762"/>
        </a:xfrm>
        <a:prstGeom prst="rect">
          <a:avLst/>
        </a:prstGeom>
      </xdr:spPr>
    </xdr:pic>
    <xdr:clientData/>
  </xdr:twoCellAnchor>
  <xdr:twoCellAnchor editAs="oneCell">
    <xdr:from>
      <xdr:col>0</xdr:col>
      <xdr:colOff>0</xdr:colOff>
      <xdr:row>196</xdr:row>
      <xdr:rowOff>0</xdr:rowOff>
    </xdr:from>
    <xdr:to>
      <xdr:col>21</xdr:col>
      <xdr:colOff>27189</xdr:colOff>
      <xdr:row>218</xdr:row>
      <xdr:rowOff>75772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9166800"/>
          <a:ext cx="11095239" cy="3428572"/>
        </a:xfrm>
        <a:prstGeom prst="rect">
          <a:avLst/>
        </a:prstGeom>
      </xdr:spPr>
    </xdr:pic>
    <xdr:clientData/>
  </xdr:twoCellAnchor>
  <xdr:twoCellAnchor editAs="oneCell">
    <xdr:from>
      <xdr:col>0</xdr:col>
      <xdr:colOff>0</xdr:colOff>
      <xdr:row>219</xdr:row>
      <xdr:rowOff>0</xdr:rowOff>
    </xdr:from>
    <xdr:to>
      <xdr:col>21</xdr:col>
      <xdr:colOff>131951</xdr:colOff>
      <xdr:row>249</xdr:row>
      <xdr:rowOff>18477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2672000"/>
          <a:ext cx="11200001" cy="4590477"/>
        </a:xfrm>
        <a:prstGeom prst="rect">
          <a:avLst/>
        </a:prstGeom>
      </xdr:spPr>
    </xdr:pic>
    <xdr:clientData/>
  </xdr:twoCellAnchor>
  <xdr:twoCellAnchor editAs="oneCell">
    <xdr:from>
      <xdr:col>0</xdr:col>
      <xdr:colOff>0</xdr:colOff>
      <xdr:row>253</xdr:row>
      <xdr:rowOff>142875</xdr:rowOff>
    </xdr:from>
    <xdr:to>
      <xdr:col>21</xdr:col>
      <xdr:colOff>236713</xdr:colOff>
      <xdr:row>279</xdr:row>
      <xdr:rowOff>123332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7996475"/>
          <a:ext cx="11304763" cy="3942857"/>
        </a:xfrm>
        <a:prstGeom prst="rect">
          <a:avLst/>
        </a:prstGeom>
      </xdr:spPr>
    </xdr:pic>
    <xdr:clientData/>
  </xdr:twoCellAnchor>
  <xdr:twoCellAnchor editAs="oneCell">
    <xdr:from>
      <xdr:col>0</xdr:col>
      <xdr:colOff>0</xdr:colOff>
      <xdr:row>280</xdr:row>
      <xdr:rowOff>0</xdr:rowOff>
    </xdr:from>
    <xdr:to>
      <xdr:col>21</xdr:col>
      <xdr:colOff>189094</xdr:colOff>
      <xdr:row>305</xdr:row>
      <xdr:rowOff>37619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51968400"/>
          <a:ext cx="11257144" cy="3847619"/>
        </a:xfrm>
        <a:prstGeom prst="rect">
          <a:avLst/>
        </a:prstGeom>
      </xdr:spPr>
    </xdr:pic>
    <xdr:clientData/>
  </xdr:twoCellAnchor>
  <xdr:twoCellAnchor editAs="oneCell">
    <xdr:from>
      <xdr:col>0</xdr:col>
      <xdr:colOff>0</xdr:colOff>
      <xdr:row>306</xdr:row>
      <xdr:rowOff>0</xdr:rowOff>
    </xdr:from>
    <xdr:to>
      <xdr:col>21</xdr:col>
      <xdr:colOff>141475</xdr:colOff>
      <xdr:row>332</xdr:row>
      <xdr:rowOff>18553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5930800"/>
          <a:ext cx="11209525" cy="3980953"/>
        </a:xfrm>
        <a:prstGeom prst="rect">
          <a:avLst/>
        </a:prstGeom>
      </xdr:spPr>
    </xdr:pic>
    <xdr:clientData/>
  </xdr:twoCellAnchor>
  <xdr:twoCellAnchor editAs="oneCell">
    <xdr:from>
      <xdr:col>0</xdr:col>
      <xdr:colOff>0</xdr:colOff>
      <xdr:row>333</xdr:row>
      <xdr:rowOff>0</xdr:rowOff>
    </xdr:from>
    <xdr:to>
      <xdr:col>20</xdr:col>
      <xdr:colOff>627275</xdr:colOff>
      <xdr:row>352</xdr:row>
      <xdr:rowOff>132972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60045600"/>
          <a:ext cx="11009525" cy="3028572"/>
        </a:xfrm>
        <a:prstGeom prst="rect">
          <a:avLst/>
        </a:prstGeom>
      </xdr:spPr>
    </xdr:pic>
    <xdr:clientData/>
  </xdr:twoCellAnchor>
  <xdr:twoCellAnchor editAs="oneCell">
    <xdr:from>
      <xdr:col>0</xdr:col>
      <xdr:colOff>0</xdr:colOff>
      <xdr:row>353</xdr:row>
      <xdr:rowOff>0</xdr:rowOff>
    </xdr:from>
    <xdr:to>
      <xdr:col>20</xdr:col>
      <xdr:colOff>627275</xdr:colOff>
      <xdr:row>374</xdr:row>
      <xdr:rowOff>151981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3093600"/>
          <a:ext cx="11009525" cy="3352381"/>
        </a:xfrm>
        <a:prstGeom prst="rect">
          <a:avLst/>
        </a:prstGeom>
      </xdr:spPr>
    </xdr:pic>
    <xdr:clientData/>
  </xdr:twoCellAnchor>
  <xdr:twoCellAnchor editAs="oneCell">
    <xdr:from>
      <xdr:col>0</xdr:col>
      <xdr:colOff>0</xdr:colOff>
      <xdr:row>375</xdr:row>
      <xdr:rowOff>0</xdr:rowOff>
    </xdr:from>
    <xdr:to>
      <xdr:col>20</xdr:col>
      <xdr:colOff>674894</xdr:colOff>
      <xdr:row>405</xdr:row>
      <xdr:rowOff>18477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6446400"/>
          <a:ext cx="11057144" cy="4590477"/>
        </a:xfrm>
        <a:prstGeom prst="rect">
          <a:avLst/>
        </a:prstGeom>
      </xdr:spPr>
    </xdr:pic>
    <xdr:clientData/>
  </xdr:twoCellAnchor>
  <xdr:twoCellAnchor editAs="oneCell">
    <xdr:from>
      <xdr:col>0</xdr:col>
      <xdr:colOff>0</xdr:colOff>
      <xdr:row>408</xdr:row>
      <xdr:rowOff>0</xdr:rowOff>
    </xdr:from>
    <xdr:to>
      <xdr:col>21</xdr:col>
      <xdr:colOff>150998</xdr:colOff>
      <xdr:row>433</xdr:row>
      <xdr:rowOff>75715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71475600"/>
          <a:ext cx="11219048" cy="3885715"/>
        </a:xfrm>
        <a:prstGeom prst="rect">
          <a:avLst/>
        </a:prstGeom>
      </xdr:spPr>
    </xdr:pic>
    <xdr:clientData/>
  </xdr:twoCellAnchor>
  <xdr:twoCellAnchor editAs="oneCell">
    <xdr:from>
      <xdr:col>0</xdr:col>
      <xdr:colOff>0</xdr:colOff>
      <xdr:row>434</xdr:row>
      <xdr:rowOff>0</xdr:rowOff>
    </xdr:from>
    <xdr:to>
      <xdr:col>21</xdr:col>
      <xdr:colOff>122427</xdr:colOff>
      <xdr:row>458</xdr:row>
      <xdr:rowOff>66210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75438000"/>
          <a:ext cx="11190477" cy="3723810"/>
        </a:xfrm>
        <a:prstGeom prst="rect">
          <a:avLst/>
        </a:prstGeom>
      </xdr:spPr>
    </xdr:pic>
    <xdr:clientData/>
  </xdr:twoCellAnchor>
  <xdr:twoCellAnchor editAs="oneCell">
    <xdr:from>
      <xdr:col>0</xdr:col>
      <xdr:colOff>0</xdr:colOff>
      <xdr:row>459</xdr:row>
      <xdr:rowOff>0</xdr:rowOff>
    </xdr:from>
    <xdr:to>
      <xdr:col>21</xdr:col>
      <xdr:colOff>198617</xdr:colOff>
      <xdr:row>485</xdr:row>
      <xdr:rowOff>94743</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9248000"/>
          <a:ext cx="11266667" cy="4057143"/>
        </a:xfrm>
        <a:prstGeom prst="rect">
          <a:avLst/>
        </a:prstGeom>
      </xdr:spPr>
    </xdr:pic>
    <xdr:clientData/>
  </xdr:twoCellAnchor>
  <xdr:twoCellAnchor editAs="oneCell">
    <xdr:from>
      <xdr:col>0</xdr:col>
      <xdr:colOff>0</xdr:colOff>
      <xdr:row>486</xdr:row>
      <xdr:rowOff>0</xdr:rowOff>
    </xdr:from>
    <xdr:to>
      <xdr:col>21</xdr:col>
      <xdr:colOff>55760</xdr:colOff>
      <xdr:row>506</xdr:row>
      <xdr:rowOff>28191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83362800"/>
          <a:ext cx="11123810" cy="3076191"/>
        </a:xfrm>
        <a:prstGeom prst="rect">
          <a:avLst/>
        </a:prstGeom>
      </xdr:spPr>
    </xdr:pic>
    <xdr:clientData/>
  </xdr:twoCellAnchor>
  <xdr:twoCellAnchor editAs="oneCell">
    <xdr:from>
      <xdr:col>0</xdr:col>
      <xdr:colOff>0</xdr:colOff>
      <xdr:row>507</xdr:row>
      <xdr:rowOff>0</xdr:rowOff>
    </xdr:from>
    <xdr:to>
      <xdr:col>21</xdr:col>
      <xdr:colOff>93856</xdr:colOff>
      <xdr:row>530</xdr:row>
      <xdr:rowOff>47181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86563200"/>
          <a:ext cx="11161906" cy="3552381"/>
        </a:xfrm>
        <a:prstGeom prst="rect">
          <a:avLst/>
        </a:prstGeom>
      </xdr:spPr>
    </xdr:pic>
    <xdr:clientData/>
  </xdr:twoCellAnchor>
  <xdr:twoCellAnchor editAs="oneCell">
    <xdr:from>
      <xdr:col>0</xdr:col>
      <xdr:colOff>0</xdr:colOff>
      <xdr:row>530</xdr:row>
      <xdr:rowOff>0</xdr:rowOff>
    </xdr:from>
    <xdr:to>
      <xdr:col>21</xdr:col>
      <xdr:colOff>141475</xdr:colOff>
      <xdr:row>560</xdr:row>
      <xdr:rowOff>132762</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90068400"/>
          <a:ext cx="11209525" cy="4704762"/>
        </a:xfrm>
        <a:prstGeom prst="rect">
          <a:avLst/>
        </a:prstGeom>
      </xdr:spPr>
    </xdr:pic>
    <xdr:clientData/>
  </xdr:twoCellAnchor>
  <xdr:twoCellAnchor editAs="oneCell">
    <xdr:from>
      <xdr:col>0</xdr:col>
      <xdr:colOff>0</xdr:colOff>
      <xdr:row>54</xdr:row>
      <xdr:rowOff>142875</xdr:rowOff>
    </xdr:from>
    <xdr:to>
      <xdr:col>17</xdr:col>
      <xdr:colOff>56108</xdr:colOff>
      <xdr:row>88</xdr:row>
      <xdr:rowOff>94609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2124075"/>
          <a:ext cx="8342858" cy="51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361950</xdr:colOff>
      <xdr:row>28</xdr:row>
      <xdr:rowOff>161925</xdr:rowOff>
    </xdr:to>
    <xdr:pic>
      <xdr:nvPicPr>
        <xdr:cNvPr id="2" name="图片 1">
          <a:extLst>
            <a:ext uri="{FF2B5EF4-FFF2-40B4-BE49-F238E27FC236}">
              <a16:creationId xmlns:a16="http://schemas.microsoft.com/office/drawing/2014/main" xmlns="" id="{DFDB363C-172D-F7B5-F252-7F80F906FF68}"/>
            </a:ext>
          </a:extLst>
        </xdr:cNvPr>
        <xdr:cNvPicPr>
          <a:picLocks noChangeAspect="1"/>
        </xdr:cNvPicPr>
      </xdr:nvPicPr>
      <xdr:blipFill>
        <a:blip xmlns:r="http://schemas.openxmlformats.org/officeDocument/2006/relationships" r:embed="rId1"/>
        <a:stretch>
          <a:fillRect/>
        </a:stretch>
      </xdr:blipFill>
      <xdr:spPr>
        <a:xfrm>
          <a:off x="0" y="0"/>
          <a:ext cx="11334750" cy="4962525"/>
        </a:xfrm>
        <a:prstGeom prst="rect">
          <a:avLst/>
        </a:prstGeom>
      </xdr:spPr>
    </xdr:pic>
    <xdr:clientData/>
  </xdr:twoCellAnchor>
  <xdr:twoCellAnchor editAs="oneCell">
    <xdr:from>
      <xdr:col>0</xdr:col>
      <xdr:colOff>0</xdr:colOff>
      <xdr:row>30</xdr:row>
      <xdr:rowOff>0</xdr:rowOff>
    </xdr:from>
    <xdr:to>
      <xdr:col>16</xdr:col>
      <xdr:colOff>523875</xdr:colOff>
      <xdr:row>58</xdr:row>
      <xdr:rowOff>133350</xdr:rowOff>
    </xdr:to>
    <xdr:pic>
      <xdr:nvPicPr>
        <xdr:cNvPr id="3" name="图片 2">
          <a:extLst>
            <a:ext uri="{FF2B5EF4-FFF2-40B4-BE49-F238E27FC236}">
              <a16:creationId xmlns:a16="http://schemas.microsoft.com/office/drawing/2014/main" xmlns="" id="{D7C32132-75BD-DE8E-E0C5-FAF43F1126D2}"/>
            </a:ext>
          </a:extLst>
        </xdr:cNvPr>
        <xdr:cNvPicPr>
          <a:picLocks noChangeAspect="1"/>
        </xdr:cNvPicPr>
      </xdr:nvPicPr>
      <xdr:blipFill>
        <a:blip xmlns:r="http://schemas.openxmlformats.org/officeDocument/2006/relationships" r:embed="rId2"/>
        <a:stretch>
          <a:fillRect/>
        </a:stretch>
      </xdr:blipFill>
      <xdr:spPr>
        <a:xfrm>
          <a:off x="0" y="5143500"/>
          <a:ext cx="11496675" cy="4933950"/>
        </a:xfrm>
        <a:prstGeom prst="rect">
          <a:avLst/>
        </a:prstGeom>
      </xdr:spPr>
    </xdr:pic>
    <xdr:clientData/>
  </xdr:twoCellAnchor>
  <xdr:twoCellAnchor editAs="oneCell">
    <xdr:from>
      <xdr:col>0</xdr:col>
      <xdr:colOff>0</xdr:colOff>
      <xdr:row>60</xdr:row>
      <xdr:rowOff>0</xdr:rowOff>
    </xdr:from>
    <xdr:to>
      <xdr:col>16</xdr:col>
      <xdr:colOff>485775</xdr:colOff>
      <xdr:row>89</xdr:row>
      <xdr:rowOff>85725</xdr:rowOff>
    </xdr:to>
    <xdr:pic>
      <xdr:nvPicPr>
        <xdr:cNvPr id="4" name="图片 3">
          <a:extLst>
            <a:ext uri="{FF2B5EF4-FFF2-40B4-BE49-F238E27FC236}">
              <a16:creationId xmlns:a16="http://schemas.microsoft.com/office/drawing/2014/main" xmlns="" id="{064BC227-67B9-0F7D-C88D-F2841D5B4E29}"/>
            </a:ext>
          </a:extLst>
        </xdr:cNvPr>
        <xdr:cNvPicPr>
          <a:picLocks noChangeAspect="1"/>
        </xdr:cNvPicPr>
      </xdr:nvPicPr>
      <xdr:blipFill>
        <a:blip xmlns:r="http://schemas.openxmlformats.org/officeDocument/2006/relationships" r:embed="rId3"/>
        <a:stretch>
          <a:fillRect/>
        </a:stretch>
      </xdr:blipFill>
      <xdr:spPr>
        <a:xfrm>
          <a:off x="0" y="10287000"/>
          <a:ext cx="11458575" cy="5057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293782</xdr:colOff>
      <xdr:row>33</xdr:row>
      <xdr:rowOff>37388</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952382" cy="5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4&#25151;&#23665;&#39318;&#24320;&#29081;&#24742;&#40857;&#28246;&#22825;&#34903;-&#24314;&#34892;-&#21556;&#34183;/2023/&#26368;&#32456;/&#20027;&#34920;-2&#21495;&#27004;&#21644;&#22320;&#19979;100&#24162;&#65288;B&#3930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39302;3&#21495;&#27004;&#21450;101&#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
      <sheetName val="面积数据"/>
      <sheetName val="分摊土地面积"/>
      <sheetName val="数据-汇总表"/>
      <sheetName val="数据-取费表"/>
      <sheetName val="估价对象房地状况"/>
      <sheetName val="对外提供-租户清单-熙悦23年"/>
      <sheetName val="系统读取表"/>
      <sheetName val="结果表"/>
      <sheetName val="结果表合并"/>
      <sheetName val="成本法"/>
      <sheetName val="成本法 (元)"/>
      <sheetName val="假设开发法"/>
      <sheetName val="土地比较法-住宅、综合"/>
      <sheetName val="土地案例"/>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市调"/>
      <sheetName val="Sheet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ow r="17">
          <cell r="C17" t="str">
            <v>项目类型</v>
          </cell>
        </row>
        <row r="19">
          <cell r="C19" t="str">
            <v>商业综合体</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2">
          <cell r="A72" t="str">
            <v>交易情况</v>
          </cell>
          <cell r="C72" t="str">
            <v>正常</v>
          </cell>
        </row>
        <row r="74">
          <cell r="B74" t="str">
            <v>用途</v>
          </cell>
          <cell r="C74" t="str">
            <v>B4</v>
          </cell>
          <cell r="D74" t="str">
            <v>F3</v>
          </cell>
          <cell r="E74" t="str">
            <v>B14旅馆</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cell r="C107" t="str">
            <v>五级</v>
          </cell>
          <cell r="D107" t="str">
            <v>六级</v>
          </cell>
          <cell r="E107" t="str">
            <v>七级</v>
          </cell>
        </row>
        <row r="118">
          <cell r="B118" t="str">
            <v>宗地形状</v>
          </cell>
          <cell r="C118" t="str">
            <v>规则</v>
          </cell>
          <cell r="D118" t="str">
            <v>较规则</v>
          </cell>
          <cell r="E118" t="str">
            <v>较不规则</v>
          </cell>
          <cell r="F118" t="str">
            <v>不规则</v>
          </cell>
        </row>
        <row r="120">
          <cell r="B120" t="str">
            <v>临街宽度及深度</v>
          </cell>
          <cell r="C120" t="str">
            <v>较合适</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较好</v>
          </cell>
        </row>
      </sheetData>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cell r="D61" t="str">
            <v>报价</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row>
        <row r="100">
          <cell r="B100" t="str">
            <v>商业类型</v>
          </cell>
          <cell r="C100" t="str">
            <v>商业综合体</v>
          </cell>
          <cell r="D100" t="str">
            <v>商业街</v>
          </cell>
          <cell r="E100" t="str">
            <v>配套底商</v>
          </cell>
        </row>
        <row r="105">
          <cell r="B105" t="str">
            <v>建筑结构</v>
          </cell>
          <cell r="C105" t="str">
            <v>钢混</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row>
        <row r="120">
          <cell r="B120" t="str">
            <v>进深比</v>
          </cell>
        </row>
        <row r="122">
          <cell r="B122" t="str">
            <v>内部装修</v>
          </cell>
          <cell r="C122" t="str">
            <v>精装修</v>
          </cell>
          <cell r="D122" t="str">
            <v>普通装修</v>
          </cell>
          <cell r="E122" t="str">
            <v>简单装修</v>
          </cell>
          <cell r="F122" t="str">
            <v>毛坯</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cell r="D1" t="str">
            <v>判定</v>
          </cell>
        </row>
        <row r="2">
          <cell r="D2" t="str">
            <v>是</v>
          </cell>
        </row>
        <row r="3">
          <cell r="D3" t="str">
            <v>否</v>
          </cell>
        </row>
        <row r="4">
          <cell r="D4" t="str">
            <v>——</v>
          </cell>
        </row>
      </sheetData>
      <sheetData sheetId="10" refreshError="1"/>
      <sheetData sheetId="11" refreshError="1">
        <row r="13">
          <cell r="I13">
            <v>42863.29</v>
          </cell>
          <cell r="K13">
            <v>7514.68</v>
          </cell>
          <cell r="M13">
            <v>15639.33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营业收入"/>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44140.36</v>
          </cell>
          <cell r="G27">
            <v>23909.419999999969</v>
          </cell>
        </row>
      </sheetData>
      <sheetData sheetId="14"/>
      <sheetData sheetId="15"/>
      <sheetData sheetId="16"/>
      <sheetData sheetId="17"/>
      <sheetData sheetId="18"/>
      <sheetData sheetId="19">
        <row r="14">
          <cell r="B14">
            <v>68049.77999999997</v>
          </cell>
          <cell r="C14">
            <v>15742.02</v>
          </cell>
          <cell r="D14">
            <v>127561</v>
          </cell>
          <cell r="G14">
            <v>127561</v>
          </cell>
        </row>
      </sheetData>
      <sheetData sheetId="20">
        <row r="118">
          <cell r="B118">
            <v>68049.77999999997</v>
          </cell>
          <cell r="C118">
            <v>15742.02</v>
          </cell>
          <cell r="D118">
            <v>82149</v>
          </cell>
          <cell r="E118">
            <v>12072</v>
          </cell>
          <cell r="F118">
            <v>45412</v>
          </cell>
          <cell r="G118">
            <v>6673</v>
          </cell>
          <cell r="H118">
            <v>127561</v>
          </cell>
          <cell r="I118">
            <v>18745</v>
          </cell>
        </row>
      </sheetData>
      <sheetData sheetId="21">
        <row r="20">
          <cell r="K20">
            <v>59642</v>
          </cell>
        </row>
        <row r="23">
          <cell r="K23">
            <v>62310</v>
          </cell>
        </row>
      </sheetData>
      <sheetData sheetId="22"/>
      <sheetData sheetId="23"/>
      <sheetData sheetId="24"/>
      <sheetData sheetId="25">
        <row r="6">
          <cell r="C6">
            <v>8942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9a/wHLi"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估价对象为北京市房地产，为所有。根据《国有土地使用证》[]，估价对象（分摊）出让国有建设用地使用权面积为20242.14平方米，建筑面积为66017.2999999999平方米。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估价对象为北京市房地产,属开发建设的商业项目，该项目尚在开发建设中。根据《国有土地使用证》[]，估价对象（分摊）出让国有建设用地使用权面积为20242.14平方米，规划建筑面积为66017.2999999999平方米。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2024年11月8日（评估专业人员实地查勘之日）</v>
      </c>
    </row>
    <row r="13" spans="1:2">
      <c r="A13" s="1118" t="s">
        <v>529</v>
      </c>
      <c r="B13" s="1119"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123578</v>
      </c>
    </row>
    <row r="21" spans="1:2">
      <c r="A21" s="1118" t="s">
        <v>537</v>
      </c>
      <c r="B21" s="1119">
        <f ca="1">'预评函-2'!D7</f>
        <v>18719</v>
      </c>
    </row>
    <row r="22" spans="1:2">
      <c r="A22" s="1118" t="s">
        <v>538</v>
      </c>
      <c r="B22" s="1119" t="str">
        <f ca="1">'预评函-2'!D6</f>
        <v>壹拾贰亿叁仟伍佰柒拾捌万元整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123578</v>
      </c>
    </row>
    <row r="31" spans="1:2">
      <c r="A31" s="1118" t="s">
        <v>576</v>
      </c>
      <c r="B31" s="1119">
        <f ca="1">'预评函-2'!D15</f>
        <v>18719</v>
      </c>
    </row>
    <row r="32" spans="1:2">
      <c r="A32" s="1118" t="s">
        <v>543</v>
      </c>
      <c r="B32" s="1119" t="str">
        <f ca="1">'预评函-2'!D14</f>
        <v>壹拾贰亿叁仟伍佰柒拾捌万元整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66017.299999999916</v>
      </c>
    </row>
    <row r="44" spans="1:2">
      <c r="A44" s="1118" t="s">
        <v>575</v>
      </c>
      <c r="B44" s="1119" t="str">
        <f>'预评函-3'!C2</f>
        <v>(分摊)土地面积</v>
      </c>
    </row>
    <row r="45" spans="1:2">
      <c r="A45" s="1118" t="s">
        <v>547</v>
      </c>
      <c r="B45" s="1119">
        <f>'预评函-3'!C4</f>
        <v>20242.14</v>
      </c>
    </row>
    <row r="46" spans="1:2">
      <c r="A46" s="1118" t="s">
        <v>573</v>
      </c>
      <c r="B46" s="1119" t="str">
        <f>'预评函-3'!D2</f>
        <v>出让国有建设用地使用权价值</v>
      </c>
    </row>
    <row r="47" spans="1:2">
      <c r="A47" s="1118" t="s">
        <v>548</v>
      </c>
      <c r="B47" s="1119">
        <f ca="1">'预评函-3'!D4</f>
        <v>79461</v>
      </c>
    </row>
    <row r="48" spans="1:2">
      <c r="A48" s="1118" t="s">
        <v>549</v>
      </c>
      <c r="B48" s="1119">
        <f ca="1">'预评函-3'!E4</f>
        <v>12036</v>
      </c>
    </row>
    <row r="49" spans="1:2">
      <c r="A49" s="1118" t="s">
        <v>550</v>
      </c>
      <c r="B49" s="1119" t="str">
        <f ca="1">'预评函-3'!D5</f>
        <v>柒亿玖仟肆佰陆拾壹万元整</v>
      </c>
    </row>
    <row r="50" spans="1:2">
      <c r="A50" s="1118" t="s">
        <v>574</v>
      </c>
      <c r="B50" s="1119" t="str">
        <f>'预评函-3'!F2</f>
        <v>建筑物价值</v>
      </c>
    </row>
    <row r="51" spans="1:2">
      <c r="A51" s="1118" t="s">
        <v>551</v>
      </c>
      <c r="B51" s="1119">
        <f ca="1">'预评函-3'!F4</f>
        <v>44117</v>
      </c>
    </row>
    <row r="52" spans="1:2">
      <c r="A52" s="1118" t="s">
        <v>552</v>
      </c>
      <c r="B52" s="1119">
        <f ca="1">'预评函-3'!G4</f>
        <v>6683</v>
      </c>
    </row>
    <row r="53" spans="1:2">
      <c r="A53" s="1118" t="s">
        <v>580</v>
      </c>
      <c r="B53" s="1119" t="str">
        <f ca="1">'预评函-3'!F5</f>
        <v>肆亿肆仟壹佰壹拾柒万元整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975</v>
      </c>
      <c r="C1" s="1437" t="s">
        <v>314</v>
      </c>
      <c r="D1" s="1438" t="s">
        <v>3345</v>
      </c>
      <c r="E1" s="1437" t="s">
        <v>976</v>
      </c>
      <c r="F1" s="1437" t="s">
        <v>977</v>
      </c>
      <c r="G1" s="1437" t="s">
        <v>978</v>
      </c>
      <c r="H1" s="1437" t="s">
        <v>979</v>
      </c>
      <c r="I1" s="1437" t="s">
        <v>980</v>
      </c>
      <c r="J1" s="1437" t="s">
        <v>981</v>
      </c>
      <c r="K1" s="1437" t="s">
        <v>982</v>
      </c>
      <c r="L1" s="1437" t="s">
        <v>983</v>
      </c>
      <c r="M1" s="1437" t="s">
        <v>984</v>
      </c>
      <c r="N1" s="1437" t="s">
        <v>985</v>
      </c>
      <c r="O1" s="1437" t="s">
        <v>986</v>
      </c>
      <c r="P1" s="1438" t="s">
        <v>309</v>
      </c>
      <c r="Q1" s="1438" t="s">
        <v>447</v>
      </c>
      <c r="R1" s="1437" t="s">
        <v>441</v>
      </c>
      <c r="S1" s="1437" t="s">
        <v>987</v>
      </c>
      <c r="T1" s="1438" t="s">
        <v>988</v>
      </c>
      <c r="U1" s="1437" t="s">
        <v>989</v>
      </c>
      <c r="V1" s="1437" t="s">
        <v>990</v>
      </c>
      <c r="W1" s="1437" t="s">
        <v>311</v>
      </c>
    </row>
    <row r="2" spans="1:23">
      <c r="A2" s="1440" t="s">
        <v>19</v>
      </c>
      <c r="B2" s="1440" t="s">
        <v>991</v>
      </c>
      <c r="C2" s="1441" t="s">
        <v>315</v>
      </c>
      <c r="D2" s="1442" t="s">
        <v>992</v>
      </c>
      <c r="E2" s="1442" t="s">
        <v>993</v>
      </c>
      <c r="F2" s="1442" t="s">
        <v>994</v>
      </c>
      <c r="G2" s="1442">
        <v>20</v>
      </c>
      <c r="H2" s="1442" t="s">
        <v>994</v>
      </c>
      <c r="I2" s="1442" t="s">
        <v>3331</v>
      </c>
      <c r="J2" s="1442" t="s">
        <v>995</v>
      </c>
      <c r="K2" s="1442" t="s">
        <v>996</v>
      </c>
      <c r="L2" s="1442" t="s">
        <v>996</v>
      </c>
      <c r="M2" s="1442" t="s">
        <v>996</v>
      </c>
      <c r="N2" s="1442" t="s">
        <v>996</v>
      </c>
      <c r="O2" s="1442" t="s">
        <v>996</v>
      </c>
      <c r="P2" s="1442" t="s">
        <v>996</v>
      </c>
      <c r="Q2" s="1442" t="s">
        <v>996</v>
      </c>
      <c r="R2" s="1442" t="s">
        <v>443</v>
      </c>
      <c r="S2" s="1442" t="s">
        <v>996</v>
      </c>
      <c r="T2" s="1442" t="s">
        <v>997</v>
      </c>
      <c r="U2" s="1442" t="s">
        <v>996</v>
      </c>
      <c r="V2" s="1442" t="s">
        <v>998</v>
      </c>
      <c r="W2" s="1442" t="s">
        <v>996</v>
      </c>
    </row>
    <row r="3" spans="1:23">
      <c r="A3" s="1440" t="s">
        <v>999</v>
      </c>
      <c r="B3" s="1443" t="s">
        <v>448</v>
      </c>
      <c r="C3" s="1441" t="s">
        <v>316</v>
      </c>
      <c r="D3" s="1442" t="s">
        <v>1000</v>
      </c>
      <c r="E3" s="1442" t="s">
        <v>13</v>
      </c>
      <c r="F3" s="1442" t="s">
        <v>1001</v>
      </c>
      <c r="G3" s="1442">
        <v>40</v>
      </c>
      <c r="H3" s="1442" t="s">
        <v>1001</v>
      </c>
      <c r="I3" s="1442" t="s">
        <v>3332</v>
      </c>
      <c r="J3" s="1442" t="s">
        <v>1002</v>
      </c>
      <c r="K3" s="1442" t="s">
        <v>1003</v>
      </c>
      <c r="L3" s="1442" t="s">
        <v>1003</v>
      </c>
      <c r="M3" s="1442" t="s">
        <v>1003</v>
      </c>
      <c r="N3" s="1442" t="s">
        <v>1003</v>
      </c>
      <c r="O3" s="1442" t="s">
        <v>1003</v>
      </c>
      <c r="P3" s="1442" t="s">
        <v>1003</v>
      </c>
      <c r="Q3" s="1442" t="s">
        <v>1003</v>
      </c>
      <c r="R3" s="1442" t="s">
        <v>442</v>
      </c>
      <c r="S3" s="1442" t="s">
        <v>1003</v>
      </c>
      <c r="T3" s="1442" t="s">
        <v>1004</v>
      </c>
      <c r="U3" s="1442" t="s">
        <v>1003</v>
      </c>
      <c r="V3" s="1442" t="s">
        <v>1005</v>
      </c>
      <c r="W3" s="1442" t="s">
        <v>1003</v>
      </c>
    </row>
    <row r="4" spans="1:23">
      <c r="A4" s="1440" t="s">
        <v>1006</v>
      </c>
      <c r="B4" s="1440" t="s">
        <v>1007</v>
      </c>
      <c r="C4" s="1441" t="s">
        <v>317</v>
      </c>
      <c r="D4" s="1442" t="s">
        <v>389</v>
      </c>
      <c r="E4" s="1442" t="s">
        <v>1008</v>
      </c>
      <c r="F4" s="1442" t="s">
        <v>1009</v>
      </c>
      <c r="G4" s="1442">
        <v>50</v>
      </c>
      <c r="H4" s="1442" t="s">
        <v>1009</v>
      </c>
      <c r="I4" s="1442" t="s">
        <v>3333</v>
      </c>
      <c r="K4" s="1442" t="s">
        <v>1010</v>
      </c>
      <c r="L4" s="1442" t="s">
        <v>1010</v>
      </c>
      <c r="M4" s="1442" t="s">
        <v>1010</v>
      </c>
      <c r="N4" s="1442" t="s">
        <v>1010</v>
      </c>
      <c r="O4" s="1442" t="s">
        <v>1010</v>
      </c>
      <c r="P4" s="1442" t="s">
        <v>1010</v>
      </c>
      <c r="Q4" s="1442" t="s">
        <v>1010</v>
      </c>
      <c r="R4" s="1442" t="s">
        <v>444</v>
      </c>
      <c r="S4" s="1442" t="s">
        <v>1010</v>
      </c>
      <c r="T4" s="1442" t="s">
        <v>1011</v>
      </c>
      <c r="U4" s="1442" t="s">
        <v>1010</v>
      </c>
      <c r="W4" s="1442" t="s">
        <v>1010</v>
      </c>
    </row>
    <row r="5" spans="1:23">
      <c r="A5" s="1440" t="s">
        <v>1012</v>
      </c>
      <c r="B5" s="1440" t="s">
        <v>1013</v>
      </c>
      <c r="C5" s="1441" t="s">
        <v>318</v>
      </c>
      <c r="F5" s="1442" t="s">
        <v>1014</v>
      </c>
      <c r="G5" s="1442">
        <v>70</v>
      </c>
      <c r="H5" s="1442" t="s">
        <v>1015</v>
      </c>
      <c r="I5" s="1442" t="s">
        <v>3334</v>
      </c>
      <c r="K5" s="1442" t="s">
        <v>1016</v>
      </c>
      <c r="L5" s="1442" t="s">
        <v>1016</v>
      </c>
      <c r="M5" s="1442" t="s">
        <v>1016</v>
      </c>
      <c r="N5" s="1442" t="s">
        <v>1016</v>
      </c>
      <c r="O5" s="1442" t="s">
        <v>1016</v>
      </c>
      <c r="P5" s="1442" t="s">
        <v>1016</v>
      </c>
      <c r="Q5" s="1442" t="s">
        <v>1016</v>
      </c>
      <c r="R5" s="1442" t="s">
        <v>445</v>
      </c>
      <c r="S5" s="1442" t="s">
        <v>1016</v>
      </c>
      <c r="T5" s="1442" t="s">
        <v>1017</v>
      </c>
      <c r="U5" s="1442" t="s">
        <v>1016</v>
      </c>
      <c r="W5" s="1442" t="s">
        <v>1016</v>
      </c>
    </row>
    <row r="6" spans="1:23">
      <c r="A6" s="1440" t="s">
        <v>1018</v>
      </c>
      <c r="B6" s="1443" t="s">
        <v>449</v>
      </c>
      <c r="C6" s="1445" t="s">
        <v>24</v>
      </c>
      <c r="F6" s="1442" t="s">
        <v>1015</v>
      </c>
      <c r="H6" s="1442" t="s">
        <v>1019</v>
      </c>
      <c r="I6" s="1442" t="s">
        <v>3335</v>
      </c>
      <c r="K6" s="1442" t="s">
        <v>1020</v>
      </c>
      <c r="L6" s="1442" t="s">
        <v>1020</v>
      </c>
      <c r="M6" s="1442" t="s">
        <v>1020</v>
      </c>
      <c r="N6" s="1442" t="s">
        <v>1020</v>
      </c>
      <c r="O6" s="1442" t="s">
        <v>1020</v>
      </c>
      <c r="P6" s="1442" t="s">
        <v>1020</v>
      </c>
      <c r="Q6" s="1442" t="s">
        <v>1020</v>
      </c>
      <c r="R6" s="1442" t="s">
        <v>446</v>
      </c>
      <c r="S6" s="1442" t="s">
        <v>1020</v>
      </c>
      <c r="T6" s="1442"/>
      <c r="U6" s="1442" t="s">
        <v>1020</v>
      </c>
      <c r="W6" s="1442" t="s">
        <v>1020</v>
      </c>
    </row>
    <row r="7" spans="1:23">
      <c r="A7" s="1440" t="s">
        <v>1021</v>
      </c>
      <c r="B7" s="1443" t="s">
        <v>450</v>
      </c>
      <c r="C7" s="1441" t="s">
        <v>25</v>
      </c>
      <c r="F7" s="1442" t="s">
        <v>1022</v>
      </c>
      <c r="H7" s="1442" t="s">
        <v>1023</v>
      </c>
      <c r="I7" s="1442" t="s">
        <v>3336</v>
      </c>
    </row>
    <row r="8" spans="1:23">
      <c r="A8" s="1440" t="s">
        <v>1024</v>
      </c>
      <c r="B8" s="1440" t="s">
        <v>1025</v>
      </c>
      <c r="C8" s="1441" t="s">
        <v>319</v>
      </c>
      <c r="F8" s="1442" t="s">
        <v>1026</v>
      </c>
      <c r="H8" s="1442" t="s">
        <v>2573</v>
      </c>
      <c r="I8" s="1442" t="s">
        <v>3337</v>
      </c>
    </row>
    <row r="9" spans="1:23">
      <c r="A9" s="1440" t="s">
        <v>1027</v>
      </c>
      <c r="B9" s="1440" t="s">
        <v>1028</v>
      </c>
      <c r="C9" s="1441" t="s">
        <v>320</v>
      </c>
      <c r="F9" s="1442" t="s">
        <v>1029</v>
      </c>
      <c r="H9" s="1442"/>
      <c r="I9" s="1444" t="s">
        <v>3338</v>
      </c>
    </row>
    <row r="10" spans="1:23">
      <c r="A10" s="1440" t="s">
        <v>1030</v>
      </c>
      <c r="B10" s="1440" t="s">
        <v>1031</v>
      </c>
      <c r="C10" s="1441" t="s">
        <v>321</v>
      </c>
      <c r="F10" s="1442" t="s">
        <v>2574</v>
      </c>
      <c r="I10" s="1444" t="s">
        <v>3339</v>
      </c>
    </row>
    <row r="11" spans="1:23">
      <c r="A11" s="1440" t="s">
        <v>1032</v>
      </c>
      <c r="B11" s="1440" t="s">
        <v>1033</v>
      </c>
      <c r="C11" s="1441" t="s">
        <v>322</v>
      </c>
      <c r="F11" s="1442" t="s">
        <v>13</v>
      </c>
      <c r="I11" s="1444" t="s">
        <v>3340</v>
      </c>
    </row>
    <row r="12" spans="1:23">
      <c r="A12" s="1440" t="s">
        <v>1034</v>
      </c>
      <c r="B12" s="1440" t="s">
        <v>1035</v>
      </c>
      <c r="C12" s="1441" t="s">
        <v>323</v>
      </c>
      <c r="I12" s="1444" t="s">
        <v>3341</v>
      </c>
    </row>
    <row r="13" spans="1:23">
      <c r="A13" s="1440" t="s">
        <v>1036</v>
      </c>
      <c r="B13" s="1440" t="s">
        <v>1037</v>
      </c>
      <c r="C13" s="1441" t="s">
        <v>324</v>
      </c>
      <c r="I13" s="1444" t="s">
        <v>3342</v>
      </c>
    </row>
    <row r="14" spans="1:23">
      <c r="A14" s="1440" t="s">
        <v>1038</v>
      </c>
      <c r="B14" s="1440" t="s">
        <v>1039</v>
      </c>
      <c r="C14" s="1442" t="s">
        <v>13</v>
      </c>
      <c r="I14" s="1444" t="s">
        <v>3343</v>
      </c>
    </row>
    <row r="15" spans="1:23">
      <c r="A15" s="1440" t="s">
        <v>1040</v>
      </c>
      <c r="B15" s="1440" t="s">
        <v>1041</v>
      </c>
      <c r="C15" s="1441"/>
      <c r="I15" s="1444" t="s">
        <v>3344</v>
      </c>
    </row>
    <row r="16" spans="1:23">
      <c r="A16" s="1440" t="s">
        <v>1042</v>
      </c>
      <c r="B16" s="1440" t="s">
        <v>312</v>
      </c>
      <c r="C16" s="1441"/>
    </row>
    <row r="17" spans="1:3">
      <c r="A17" s="1440" t="s">
        <v>1043</v>
      </c>
      <c r="B17" s="1440" t="s">
        <v>2287</v>
      </c>
      <c r="C17" s="1441"/>
    </row>
    <row r="18" spans="1:3">
      <c r="A18" s="1440" t="s">
        <v>1044</v>
      </c>
      <c r="B18" s="1440" t="s">
        <v>2429</v>
      </c>
      <c r="C18" s="1441"/>
    </row>
    <row r="19" spans="1:3">
      <c r="A19" s="1440" t="s">
        <v>1045</v>
      </c>
      <c r="B19" s="1440" t="s">
        <v>313</v>
      </c>
      <c r="C19" s="1441"/>
    </row>
    <row r="20" spans="1:3">
      <c r="A20" s="1440" t="s">
        <v>1046</v>
      </c>
      <c r="B20" s="1440" t="s">
        <v>313</v>
      </c>
      <c r="C20" s="1441"/>
    </row>
    <row r="21" spans="1:3">
      <c r="A21" s="1440" t="s">
        <v>1047</v>
      </c>
      <c r="B21" s="1440" t="s">
        <v>313</v>
      </c>
      <c r="C21" s="1441"/>
    </row>
    <row r="22" spans="1:3">
      <c r="A22" s="1440" t="s">
        <v>1048</v>
      </c>
      <c r="B22" s="1440" t="s">
        <v>313</v>
      </c>
      <c r="C22" s="1441"/>
    </row>
    <row r="23" spans="1:3">
      <c r="A23" s="1440" t="s">
        <v>1049</v>
      </c>
      <c r="B23" s="1440" t="s">
        <v>313</v>
      </c>
      <c r="C23" s="1441"/>
    </row>
    <row r="24" spans="1:3">
      <c r="A24" s="1440" t="s">
        <v>1050</v>
      </c>
      <c r="B24" s="1440" t="s">
        <v>313</v>
      </c>
      <c r="C24" s="1441"/>
    </row>
    <row r="25" spans="1:3">
      <c r="A25" s="1440" t="s">
        <v>1051</v>
      </c>
      <c r="B25" s="1440" t="s">
        <v>313</v>
      </c>
      <c r="C25" s="1441"/>
    </row>
    <row r="26" spans="1:3">
      <c r="A26" s="1440" t="s">
        <v>1052</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7"/>
      <c r="B54" s="1446" t="s">
        <v>385</v>
      </c>
      <c r="C54" s="1444" t="s">
        <v>583</v>
      </c>
    </row>
    <row r="55" spans="1:4">
      <c r="A55" s="3257"/>
      <c r="B55" s="1446" t="s">
        <v>386</v>
      </c>
      <c r="C55" s="1444" t="s">
        <v>584</v>
      </c>
    </row>
    <row r="56" spans="1:4">
      <c r="A56" s="3257"/>
      <c r="B56" s="1446" t="s">
        <v>387</v>
      </c>
      <c r="C56" s="1444" t="s">
        <v>588</v>
      </c>
    </row>
    <row r="57" spans="1:4">
      <c r="A57" s="325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2496</v>
      </c>
      <c r="B1" s="2756"/>
      <c r="C1" s="2756"/>
      <c r="D1" s="2756"/>
      <c r="E1" s="2756"/>
      <c r="F1" s="2757"/>
      <c r="I1" s="3133" t="s">
        <v>2589</v>
      </c>
      <c r="J1" s="2782"/>
      <c r="K1" s="2782"/>
      <c r="L1" s="2782"/>
      <c r="M1" s="2782"/>
      <c r="N1" s="2967"/>
      <c r="O1" s="2967"/>
      <c r="P1" s="2967"/>
      <c r="Q1" s="2967"/>
      <c r="R1" s="2967"/>
    </row>
    <row r="2" spans="1:18">
      <c r="A2" s="2759"/>
      <c r="B2" s="2760"/>
      <c r="C2" s="2760"/>
      <c r="D2" s="2760"/>
      <c r="E2" s="2760"/>
      <c r="F2" s="2761"/>
      <c r="I2" s="3258" t="s">
        <v>2576</v>
      </c>
      <c r="J2" s="3258"/>
      <c r="K2" s="3258"/>
      <c r="L2" s="3258"/>
      <c r="M2" s="3258"/>
      <c r="N2" s="3258"/>
      <c r="O2" s="3258"/>
      <c r="P2" s="3258"/>
      <c r="Q2" s="3258"/>
      <c r="R2" s="3258"/>
    </row>
    <row r="3" spans="1:18">
      <c r="A3" s="2762" t="s">
        <v>2497</v>
      </c>
      <c r="B3" s="2763">
        <f>项目基本情况!D3</f>
        <v>45604</v>
      </c>
      <c r="C3" s="2765"/>
      <c r="D3" s="2765"/>
      <c r="E3" s="2765"/>
      <c r="F3" s="2761"/>
      <c r="I3" s="2777"/>
      <c r="J3" s="2777" t="s">
        <v>2580</v>
      </c>
      <c r="K3" s="2777" t="s">
        <v>2581</v>
      </c>
      <c r="L3" s="2777" t="s">
        <v>2582</v>
      </c>
      <c r="M3" s="2777" t="s">
        <v>2583</v>
      </c>
      <c r="N3" s="3134" t="s">
        <v>2584</v>
      </c>
      <c r="O3" s="3134" t="s">
        <v>2585</v>
      </c>
      <c r="P3" s="3134" t="s">
        <v>2586</v>
      </c>
      <c r="Q3" s="3134" t="s">
        <v>2587</v>
      </c>
      <c r="R3" s="3134" t="s">
        <v>2588</v>
      </c>
    </row>
    <row r="4" spans="1:18">
      <c r="A4" s="2762" t="s">
        <v>2498</v>
      </c>
      <c r="B4" s="2765" t="s">
        <v>2499</v>
      </c>
      <c r="C4" s="2765" t="s">
        <v>2500</v>
      </c>
      <c r="D4" s="2765" t="s">
        <v>2501</v>
      </c>
      <c r="E4" s="2765" t="s">
        <v>2502</v>
      </c>
      <c r="F4" s="2761"/>
      <c r="I4" s="2777" t="s">
        <v>2577</v>
      </c>
      <c r="J4" s="2777">
        <v>80</v>
      </c>
      <c r="K4" s="2777">
        <v>70</v>
      </c>
      <c r="L4" s="2777">
        <v>20</v>
      </c>
      <c r="M4" s="2777">
        <v>30</v>
      </c>
      <c r="N4" s="2765">
        <v>45</v>
      </c>
      <c r="O4" s="2765">
        <v>60</v>
      </c>
      <c r="P4" s="2765">
        <v>50</v>
      </c>
      <c r="Q4" s="2765">
        <v>20</v>
      </c>
      <c r="R4" s="2765">
        <v>375</v>
      </c>
    </row>
    <row r="5" spans="1:18">
      <c r="A5" s="2766">
        <v>40</v>
      </c>
      <c r="B5" s="2763">
        <v>46375</v>
      </c>
      <c r="C5" s="2765">
        <f>ROUNDDOWN(MIN((B5-B3)/365,A5),2)</f>
        <v>2.11</v>
      </c>
      <c r="D5" s="2767">
        <f>IF(ISERROR(ROUND(POWER(1+E5,A5-C5)*(POWER(1+E5,C5)-1)/(POWER(1+E5,A5)-1),3)),0,ROUND(POWER(1+E5,A5-C5)*(POWER(1+E5,C5)-1)/(POWER(1+E5,A5)-1),4))</f>
        <v>0.1003</v>
      </c>
      <c r="E5" s="2768">
        <v>0.04</v>
      </c>
      <c r="F5" s="2761"/>
      <c r="I5" s="2777" t="s">
        <v>2578</v>
      </c>
      <c r="J5" s="2777">
        <v>70</v>
      </c>
      <c r="K5" s="2777">
        <v>60</v>
      </c>
      <c r="L5" s="2777">
        <v>15</v>
      </c>
      <c r="M5" s="2777">
        <v>25</v>
      </c>
      <c r="N5" s="2765">
        <v>40</v>
      </c>
      <c r="O5" s="2765">
        <v>50</v>
      </c>
      <c r="P5" s="2765">
        <v>40</v>
      </c>
      <c r="Q5" s="2765">
        <v>15</v>
      </c>
      <c r="R5" s="2765">
        <v>315</v>
      </c>
    </row>
    <row r="6" spans="1:18">
      <c r="A6" s="2766">
        <v>50</v>
      </c>
      <c r="B6" s="2763">
        <v>50028</v>
      </c>
      <c r="C6" s="2765">
        <f>ROUNDDOWN(MIN((B6-B3)/365,A6),2)</f>
        <v>12.12</v>
      </c>
      <c r="D6" s="2767">
        <f>IF(ISERROR(ROUND(POWER(1+E6,A6-C6)*(POWER(1+E6,C6)-1)/(POWER(1+E6,A6)-1),3)),0,ROUND(POWER(1+E6,A6-C6)*(POWER(1+E6,C6)-1)/(POWER(1+E6,A6)-1),4))</f>
        <v>0.44030000000000002</v>
      </c>
      <c r="E6" s="2768">
        <v>0.04</v>
      </c>
      <c r="F6" s="2761"/>
      <c r="I6" s="2777" t="s">
        <v>2579</v>
      </c>
      <c r="J6" s="2777">
        <v>60</v>
      </c>
      <c r="K6" s="2777">
        <v>50</v>
      </c>
      <c r="L6" s="2777">
        <v>10</v>
      </c>
      <c r="M6" s="2777">
        <v>20</v>
      </c>
      <c r="N6" s="2765">
        <v>35</v>
      </c>
      <c r="O6" s="2765">
        <v>40</v>
      </c>
      <c r="P6" s="2765">
        <v>30</v>
      </c>
      <c r="Q6" s="2765">
        <v>10</v>
      </c>
      <c r="R6" s="2765">
        <v>255</v>
      </c>
    </row>
    <row r="7" spans="1:18">
      <c r="A7" s="2766">
        <v>70</v>
      </c>
      <c r="B7" s="2763">
        <v>57333</v>
      </c>
      <c r="C7" s="2765">
        <f>ROUNDDOWN(MIN((B7-B3)/365,A7),2)</f>
        <v>32.130000000000003</v>
      </c>
      <c r="D7" s="2767">
        <f>IF(ISERROR(ROUND(POWER(1+E7,A7-C7)*(POWER(1+E7,C7)-1)/(POWER(1+E7,A7)-1),3)),0,ROUND(POWER(1+E7,A7-C7)*(POWER(1+E7,C7)-1)/(POWER(1+E7,A7)-1),4))</f>
        <v>0.76559999999999995</v>
      </c>
      <c r="E7" s="2768">
        <v>0.04</v>
      </c>
      <c r="F7" s="2761"/>
    </row>
    <row r="8" spans="1:18">
      <c r="A8" s="2759"/>
      <c r="B8" s="2760"/>
      <c r="C8" s="2760"/>
      <c r="D8" s="2760"/>
      <c r="E8" s="2760"/>
      <c r="F8" s="2761"/>
    </row>
    <row r="9" spans="1:18">
      <c r="A9" s="2762" t="s">
        <v>2503</v>
      </c>
      <c r="B9" s="2765"/>
      <c r="C9" s="2765"/>
      <c r="D9" s="2765"/>
      <c r="E9" s="2765"/>
      <c r="F9" s="2769"/>
    </row>
    <row r="10" spans="1:18">
      <c r="A10" s="2762" t="s">
        <v>2504</v>
      </c>
      <c r="B10" s="2765"/>
      <c r="C10" s="2765"/>
      <c r="D10" s="2765" t="s">
        <v>2502</v>
      </c>
      <c r="E10" s="2765"/>
      <c r="F10" s="2769" t="s">
        <v>2501</v>
      </c>
    </row>
    <row r="11" spans="1:18">
      <c r="A11" s="2762" t="s">
        <v>2505</v>
      </c>
      <c r="B11" s="2770">
        <v>70</v>
      </c>
      <c r="C11" s="2765" t="s">
        <v>2506</v>
      </c>
      <c r="D11" s="2770">
        <v>4.4999999999999998E-2</v>
      </c>
      <c r="E11" s="2765" t="s">
        <v>2507</v>
      </c>
      <c r="F11" s="2771">
        <f>ROUND(1-(1/(POWER(1+D11,B11))),4)</f>
        <v>0.95409999999999995</v>
      </c>
    </row>
    <row r="12" spans="1:18">
      <c r="A12" s="2762" t="s">
        <v>2508</v>
      </c>
      <c r="B12" s="2770">
        <v>40</v>
      </c>
      <c r="C12" s="2765" t="s">
        <v>2509</v>
      </c>
      <c r="D12" s="2770">
        <v>4.4999999999999998E-2</v>
      </c>
      <c r="E12" s="2765" t="s">
        <v>2510</v>
      </c>
      <c r="F12" s="2771">
        <f>ROUND(1-(1/(POWER(1+D12,B12))),4)</f>
        <v>0.82809999999999995</v>
      </c>
    </row>
    <row r="13" spans="1:18">
      <c r="A13" s="2762" t="s">
        <v>2511</v>
      </c>
      <c r="B13" s="2765"/>
      <c r="C13" s="2765"/>
      <c r="D13" s="2760"/>
      <c r="E13" s="2760"/>
      <c r="F13" s="2761"/>
    </row>
    <row r="14" spans="1:18">
      <c r="A14" s="2762" t="s">
        <v>2512</v>
      </c>
      <c r="B14" s="2770">
        <v>5000</v>
      </c>
      <c r="C14" s="2764"/>
      <c r="D14" s="2760"/>
      <c r="E14" s="2760"/>
      <c r="F14" s="2761"/>
    </row>
    <row r="15" spans="1:18">
      <c r="A15" s="2762" t="s">
        <v>2513</v>
      </c>
      <c r="B15" s="2765">
        <f>ROUND(B14*F12/F11,2)</f>
        <v>4339.6899999999996</v>
      </c>
      <c r="C15" s="2765">
        <f>ROUND(F12/F11,4)</f>
        <v>0.8679</v>
      </c>
      <c r="D15" s="2760"/>
      <c r="E15" s="2760"/>
      <c r="F15" s="2761"/>
    </row>
    <row r="16" spans="1:18">
      <c r="A16" s="2762" t="s">
        <v>2514</v>
      </c>
      <c r="B16" s="2765"/>
      <c r="C16" s="2765"/>
      <c r="D16" s="2760"/>
      <c r="E16" s="2760"/>
      <c r="F16" s="2761"/>
    </row>
    <row r="17" spans="1:13">
      <c r="A17" s="2762" t="s">
        <v>2513</v>
      </c>
      <c r="B17" s="2770">
        <v>4810</v>
      </c>
      <c r="C17" s="2764"/>
      <c r="D17" s="2760"/>
      <c r="E17" s="2760"/>
      <c r="F17" s="2761"/>
    </row>
    <row r="18" spans="1:13" ht="14.25" thickBot="1">
      <c r="A18" s="2772" t="s">
        <v>2512</v>
      </c>
      <c r="B18" s="2773">
        <f>ROUND(B17*F11/F12,2)</f>
        <v>5541.87</v>
      </c>
      <c r="C18" s="2773">
        <f>ROUND(F11/F12,4)</f>
        <v>1.1521999999999999</v>
      </c>
      <c r="D18" s="2774"/>
      <c r="E18" s="2774"/>
      <c r="F18" s="2775"/>
    </row>
    <row r="19" spans="1:13" ht="14.25" thickBot="1"/>
    <row r="20" spans="1:13" s="2808" customFormat="1" ht="14.25" thickTop="1">
      <c r="A20" s="2805" t="s">
        <v>2515</v>
      </c>
      <c r="B20" s="2806"/>
      <c r="C20" s="2806"/>
      <c r="D20" s="2806"/>
      <c r="E20" s="2806"/>
      <c r="F20" s="2806"/>
      <c r="G20" s="2807"/>
      <c r="I20" s="2809" t="s">
        <v>2560</v>
      </c>
      <c r="J20" s="2809" t="s">
        <v>2565</v>
      </c>
      <c r="K20" s="2809"/>
      <c r="L20" s="2809"/>
      <c r="M20" s="2809"/>
    </row>
    <row r="21" spans="1:13">
      <c r="A21" s="2776"/>
      <c r="B21" s="2777" t="s">
        <v>2516</v>
      </c>
      <c r="C21" s="2777" t="s">
        <v>2517</v>
      </c>
      <c r="D21" s="2777" t="s">
        <v>2518</v>
      </c>
      <c r="E21" s="2777" t="s">
        <v>2519</v>
      </c>
      <c r="F21" s="2777" t="s">
        <v>2520</v>
      </c>
      <c r="G21" s="2778" t="s">
        <v>2521</v>
      </c>
      <c r="I21" s="2799">
        <v>5</v>
      </c>
      <c r="J21" s="2799">
        <v>54.2</v>
      </c>
    </row>
    <row r="22" spans="1:13">
      <c r="A22" s="2776" t="s">
        <v>2522</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2523</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2563</v>
      </c>
      <c r="M23" s="2799" t="s">
        <v>2564</v>
      </c>
    </row>
    <row r="24" spans="1:13">
      <c r="A24" s="2776" t="s">
        <v>2524</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2562</v>
      </c>
      <c r="M24" s="2799">
        <v>10</v>
      </c>
    </row>
    <row r="25" spans="1:13">
      <c r="A25" s="2776" t="s">
        <v>2525</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2566</v>
      </c>
      <c r="M25" s="2799">
        <v>8</v>
      </c>
    </row>
    <row r="26" spans="1:13">
      <c r="A26" s="2781"/>
      <c r="B26" s="2782"/>
      <c r="C26" s="2782"/>
      <c r="D26" s="2782"/>
      <c r="E26" s="2782"/>
      <c r="F26" s="2782"/>
      <c r="G26" s="2783"/>
      <c r="I26" s="2799">
        <v>30</v>
      </c>
      <c r="J26" s="2799">
        <v>90.5</v>
      </c>
      <c r="K26" s="2799">
        <f t="shared" si="2"/>
        <v>4.2000000000000028</v>
      </c>
      <c r="L26" s="2799" t="s">
        <v>2567</v>
      </c>
      <c r="M26" s="2799">
        <v>5</v>
      </c>
    </row>
    <row r="27" spans="1:13">
      <c r="A27" s="2781" t="s">
        <v>2526</v>
      </c>
      <c r="B27" s="2782"/>
      <c r="C27" s="2782"/>
      <c r="D27" s="2782"/>
      <c r="E27" s="2782"/>
      <c r="F27" s="2782"/>
      <c r="G27" s="2783"/>
      <c r="I27" s="2799">
        <v>35</v>
      </c>
      <c r="J27" s="2799">
        <v>93.8</v>
      </c>
      <c r="K27" s="2799">
        <f t="shared" si="2"/>
        <v>3.2999999999999972</v>
      </c>
      <c r="L27" s="2799" t="s">
        <v>2568</v>
      </c>
      <c r="M27" s="2799">
        <v>3</v>
      </c>
    </row>
    <row r="28" spans="1:13">
      <c r="A28" s="2781" t="s">
        <v>2527</v>
      </c>
      <c r="B28" s="2782"/>
      <c r="C28" s="2782"/>
      <c r="D28" s="2782"/>
      <c r="E28" s="2782"/>
      <c r="F28" s="2782"/>
      <c r="G28" s="2783"/>
      <c r="I28" s="2799">
        <v>40</v>
      </c>
      <c r="J28" s="2799">
        <v>96.4</v>
      </c>
      <c r="K28" s="2799">
        <f t="shared" si="2"/>
        <v>2.6000000000000085</v>
      </c>
      <c r="L28" s="2799" t="s">
        <v>2569</v>
      </c>
      <c r="M28" s="2799">
        <v>2</v>
      </c>
    </row>
    <row r="29" spans="1:13">
      <c r="A29" s="2781" t="s">
        <v>2528</v>
      </c>
      <c r="B29" s="2782"/>
      <c r="C29" s="2782"/>
      <c r="D29" s="2782"/>
      <c r="E29" s="2782"/>
      <c r="F29" s="2782"/>
      <c r="G29" s="2783"/>
      <c r="I29" s="2799">
        <v>45</v>
      </c>
      <c r="J29" s="2799">
        <v>98.4</v>
      </c>
      <c r="K29" s="2799">
        <f t="shared" si="2"/>
        <v>2</v>
      </c>
    </row>
    <row r="30" spans="1:13">
      <c r="A30" s="2781" t="s">
        <v>2529</v>
      </c>
      <c r="B30" s="2782"/>
      <c r="C30" s="2782"/>
      <c r="D30" s="2782"/>
      <c r="E30" s="2782"/>
      <c r="F30" s="2782"/>
      <c r="G30" s="2783"/>
      <c r="I30" s="2799">
        <v>50</v>
      </c>
      <c r="J30" s="2799">
        <v>100</v>
      </c>
      <c r="K30" s="2799">
        <f t="shared" si="2"/>
        <v>1.5999999999999943</v>
      </c>
    </row>
    <row r="31" spans="1:13">
      <c r="A31" s="2781" t="s">
        <v>2530</v>
      </c>
      <c r="B31" s="2782"/>
      <c r="C31" s="2782"/>
      <c r="D31" s="2782"/>
      <c r="E31" s="2782"/>
      <c r="F31" s="2782"/>
      <c r="G31" s="2783"/>
      <c r="I31" s="2799" t="s">
        <v>2561</v>
      </c>
    </row>
    <row r="32" spans="1:13">
      <c r="A32" s="2781" t="s">
        <v>2531</v>
      </c>
      <c r="B32" s="2782"/>
      <c r="C32" s="2782"/>
      <c r="D32" s="2782"/>
      <c r="E32" s="2782"/>
      <c r="F32" s="2782"/>
      <c r="G32" s="2783"/>
    </row>
    <row r="33" spans="1:13">
      <c r="A33" s="2781" t="s">
        <v>2532</v>
      </c>
      <c r="B33" s="2782"/>
      <c r="C33" s="2782"/>
      <c r="D33" s="2782"/>
      <c r="E33" s="2782"/>
      <c r="F33" s="2782"/>
      <c r="G33" s="2783"/>
      <c r="I33" s="2799" t="s">
        <v>2560</v>
      </c>
      <c r="J33" s="2799" t="s">
        <v>2570</v>
      </c>
    </row>
    <row r="34" spans="1:13">
      <c r="A34" s="2781" t="s">
        <v>2533</v>
      </c>
      <c r="B34" s="2782"/>
      <c r="C34" s="2782"/>
      <c r="D34" s="2782"/>
      <c r="E34" s="2782"/>
      <c r="F34" s="2782"/>
      <c r="G34" s="2783"/>
      <c r="I34" s="2799">
        <v>5</v>
      </c>
      <c r="J34" s="2799">
        <v>55.1</v>
      </c>
    </row>
    <row r="35" spans="1:13">
      <c r="A35" s="2781" t="s">
        <v>2534</v>
      </c>
      <c r="B35" s="2782"/>
      <c r="C35" s="2782"/>
      <c r="D35" s="2782"/>
      <c r="E35" s="2782"/>
      <c r="F35" s="2782"/>
      <c r="G35" s="2783"/>
      <c r="I35" s="2799">
        <v>10</v>
      </c>
      <c r="J35" s="2799">
        <v>67</v>
      </c>
      <c r="K35" s="2799">
        <f>J35-J34</f>
        <v>11.899999999999999</v>
      </c>
    </row>
    <row r="36" spans="1:13">
      <c r="A36" s="2781" t="s">
        <v>2535</v>
      </c>
      <c r="B36" s="2782"/>
      <c r="C36" s="2782"/>
      <c r="D36" s="2782"/>
      <c r="E36" s="2782"/>
      <c r="F36" s="2782"/>
      <c r="G36" s="2783"/>
      <c r="I36" s="2799">
        <v>15</v>
      </c>
      <c r="J36" s="2799">
        <v>76.3</v>
      </c>
      <c r="K36" s="2799">
        <f t="shared" ref="K36:K41" si="3">J36-J35</f>
        <v>9.2999999999999972</v>
      </c>
      <c r="L36" s="2799" t="s">
        <v>2563</v>
      </c>
      <c r="M36" s="2799" t="s">
        <v>2564</v>
      </c>
    </row>
    <row r="37" spans="1:13">
      <c r="A37" s="2781" t="s">
        <v>2536</v>
      </c>
      <c r="B37" s="2782"/>
      <c r="C37" s="2782"/>
      <c r="D37" s="2782"/>
      <c r="E37" s="2782"/>
      <c r="F37" s="2782"/>
      <c r="G37" s="2783"/>
      <c r="I37" s="2799">
        <v>20</v>
      </c>
      <c r="J37" s="2799">
        <v>83.6</v>
      </c>
      <c r="K37" s="2799">
        <f t="shared" si="3"/>
        <v>7.2999999999999972</v>
      </c>
      <c r="L37" s="2799" t="s">
        <v>2562</v>
      </c>
      <c r="M37" s="2799">
        <v>10</v>
      </c>
    </row>
    <row r="38" spans="1:13">
      <c r="A38" s="2781" t="s">
        <v>2537</v>
      </c>
      <c r="B38" s="2782"/>
      <c r="C38" s="2782"/>
      <c r="D38" s="2782"/>
      <c r="E38" s="2782"/>
      <c r="F38" s="2782"/>
      <c r="G38" s="2783"/>
      <c r="I38" s="2799">
        <v>25</v>
      </c>
      <c r="J38" s="2799">
        <v>89.3</v>
      </c>
      <c r="K38" s="2799">
        <f t="shared" si="3"/>
        <v>5.7000000000000028</v>
      </c>
      <c r="L38" s="2799" t="s">
        <v>2566</v>
      </c>
      <c r="M38" s="2799">
        <v>8</v>
      </c>
    </row>
    <row r="39" spans="1:13">
      <c r="A39" s="2781"/>
      <c r="B39" s="2782"/>
      <c r="C39" s="2782"/>
      <c r="D39" s="2782"/>
      <c r="E39" s="2782"/>
      <c r="F39" s="2782"/>
      <c r="G39" s="2783"/>
      <c r="I39" s="2799">
        <v>30</v>
      </c>
      <c r="J39" s="2799">
        <v>93.8</v>
      </c>
      <c r="K39" s="2799">
        <f t="shared" si="3"/>
        <v>4.5</v>
      </c>
      <c r="L39" s="2799" t="s">
        <v>2567</v>
      </c>
      <c r="M39" s="2799">
        <v>6</v>
      </c>
    </row>
    <row r="40" spans="1:13">
      <c r="A40" s="2784" t="s">
        <v>2538</v>
      </c>
      <c r="B40" s="2785"/>
      <c r="C40" s="2785"/>
      <c r="D40" s="2785"/>
      <c r="E40" s="2785"/>
      <c r="F40" s="2785"/>
      <c r="G40" s="2786"/>
      <c r="I40" s="2799">
        <v>35</v>
      </c>
      <c r="J40" s="2799">
        <v>97.2</v>
      </c>
      <c r="K40" s="2799">
        <f t="shared" si="3"/>
        <v>3.4000000000000057</v>
      </c>
      <c r="L40" s="2799" t="s">
        <v>2568</v>
      </c>
      <c r="M40" s="2799">
        <v>3</v>
      </c>
    </row>
    <row r="41" spans="1:13">
      <c r="A41" s="2787" t="s">
        <v>2539</v>
      </c>
      <c r="B41" s="2788" t="s">
        <v>2540</v>
      </c>
      <c r="C41" s="2789" t="s">
        <v>2541</v>
      </c>
      <c r="D41" s="2789" t="s">
        <v>2542</v>
      </c>
      <c r="E41" s="2790"/>
      <c r="F41" s="2791"/>
      <c r="G41" s="2792"/>
      <c r="I41" s="2799">
        <v>40</v>
      </c>
      <c r="J41" s="2799">
        <v>100</v>
      </c>
      <c r="K41" s="2799">
        <f t="shared" si="3"/>
        <v>2.7999999999999972</v>
      </c>
    </row>
    <row r="42" spans="1:13">
      <c r="A42" s="2787" t="s">
        <v>2543</v>
      </c>
      <c r="B42" s="2788" t="s">
        <v>2544</v>
      </c>
      <c r="C42" s="2789" t="s">
        <v>2545</v>
      </c>
      <c r="D42" s="2793" t="s">
        <v>2546</v>
      </c>
      <c r="E42" s="2785" t="s">
        <v>2547</v>
      </c>
      <c r="F42" s="2785"/>
      <c r="G42" s="2786"/>
    </row>
    <row r="43" spans="1:13">
      <c r="A43" s="2787" t="s">
        <v>2548</v>
      </c>
      <c r="B43" s="2788" t="s">
        <v>2549</v>
      </c>
      <c r="C43" s="2789" t="s">
        <v>2550</v>
      </c>
      <c r="D43" s="2789" t="s">
        <v>2551</v>
      </c>
      <c r="E43" s="2790" t="s">
        <v>2552</v>
      </c>
      <c r="F43" s="2791"/>
      <c r="G43" s="2792"/>
      <c r="I43" s="2799" t="s">
        <v>2560</v>
      </c>
      <c r="J43" s="2799" t="s">
        <v>2571</v>
      </c>
    </row>
    <row r="44" spans="1:13">
      <c r="A44" s="2787" t="s">
        <v>2553</v>
      </c>
      <c r="B44" s="2788" t="s">
        <v>2554</v>
      </c>
      <c r="C44" s="2789" t="s">
        <v>2555</v>
      </c>
      <c r="D44" s="2793">
        <v>0.5</v>
      </c>
      <c r="E44" s="2790" t="s">
        <v>2556</v>
      </c>
      <c r="F44" s="2791"/>
      <c r="G44" s="2792"/>
      <c r="I44" s="2799">
        <v>30</v>
      </c>
      <c r="J44" s="2799">
        <v>81.7</v>
      </c>
    </row>
    <row r="45" spans="1:13" ht="14.25" thickBot="1">
      <c r="A45" s="2794" t="s">
        <v>2557</v>
      </c>
      <c r="B45" s="2795" t="s">
        <v>2544</v>
      </c>
      <c r="C45" s="2796" t="s">
        <v>2544</v>
      </c>
      <c r="D45" s="2796" t="s">
        <v>2558</v>
      </c>
      <c r="E45" s="2797" t="s">
        <v>2559</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0" sqref="F30"/>
    </sheetView>
  </sheetViews>
  <sheetFormatPr defaultColWidth="10" defaultRowHeight="12.75"/>
  <cols>
    <col min="1" max="1" width="16.875" style="1617" customWidth="1"/>
    <col min="2" max="2" width="10" style="1617" customWidth="1"/>
    <col min="3" max="4" width="11.5" style="1617" customWidth="1"/>
    <col min="5" max="5" width="12.625" style="1617" customWidth="1"/>
    <col min="6" max="6" width="11.625"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2162</v>
      </c>
      <c r="B1" s="3259" t="str">
        <f>IF(B10="北京市","北京市",C10)&amp;F10&amp;IF(结果表!G1="在建","出让国有建设用地使用权及在建建筑物",IF(结果表!G1="土地","出让国有建设用地使用权",))&amp;B9&amp;"预评估"</f>
        <v>北京市房地产抵押价值预评估</v>
      </c>
      <c r="C1" s="3260"/>
      <c r="D1" s="3260"/>
      <c r="E1" s="3260"/>
      <c r="F1" s="3260"/>
      <c r="G1" s="3260"/>
      <c r="H1" s="3260"/>
      <c r="I1" s="326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2163</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2164</v>
      </c>
      <c r="B3" s="2184">
        <v>45604</v>
      </c>
      <c r="C3" s="2185" t="s">
        <v>2165</v>
      </c>
      <c r="D3" s="2184">
        <f>B3</f>
        <v>45604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2166</v>
      </c>
      <c r="B4" s="2186" t="s">
        <v>3382</v>
      </c>
      <c r="C4" s="2187">
        <f ca="1">SUMIF(注册房地产估价师,B4,估价师及机构信息!B3:B24)</f>
        <v>1419970001</v>
      </c>
      <c r="D4" s="2186" t="s">
        <v>3383</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2167</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2168</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2169</v>
      </c>
      <c r="B7" s="2197"/>
      <c r="C7" s="2195"/>
      <c r="D7" s="2196"/>
      <c r="E7" s="2440"/>
      <c r="F7" s="2441"/>
      <c r="G7" s="2441"/>
      <c r="H7" s="2441"/>
      <c r="I7" s="2441"/>
      <c r="J7" s="2244"/>
      <c r="K7" s="2401"/>
      <c r="L7" s="2398"/>
      <c r="M7" s="2398"/>
      <c r="N7" s="2244"/>
      <c r="O7" s="1669"/>
      <c r="P7" s="2244"/>
      <c r="Q7" s="2244"/>
      <c r="R7" s="2244"/>
    </row>
    <row r="8" spans="1:30">
      <c r="A8" s="2198" t="s">
        <v>2170</v>
      </c>
      <c r="B8" s="2199" t="s">
        <v>3384</v>
      </c>
      <c r="C8" s="2200"/>
      <c r="D8" s="3262" t="s">
        <v>2171</v>
      </c>
      <c r="E8" s="2201" t="s">
        <v>3385</v>
      </c>
      <c r="F8" s="2202"/>
      <c r="G8" s="2441"/>
      <c r="H8" s="2441"/>
      <c r="I8" s="2441"/>
      <c r="J8" s="2244"/>
      <c r="K8" s="2399"/>
      <c r="L8" s="2398"/>
      <c r="M8" s="2398"/>
      <c r="N8" s="2244"/>
      <c r="O8" s="1669"/>
      <c r="P8" s="2244"/>
      <c r="Q8" s="2244"/>
      <c r="R8" s="2244"/>
    </row>
    <row r="9" spans="1:30" ht="13.5" thickBot="1">
      <c r="A9" s="2203" t="s">
        <v>2172</v>
      </c>
      <c r="B9" s="2204" t="s">
        <v>3385</v>
      </c>
      <c r="C9" s="2205"/>
      <c r="D9" s="3263"/>
      <c r="E9" s="2204"/>
      <c r="F9" s="2206"/>
      <c r="G9" s="2442"/>
      <c r="H9" s="2442"/>
      <c r="I9" s="2442"/>
      <c r="J9" s="2244"/>
      <c r="K9" s="2401"/>
      <c r="L9" s="2398"/>
      <c r="M9" s="2398"/>
      <c r="N9" s="2244"/>
      <c r="O9" s="1669"/>
      <c r="P9" s="2244"/>
      <c r="Q9" s="2244"/>
      <c r="R9" s="2244"/>
    </row>
    <row r="10" spans="1:30" ht="13.5" thickTop="1">
      <c r="A10" s="2207" t="s">
        <v>2173</v>
      </c>
      <c r="B10" s="2208" t="s">
        <v>3386</v>
      </c>
      <c r="C10" s="2209"/>
      <c r="D10" s="2192"/>
      <c r="E10" s="2210" t="s">
        <v>2174</v>
      </c>
      <c r="F10" s="2443"/>
      <c r="G10" s="2444"/>
      <c r="H10" s="2445"/>
      <c r="I10" s="2446"/>
      <c r="J10" s="2244"/>
      <c r="K10" s="2401"/>
      <c r="L10" s="2398"/>
      <c r="M10" s="2398"/>
      <c r="N10" s="2244"/>
      <c r="O10" s="1669"/>
      <c r="P10" s="2244"/>
      <c r="Q10" s="2244"/>
      <c r="R10" s="2244"/>
    </row>
    <row r="11" spans="1:30">
      <c r="A11" s="2211" t="s">
        <v>2175</v>
      </c>
      <c r="B11" s="2212" t="s">
        <v>3387</v>
      </c>
      <c r="C11" s="2213"/>
      <c r="D11" s="2214"/>
      <c r="E11" s="2181"/>
      <c r="F11" s="2181"/>
      <c r="G11" s="2181"/>
      <c r="H11" s="2181"/>
      <c r="I11" s="2181"/>
      <c r="J11" s="2801"/>
      <c r="K11" s="2398"/>
      <c r="L11" s="2398"/>
      <c r="M11" s="2398"/>
      <c r="N11" s="2244"/>
      <c r="O11" s="1669"/>
      <c r="P11" s="2244"/>
      <c r="Q11" s="2244"/>
      <c r="R11" s="2244"/>
    </row>
    <row r="12" spans="1:30">
      <c r="A12" s="2215" t="s">
        <v>2176</v>
      </c>
      <c r="B12" s="315" t="s">
        <v>2177</v>
      </c>
      <c r="C12" s="2216" t="s">
        <v>2178</v>
      </c>
      <c r="D12" s="2216" t="s">
        <v>2179</v>
      </c>
      <c r="E12" s="2216" t="s">
        <v>2180</v>
      </c>
      <c r="F12" s="2216" t="s">
        <v>2181</v>
      </c>
      <c r="G12" s="2216" t="s">
        <v>2182</v>
      </c>
      <c r="H12" s="2216" t="s">
        <v>2183</v>
      </c>
      <c r="I12" s="2800" t="s">
        <v>2572</v>
      </c>
      <c r="J12" s="2802"/>
      <c r="K12" s="2398"/>
      <c r="L12" s="2398"/>
      <c r="M12" s="2244"/>
      <c r="N12" s="1669"/>
      <c r="O12" s="2244"/>
      <c r="P12" s="2244"/>
      <c r="Q12" s="2244"/>
      <c r="AD12" s="1617"/>
    </row>
    <row r="13" spans="1:30">
      <c r="A13" s="3120" t="s">
        <v>3327</v>
      </c>
      <c r="B13" s="2217" t="s">
        <v>2184</v>
      </c>
      <c r="C13" s="803"/>
      <c r="D13" s="803">
        <v>57339</v>
      </c>
      <c r="E13" s="803"/>
      <c r="F13" s="803">
        <v>60991</v>
      </c>
      <c r="G13" s="803"/>
      <c r="H13" s="803"/>
      <c r="I13" s="803"/>
      <c r="J13" s="2802"/>
      <c r="K13" s="2398"/>
      <c r="L13" s="2398"/>
      <c r="M13" s="2244"/>
      <c r="N13" s="1669"/>
      <c r="O13" s="2244"/>
      <c r="P13" s="2244"/>
      <c r="Q13" s="2244"/>
      <c r="AD13" s="1617"/>
    </row>
    <row r="14" spans="1:30">
      <c r="A14" s="1018"/>
      <c r="B14" s="2217" t="s">
        <v>2185</v>
      </c>
      <c r="C14" s="2218"/>
      <c r="D14" s="2218">
        <v>40</v>
      </c>
      <c r="E14" s="2218"/>
      <c r="F14" s="2218">
        <v>50</v>
      </c>
      <c r="G14" s="2218"/>
      <c r="H14" s="2218"/>
      <c r="I14" s="2218"/>
      <c r="J14" s="2803"/>
      <c r="K14" s="2398"/>
      <c r="L14" s="2398"/>
      <c r="M14" s="2244"/>
      <c r="N14" s="1669"/>
      <c r="O14" s="2244"/>
      <c r="P14" s="2244"/>
      <c r="Q14" s="2244"/>
      <c r="AD14" s="1617"/>
    </row>
    <row r="15" spans="1:30">
      <c r="A15" s="312"/>
      <c r="B15" s="2219" t="s">
        <v>2186</v>
      </c>
      <c r="C15" s="2220" t="str">
        <f>IF(A13="出让",IF(C13="","",ROUNDDOWN(MIN((C13-$D$3)/365,C14),2)),C14)</f>
        <v/>
      </c>
      <c r="D15" s="2220">
        <f>IF(A13="出让",IF(D13="","",ROUNDDOWN(MIN((D13-$D$3)/365,D14),2)),D14)</f>
        <v>32.15</v>
      </c>
      <c r="E15" s="2220" t="str">
        <f>IF(A13="出让",IF(E13="","",ROUNDDOWN(MIN((E13-$D$3)/365,E14),2)),E14)</f>
        <v/>
      </c>
      <c r="F15" s="2220">
        <f>IF(A13="出让",IF(F13="","",ROUNDDOWN(MIN((F13-$D$3)/365,F14),2)),F14)</f>
        <v>42.15</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2187</v>
      </c>
      <c r="B16" s="3269"/>
      <c r="C16" s="3270"/>
      <c r="D16" s="3271"/>
      <c r="E16" s="2221" t="s">
        <v>2188</v>
      </c>
      <c r="F16" s="3272"/>
      <c r="G16" s="3273"/>
      <c r="H16" s="3273"/>
      <c r="I16" s="3274"/>
      <c r="J16" s="2244"/>
      <c r="K16" s="2402"/>
      <c r="L16" s="1669"/>
      <c r="M16" s="1669"/>
      <c r="N16" s="2244"/>
      <c r="O16" s="1669"/>
      <c r="P16" s="2244"/>
      <c r="Q16" s="2244"/>
      <c r="R16" s="2244"/>
    </row>
    <row r="17" spans="1:28">
      <c r="A17" s="305" t="s">
        <v>2189</v>
      </c>
      <c r="B17" s="294" t="s">
        <v>2190</v>
      </c>
      <c r="C17" s="8">
        <f>'数据-汇总表'!E3</f>
        <v>66017.299999999916</v>
      </c>
      <c r="D17" s="1255" t="s">
        <v>2191</v>
      </c>
      <c r="E17" s="3275" t="s">
        <v>2192</v>
      </c>
      <c r="F17" s="3276"/>
      <c r="G17" s="3276"/>
      <c r="H17" s="3276"/>
      <c r="I17" s="3277"/>
      <c r="J17" s="2244"/>
      <c r="K17" s="2403"/>
      <c r="L17" s="1669"/>
      <c r="M17" s="1669"/>
      <c r="N17" s="2244"/>
      <c r="O17" s="1669"/>
      <c r="P17" s="2244"/>
      <c r="Q17" s="2244"/>
      <c r="R17" s="2244"/>
      <c r="S17" s="2244"/>
      <c r="T17" s="2244"/>
      <c r="U17" s="2244"/>
      <c r="V17" s="2244"/>
    </row>
    <row r="18" spans="1:28" ht="24.75" thickBot="1">
      <c r="A18" s="2222" t="s">
        <v>2193</v>
      </c>
      <c r="B18" s="1027" t="s">
        <v>2194</v>
      </c>
      <c r="C18" s="2223">
        <f>'数据-汇总表'!D3</f>
        <v>20242.14</v>
      </c>
      <c r="D18" s="1029" t="s">
        <v>2195</v>
      </c>
      <c r="E18" s="3278" t="s">
        <v>2196</v>
      </c>
      <c r="F18" s="3279"/>
      <c r="G18" s="3279"/>
      <c r="H18" s="3279"/>
      <c r="I18" s="3280"/>
      <c r="J18" s="2244"/>
      <c r="K18" s="2403"/>
      <c r="L18" s="1669"/>
      <c r="M18" s="1669"/>
      <c r="N18" s="2244"/>
      <c r="O18" s="1669"/>
      <c r="P18" s="2244"/>
      <c r="Q18" s="2244"/>
      <c r="R18" s="2244"/>
      <c r="S18" s="2244"/>
      <c r="T18" s="2244"/>
      <c r="U18" s="2244"/>
      <c r="V18" s="2244"/>
    </row>
    <row r="19" spans="1:28" ht="25.5" thickTop="1" thickBot="1">
      <c r="A19" s="319" t="s">
        <v>1053</v>
      </c>
      <c r="B19" s="299" t="s">
        <v>2197</v>
      </c>
      <c r="C19" s="1454"/>
      <c r="D19" s="1455" t="s">
        <v>2198</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2199</v>
      </c>
      <c r="B20" s="3265" t="s">
        <v>2200</v>
      </c>
      <c r="C20" s="3266"/>
      <c r="D20" s="3267" t="s">
        <v>2201</v>
      </c>
      <c r="E20" s="3268"/>
      <c r="F20" s="2429" t="s">
        <v>1054</v>
      </c>
      <c r="G20" s="2441"/>
      <c r="H20" s="2441"/>
      <c r="I20" s="2441"/>
      <c r="J20" s="2244"/>
      <c r="K20" s="3264"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2203</v>
      </c>
      <c r="C21" s="2295" t="s">
        <v>1055</v>
      </c>
      <c r="D21" s="1459" t="s">
        <v>2204</v>
      </c>
      <c r="E21" s="2418" t="s">
        <v>1055</v>
      </c>
      <c r="F21" s="2430"/>
      <c r="G21" s="2441"/>
      <c r="H21" s="2441"/>
      <c r="I21" s="2441"/>
      <c r="J21" s="2244"/>
      <c r="K21" s="326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2205</v>
      </c>
      <c r="C22" s="2295" t="s">
        <v>1056</v>
      </c>
      <c r="D22" s="2441"/>
      <c r="E22" s="2441"/>
      <c r="F22" s="2441"/>
      <c r="G22" s="2441"/>
      <c r="H22" s="2441"/>
      <c r="I22" s="2441"/>
      <c r="J22" s="2244"/>
      <c r="K22" s="326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2206</v>
      </c>
      <c r="B23" s="2292" t="s">
        <v>2207</v>
      </c>
      <c r="C23" s="2421"/>
      <c r="D23" s="2422" t="s">
        <v>2207</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1059</v>
      </c>
      <c r="C26" s="2427"/>
      <c r="D26" s="2425" t="s">
        <v>1059</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82" t="s">
        <v>2208</v>
      </c>
      <c r="B27" s="312" t="s">
        <v>2209</v>
      </c>
      <c r="C27" s="2224" t="s">
        <v>3388</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82"/>
      <c r="B28" s="294" t="s">
        <v>2210</v>
      </c>
      <c r="C28" s="2226" t="s">
        <v>3389</v>
      </c>
      <c r="D28" s="2227"/>
      <c r="E28" s="2441"/>
      <c r="F28" s="2441"/>
      <c r="G28" s="2441"/>
      <c r="H28" s="2441"/>
      <c r="I28" s="2441"/>
      <c r="J28" s="2244"/>
      <c r="K28" s="2401"/>
      <c r="L28" s="2398"/>
      <c r="M28" s="2398"/>
      <c r="N28" s="2244"/>
      <c r="O28" s="1669"/>
      <c r="P28" s="2244"/>
      <c r="Q28" s="2244"/>
      <c r="R28" s="2244"/>
      <c r="S28" s="2244"/>
      <c r="T28" s="2244"/>
      <c r="U28" s="2244"/>
      <c r="V28" s="2244"/>
    </row>
    <row r="29" spans="1:28">
      <c r="A29" s="3282"/>
      <c r="B29" s="294" t="s">
        <v>2211</v>
      </c>
      <c r="C29" s="2228" t="s">
        <v>3390</v>
      </c>
      <c r="D29" s="2229"/>
      <c r="E29" s="2441"/>
      <c r="F29" s="2441"/>
      <c r="G29" s="2441"/>
      <c r="H29" s="2441"/>
      <c r="I29" s="2441"/>
      <c r="J29" s="2244"/>
      <c r="K29" s="2401"/>
      <c r="L29" s="2398"/>
      <c r="M29" s="2398"/>
      <c r="N29" s="2244"/>
      <c r="O29" s="1669"/>
      <c r="P29" s="2244"/>
      <c r="Q29" s="2244"/>
      <c r="R29" s="2244"/>
      <c r="S29" s="2244"/>
      <c r="T29" s="2244"/>
      <c r="U29" s="2244"/>
      <c r="V29" s="2244"/>
    </row>
    <row r="30" spans="1:28">
      <c r="A30" s="3283"/>
      <c r="B30" s="294" t="s">
        <v>2212</v>
      </c>
      <c r="C30" s="3284"/>
      <c r="D30" s="3285"/>
      <c r="E30" s="2441"/>
      <c r="F30" s="2441"/>
      <c r="G30" s="2441"/>
      <c r="H30" s="2441"/>
      <c r="I30" s="2441"/>
      <c r="J30" s="2244"/>
      <c r="K30" s="2401"/>
      <c r="L30" s="2398"/>
      <c r="M30" s="2398"/>
      <c r="N30" s="2244"/>
      <c r="O30" s="1669"/>
      <c r="P30" s="2244"/>
      <c r="Q30" s="2244"/>
      <c r="R30" s="2244"/>
      <c r="S30" s="2244"/>
      <c r="T30" s="2244"/>
      <c r="U30" s="2244"/>
      <c r="V30" s="2244"/>
    </row>
    <row r="31" spans="1:28">
      <c r="A31" s="3286" t="s">
        <v>2213</v>
      </c>
      <c r="B31" s="2230" t="s">
        <v>3391</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8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8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2214</v>
      </c>
      <c r="B34" s="1869"/>
      <c r="C34" s="1869"/>
      <c r="D34" s="1869"/>
      <c r="E34" s="1869"/>
      <c r="F34" s="1869"/>
      <c r="G34" s="1869"/>
      <c r="H34" s="1869"/>
      <c r="I34" s="2441"/>
      <c r="J34" s="2244"/>
      <c r="K34" s="8">
        <f>COUNTIF(B34:H34,"——")</f>
        <v>0</v>
      </c>
      <c r="L34" s="315" t="s">
        <v>2215</v>
      </c>
      <c r="M34" s="315" t="s">
        <v>2216</v>
      </c>
      <c r="N34" s="315" t="s">
        <v>2217</v>
      </c>
      <c r="O34" s="315" t="s">
        <v>2218</v>
      </c>
      <c r="P34" s="315" t="s">
        <v>2219</v>
      </c>
      <c r="Q34" s="315" t="s">
        <v>2220</v>
      </c>
      <c r="R34" s="315" t="s">
        <v>2221</v>
      </c>
      <c r="S34" s="3281" t="s">
        <v>2222</v>
      </c>
      <c r="T34" s="315" t="str">
        <f>NUMBERSTRING(7-K34,1)&amp;"通"</f>
        <v>七通</v>
      </c>
      <c r="U34" s="2244"/>
      <c r="V34" s="2244"/>
    </row>
    <row r="35" spans="1:30">
      <c r="A35" s="2235"/>
      <c r="B35" s="3281" t="s">
        <v>2223</v>
      </c>
      <c r="C35" s="3281"/>
      <c r="D35" s="3281"/>
      <c r="E35" s="328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1"/>
      <c r="T35" s="138" t="str">
        <f>IF(T34="一通",L35,IF(T34="二通",M35,IF(T34="三通",N35,IF(T34="四通",O35,IF(T34="五通",P35,IF(T34="六通",Q35,R35))))))</f>
        <v>、、、、、、</v>
      </c>
      <c r="U35" s="2244"/>
      <c r="V35" s="2244"/>
    </row>
    <row r="36" spans="1:30">
      <c r="A36" s="2182"/>
      <c r="B36" s="8" t="s">
        <v>2179</v>
      </c>
      <c r="C36" s="8" t="s">
        <v>2180</v>
      </c>
      <c r="D36" s="8" t="s">
        <v>2178</v>
      </c>
      <c r="E36" s="8" t="s">
        <v>2183</v>
      </c>
      <c r="F36" s="2800" t="s">
        <v>2575</v>
      </c>
      <c r="G36" s="2441"/>
      <c r="H36" s="2441"/>
      <c r="I36" s="2441"/>
      <c r="J36" s="2244"/>
      <c r="K36" s="2401"/>
      <c r="L36" s="2398"/>
      <c r="M36" s="2398"/>
      <c r="N36" s="2244"/>
      <c r="O36" s="1669"/>
      <c r="P36" s="2244"/>
      <c r="Q36" s="2244"/>
      <c r="R36" s="2244"/>
      <c r="S36" s="2244"/>
      <c r="T36" s="2244"/>
      <c r="U36" s="2244"/>
      <c r="V36" s="2244"/>
    </row>
    <row r="37" spans="1:30">
      <c r="A37" s="2414" t="s">
        <v>2224</v>
      </c>
      <c r="B37" s="2236" t="s">
        <v>304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2225</v>
      </c>
      <c r="B38" s="2237" t="s">
        <v>3392</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2226</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2227</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2228</v>
      </c>
      <c r="B42" s="8" t="s">
        <v>2229</v>
      </c>
      <c r="C42" s="8" t="s">
        <v>2230</v>
      </c>
      <c r="D42" s="8" t="s">
        <v>2231</v>
      </c>
      <c r="E42" s="8" t="s">
        <v>2232</v>
      </c>
      <c r="F42" s="8" t="s">
        <v>2233</v>
      </c>
      <c r="G42" s="8" t="s">
        <v>2234</v>
      </c>
      <c r="H42" s="8" t="s">
        <v>2235</v>
      </c>
      <c r="I42" s="8" t="s">
        <v>2236</v>
      </c>
      <c r="J42" s="2410" t="s">
        <v>2237</v>
      </c>
      <c r="K42" s="2411" t="s">
        <v>2238</v>
      </c>
      <c r="L42" s="2411" t="s">
        <v>2239</v>
      </c>
      <c r="M42" s="2411" t="s">
        <v>2240</v>
      </c>
      <c r="N42" s="2404" t="s">
        <v>2241</v>
      </c>
      <c r="O42" s="2404" t="s">
        <v>2242</v>
      </c>
      <c r="P42" s="2404" t="s">
        <v>2243</v>
      </c>
      <c r="Q42" s="2405" t="s">
        <v>2244</v>
      </c>
      <c r="R42" s="2405" t="s">
        <v>2245</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1060</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1061</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1062</v>
      </c>
      <c r="B2" s="8" t="s">
        <v>1063</v>
      </c>
      <c r="C2" s="8" t="s">
        <v>1064</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1065</v>
      </c>
      <c r="AZ2" s="987" t="s">
        <v>1066</v>
      </c>
      <c r="BA2" s="8" t="s">
        <v>1067</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面积指标!F7+面积指标!J12</f>
        <v>20242.140000000007</v>
      </c>
      <c r="B3" s="11">
        <f>IF(C3="否",G5-AT5,G5)</f>
        <v>66017.299999999916</v>
      </c>
      <c r="C3" s="1468" t="s">
        <v>1068</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1069</v>
      </c>
      <c r="B5" s="1258"/>
      <c r="C5" s="1258"/>
      <c r="D5" s="1259"/>
      <c r="E5" s="13" t="s">
        <v>0</v>
      </c>
      <c r="F5" s="13">
        <f>SUM(F13:F587)</f>
        <v>0</v>
      </c>
      <c r="G5" s="13">
        <f>SUM(G13:G587)</f>
        <v>66017.299999999916</v>
      </c>
      <c r="H5" s="13">
        <f t="shared" ref="H5:AT5" si="0">SUM(H13:H656)</f>
        <v>66017.299999999916</v>
      </c>
      <c r="I5" s="13">
        <f t="shared" si="0"/>
        <v>42863.29</v>
      </c>
      <c r="J5" s="13">
        <f t="shared" si="0"/>
        <v>0</v>
      </c>
      <c r="K5" s="13">
        <f t="shared" si="0"/>
        <v>7514.68</v>
      </c>
      <c r="L5" s="13">
        <f t="shared" si="0"/>
        <v>0</v>
      </c>
      <c r="M5" s="13">
        <f t="shared" si="0"/>
        <v>15639.329999999913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1069</v>
      </c>
      <c r="AW5" s="1258"/>
      <c r="AX5" s="1258"/>
      <c r="AY5" s="14" t="s">
        <v>2</v>
      </c>
      <c r="AZ5" s="15">
        <f t="shared" ref="AZ5:BT5" si="1">SUM(AZ13:AZ656)</f>
        <v>66017.299999999916</v>
      </c>
      <c r="BA5" s="15">
        <f t="shared" si="1"/>
        <v>66017.299999999916</v>
      </c>
      <c r="BB5" s="15">
        <f t="shared" si="1"/>
        <v>42863.29</v>
      </c>
      <c r="BC5" s="15">
        <f t="shared" si="1"/>
        <v>7514.68</v>
      </c>
      <c r="BD5" s="15">
        <f t="shared" si="1"/>
        <v>15639.329999999913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1070</v>
      </c>
      <c r="B6" s="1473"/>
      <c r="C6" s="1473"/>
      <c r="D6" s="1474"/>
      <c r="E6" s="13">
        <f>H6+AC6+AT6</f>
        <v>20242.14</v>
      </c>
      <c r="F6" s="13" t="s">
        <v>0</v>
      </c>
      <c r="G6" s="13" t="s">
        <v>1</v>
      </c>
      <c r="H6" s="17">
        <f>SUMIF(I$12:AB$12,"总值",I6:AB6)</f>
        <v>20242.14</v>
      </c>
      <c r="I6" s="13">
        <f t="shared" ref="I6:AB6" si="2">ROUND($A$3*I5/$B$3,2)</f>
        <v>13142.69</v>
      </c>
      <c r="J6" s="13">
        <f t="shared" si="2"/>
        <v>0</v>
      </c>
      <c r="K6" s="13">
        <f t="shared" si="2"/>
        <v>2304.14</v>
      </c>
      <c r="L6" s="13">
        <f t="shared" si="2"/>
        <v>0</v>
      </c>
      <c r="M6" s="13">
        <f t="shared" si="2"/>
        <v>4795.3100000000004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1070</v>
      </c>
      <c r="AW6" s="1473"/>
      <c r="AX6" s="1473"/>
      <c r="AY6" s="18">
        <f>IF(AY3&gt;0,AY3,ROUND($A$3*AZ5/$B$3,2))</f>
        <v>20242.14</v>
      </c>
      <c r="AZ6" s="13" t="s">
        <v>2</v>
      </c>
      <c r="BA6" s="13">
        <f>ROUND($AY$6*BA5/$AZ$5,2)</f>
        <v>20242.14</v>
      </c>
      <c r="BB6" s="13">
        <f>ROUND($AY$6*BB5/$AZ$5,2)</f>
        <v>13142.69</v>
      </c>
      <c r="BC6" s="13">
        <f t="shared" ref="BC6:BH6" si="4">ROUND($AY$6*BC5/$AZ$5,2)</f>
        <v>2304.14</v>
      </c>
      <c r="BD6" s="13">
        <f t="shared" si="4"/>
        <v>4795.3100000000004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1071</v>
      </c>
      <c r="B7" s="1460" t="s">
        <v>1072</v>
      </c>
      <c r="C7" s="1460" t="s">
        <v>1073</v>
      </c>
      <c r="D7" s="1460" t="s">
        <v>1074</v>
      </c>
      <c r="E7" s="1460" t="s">
        <v>1075</v>
      </c>
      <c r="F7" s="1460" t="s">
        <v>1076</v>
      </c>
      <c r="G7" s="1477" t="s">
        <v>1077</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1078</v>
      </c>
      <c r="AV7" s="20" t="s">
        <v>1079</v>
      </c>
      <c r="AW7" s="1465" t="s">
        <v>1080</v>
      </c>
      <c r="AX7" s="20" t="s">
        <v>1073</v>
      </c>
      <c r="AY7" s="1258" t="s">
        <v>1081</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1082</v>
      </c>
      <c r="H8" s="1483" t="s">
        <v>1083</v>
      </c>
      <c r="I8" s="1484"/>
      <c r="J8" s="1268"/>
      <c r="K8" s="1268"/>
      <c r="L8" s="1268"/>
      <c r="M8" s="1268"/>
      <c r="N8" s="1268"/>
      <c r="O8" s="1268"/>
      <c r="P8" s="1268"/>
      <c r="Q8" s="1268"/>
      <c r="R8" s="1268"/>
      <c r="S8" s="1268"/>
      <c r="T8" s="1268"/>
      <c r="U8" s="1268"/>
      <c r="V8" s="1485"/>
      <c r="W8" s="1268"/>
      <c r="X8" s="1268"/>
      <c r="Y8" s="1268"/>
      <c r="Z8" s="1268"/>
      <c r="AA8" s="1485"/>
      <c r="AB8" s="1486"/>
      <c r="AC8" s="761" t="s">
        <v>1084</v>
      </c>
      <c r="AD8" s="1487"/>
      <c r="AE8" s="1479"/>
      <c r="AF8" s="1268"/>
      <c r="AG8" s="1268"/>
      <c r="AH8" s="1268"/>
      <c r="AI8" s="1268"/>
      <c r="AJ8" s="1268"/>
      <c r="AK8" s="1268"/>
      <c r="AL8" s="1268"/>
      <c r="AM8" s="1268"/>
      <c r="AN8" s="1268"/>
      <c r="AO8" s="1268"/>
      <c r="AP8" s="1268"/>
      <c r="AQ8" s="1268"/>
      <c r="AR8" s="1268"/>
      <c r="AS8" s="1268"/>
      <c r="AT8" s="1007" t="s">
        <v>1085</v>
      </c>
      <c r="AU8" s="1481" t="s">
        <v>1086</v>
      </c>
      <c r="AV8" s="1007"/>
      <c r="AW8" s="1466"/>
      <c r="AX8" s="1007"/>
      <c r="AY8" s="1465" t="s">
        <v>1087</v>
      </c>
      <c r="AZ8" s="1267" t="s">
        <v>1088</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1089</v>
      </c>
      <c r="I9" s="1490" t="s">
        <v>4308</v>
      </c>
      <c r="J9" s="761"/>
      <c r="K9" s="1490" t="s">
        <v>4309</v>
      </c>
      <c r="L9" s="761"/>
      <c r="M9" s="1490" t="s">
        <v>4309</v>
      </c>
      <c r="N9" s="761"/>
      <c r="O9" s="1490"/>
      <c r="P9" s="761"/>
      <c r="Q9" s="1490"/>
      <c r="R9" s="761"/>
      <c r="S9" s="1490"/>
      <c r="T9" s="761"/>
      <c r="U9" s="1490"/>
      <c r="V9" s="761"/>
      <c r="W9" s="1490"/>
      <c r="X9" s="1491"/>
      <c r="Y9" s="1490"/>
      <c r="Z9" s="761"/>
      <c r="AA9" s="1490"/>
      <c r="AB9" s="761"/>
      <c r="AC9" s="1482"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2"/>
      <c r="AT9" s="1481"/>
      <c r="AU9" s="1481" t="s">
        <v>1092</v>
      </c>
      <c r="AV9" s="1007"/>
      <c r="AW9" s="1466"/>
      <c r="AX9" s="1007"/>
      <c r="AY9" s="25"/>
      <c r="AZ9" s="25" t="s">
        <v>1082</v>
      </c>
      <c r="BA9" s="1493" t="s">
        <v>1093</v>
      </c>
      <c r="BB9" s="1494"/>
      <c r="BC9" s="1025"/>
      <c r="BD9" s="1025"/>
      <c r="BE9" s="1025"/>
      <c r="BF9" s="1025"/>
      <c r="BG9" s="1025"/>
      <c r="BH9" s="1025"/>
      <c r="BI9" s="1025"/>
      <c r="BJ9" s="1025"/>
      <c r="BK9" s="1495"/>
      <c r="BL9" s="12" t="s">
        <v>1094</v>
      </c>
      <c r="BM9" s="1268"/>
      <c r="BN9" s="1484"/>
      <c r="BO9" s="1268"/>
      <c r="BP9" s="1268"/>
      <c r="BQ9" s="1268"/>
      <c r="BR9" s="1268"/>
      <c r="BS9" s="1268"/>
      <c r="BT9" s="23"/>
    </row>
    <row r="10" spans="1:72" s="1488" customFormat="1" ht="12.75">
      <c r="A10" s="1481"/>
      <c r="B10" s="1481"/>
      <c r="C10" s="1481"/>
      <c r="D10" s="1481"/>
      <c r="E10" s="1481"/>
      <c r="F10" s="1481"/>
      <c r="G10" s="1007"/>
      <c r="H10" s="25"/>
      <c r="I10" s="1490" t="s">
        <v>671</v>
      </c>
      <c r="J10" s="761"/>
      <c r="K10" s="1496" t="s">
        <v>671</v>
      </c>
      <c r="L10" s="761"/>
      <c r="M10" s="1496" t="s">
        <v>4364</v>
      </c>
      <c r="N10" s="761"/>
      <c r="O10" s="1496"/>
      <c r="P10" s="761"/>
      <c r="Q10" s="1496"/>
      <c r="R10" s="761"/>
      <c r="S10" s="1496"/>
      <c r="T10" s="761"/>
      <c r="U10" s="1496"/>
      <c r="V10" s="761"/>
      <c r="W10" s="1496"/>
      <c r="X10" s="761"/>
      <c r="Y10" s="1496"/>
      <c r="Z10" s="761"/>
      <c r="AA10" s="1496"/>
      <c r="AB10" s="761"/>
      <c r="AC10" s="1007"/>
      <c r="AD10" s="12" t="s">
        <v>1095</v>
      </c>
      <c r="AE10" s="1497"/>
      <c r="AF10" s="12" t="s">
        <v>1095</v>
      </c>
      <c r="AG10" s="1497"/>
      <c r="AH10" s="12" t="s">
        <v>1096</v>
      </c>
      <c r="AI10" s="1497"/>
      <c r="AJ10" s="12" t="s">
        <v>1096</v>
      </c>
      <c r="AK10" s="1497"/>
      <c r="AL10" s="12" t="s">
        <v>1097</v>
      </c>
      <c r="AM10" s="1013"/>
      <c r="AN10" s="12" t="s">
        <v>1097</v>
      </c>
      <c r="AO10" s="1013"/>
      <c r="AP10" s="12" t="s">
        <v>1098</v>
      </c>
      <c r="AQ10" s="1013"/>
      <c r="AR10" s="12" t="s">
        <v>1098</v>
      </c>
      <c r="AS10" s="1013"/>
      <c r="AT10" s="1481"/>
      <c r="AU10" s="1481"/>
      <c r="AV10" s="1007"/>
      <c r="AW10" s="1466"/>
      <c r="AX10" s="1007"/>
      <c r="AY10" s="25"/>
      <c r="AZ10" s="25"/>
      <c r="BA10" s="1498" t="s">
        <v>1089</v>
      </c>
      <c r="BB10" s="1499"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t="s">
        <v>3328</v>
      </c>
      <c r="N11" s="1502"/>
      <c r="O11" s="1501"/>
      <c r="P11" s="1502"/>
      <c r="Q11" s="1501"/>
      <c r="R11" s="1502"/>
      <c r="S11" s="1501"/>
      <c r="T11" s="1502"/>
      <c r="U11" s="1501"/>
      <c r="V11" s="1502"/>
      <c r="W11" s="1501"/>
      <c r="X11" s="1502"/>
      <c r="Y11" s="1501"/>
      <c r="Z11" s="1502"/>
      <c r="AA11" s="1501"/>
      <c r="AB11" s="1502"/>
      <c r="AC11" s="1007"/>
      <c r="AD11" s="1503" t="s">
        <v>1099</v>
      </c>
      <c r="AE11" s="1269"/>
      <c r="AF11" s="1503" t="s">
        <v>1099</v>
      </c>
      <c r="AG11" s="1269"/>
      <c r="AH11" s="1503" t="s">
        <v>1100</v>
      </c>
      <c r="AI11" s="1504"/>
      <c r="AJ11" s="1503" t="s">
        <v>1100</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商业</v>
      </c>
      <c r="BD11" s="1486" t="str">
        <f>M10</f>
        <v>车库—商业</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7" t="s">
        <v>1102</v>
      </c>
      <c r="W12" s="8" t="s">
        <v>1101</v>
      </c>
      <c r="X12" s="8" t="s">
        <v>1102</v>
      </c>
      <c r="Y12" s="8" t="s">
        <v>1101</v>
      </c>
      <c r="Z12" s="8" t="s">
        <v>1102</v>
      </c>
      <c r="AA12" s="8" t="s">
        <v>1101</v>
      </c>
      <c r="AB12" s="8" t="s">
        <v>1102</v>
      </c>
      <c r="AC12" s="1508"/>
      <c r="AD12" s="125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6" t="s">
        <v>1102</v>
      </c>
      <c r="AT12" s="1509"/>
      <c r="AU12" s="1506"/>
      <c r="AV12" s="28"/>
      <c r="AW12" s="1465"/>
      <c r="AX12" s="28"/>
      <c r="AY12" s="1510"/>
      <c r="AZ12" s="25"/>
      <c r="BA12" s="1498"/>
      <c r="BB12" s="21">
        <f>I11</f>
        <v>0</v>
      </c>
      <c r="BC12" s="1511">
        <f>K11</f>
        <v>0</v>
      </c>
      <c r="BD12" s="1511" t="str">
        <f>M11</f>
        <v>车库</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4307</v>
      </c>
      <c r="E13" s="13">
        <f>IF($C$3="是",ROUND($A$3*G13/$B$3,2),ROUND($A$3*(G13-AT13)/$B$3,2))</f>
        <v>20242.14</v>
      </c>
      <c r="F13" s="29"/>
      <c r="G13" s="30">
        <f>H13+AC13+AT13</f>
        <v>66017.299999999916</v>
      </c>
      <c r="H13" s="17">
        <f>SUMIF(I$12:AB$12,"总值",I13:AB13)</f>
        <v>66017.299999999916</v>
      </c>
      <c r="I13" s="1513">
        <f>面积指标!I12</f>
        <v>42863.29</v>
      </c>
      <c r="J13" s="1513"/>
      <c r="K13" s="1513">
        <f>面积指标!D6</f>
        <v>7514.68</v>
      </c>
      <c r="L13" s="1513"/>
      <c r="M13" s="1513">
        <f>面积指标!D5</f>
        <v>15639.329999999913</v>
      </c>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20242.14</v>
      </c>
      <c r="AZ13" s="13">
        <f>BA13+BL13</f>
        <v>66017.299999999916</v>
      </c>
      <c r="BA13" s="13">
        <f>SUM(BB13:BK13)</f>
        <v>66017.299999999916</v>
      </c>
      <c r="BB13" s="13">
        <f>IF($D13="是",I13-J13,0)</f>
        <v>42863.29</v>
      </c>
      <c r="BC13" s="13">
        <f>IF($D13="是",K13-L13,0)</f>
        <v>7514.68</v>
      </c>
      <c r="BD13" s="13">
        <f>IF($D13="是",M13-N13,0)</f>
        <v>15639.329999999913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0" sqref="G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1128</v>
      </c>
      <c r="B1" s="1071"/>
      <c r="C1" s="1071"/>
      <c r="D1" s="1071"/>
      <c r="E1" s="1071"/>
      <c r="F1" s="1071"/>
      <c r="G1" s="1071"/>
      <c r="H1" s="1071"/>
      <c r="I1" s="1071"/>
      <c r="J1" s="1071"/>
      <c r="K1" s="1071"/>
      <c r="L1" s="1071"/>
      <c r="M1" s="1071"/>
      <c r="N1" s="1071"/>
      <c r="O1" s="1071"/>
      <c r="P1" s="1071"/>
    </row>
    <row r="2" spans="1:16" ht="15">
      <c r="A2" s="3297" t="s">
        <v>1129</v>
      </c>
      <c r="B2" s="3297"/>
      <c r="C2" s="3297"/>
      <c r="D2" s="748" t="s">
        <v>1105</v>
      </c>
      <c r="E2" s="1522" t="s">
        <v>1106</v>
      </c>
      <c r="F2" s="2438"/>
      <c r="G2" s="2431"/>
      <c r="H2" s="2432"/>
      <c r="I2" s="2145" t="s">
        <v>1130</v>
      </c>
      <c r="J2" s="2438"/>
      <c r="K2" s="2438"/>
      <c r="L2" s="2438"/>
      <c r="M2" s="2438"/>
      <c r="N2" s="2439"/>
      <c r="O2" s="2438"/>
      <c r="P2" s="2438"/>
    </row>
    <row r="3" spans="1:16" ht="15.75" thickBot="1">
      <c r="A3" s="3298" t="s">
        <v>1103</v>
      </c>
      <c r="B3" s="3298"/>
      <c r="C3" s="3298"/>
      <c r="D3" s="41">
        <f>'数据-基础表'!AY6</f>
        <v>20242.14</v>
      </c>
      <c r="E3" s="41">
        <f>'数据-基础表'!AZ5</f>
        <v>66017.299999999916</v>
      </c>
      <c r="F3" s="2438"/>
      <c r="G3" s="42"/>
      <c r="H3" s="43" t="s">
        <v>1104</v>
      </c>
      <c r="I3" s="802">
        <f>ROUND('数据-基础表'!B3/'数据-基础表'!A3,2)</f>
        <v>3.26</v>
      </c>
      <c r="J3" s="2438"/>
      <c r="K3" s="2438"/>
      <c r="L3" s="2438"/>
      <c r="M3" s="2438"/>
      <c r="N3" s="2439"/>
      <c r="O3" s="2438"/>
      <c r="P3" s="2438"/>
    </row>
    <row r="4" spans="1:16" ht="15">
      <c r="A4" s="3299"/>
      <c r="B4" s="3300"/>
      <c r="C4" s="3301"/>
      <c r="D4" s="1523" t="s">
        <v>1105</v>
      </c>
      <c r="E4" s="1524" t="s">
        <v>1106</v>
      </c>
      <c r="F4" s="2438"/>
      <c r="G4" s="2433" t="s">
        <v>1131</v>
      </c>
      <c r="H4" s="43" t="s">
        <v>1111</v>
      </c>
      <c r="I4" s="802">
        <f>ROUND(SUMIF('数据-基础表'!I9:AS9,"地上",'数据-基础表'!I5:AS5)/'数据-基础表'!A3,2)</f>
        <v>2.12</v>
      </c>
      <c r="J4" s="2438"/>
      <c r="K4" s="2438"/>
      <c r="L4" s="2438"/>
      <c r="M4" s="2438"/>
      <c r="N4" s="2439"/>
      <c r="O4" s="2438"/>
      <c r="P4" s="2438"/>
    </row>
    <row r="5" spans="1:16">
      <c r="A5" s="42" t="s">
        <v>1107</v>
      </c>
      <c r="B5" s="3302" t="s">
        <v>1108</v>
      </c>
      <c r="C5" s="3302"/>
      <c r="D5" s="43">
        <f>ROUND($D$3*E5/$E$3,2)</f>
        <v>0</v>
      </c>
      <c r="E5" s="44">
        <f>SUMIF('数据-基础表'!$11:$11,"住宅",'数据-基础表'!$5:$5)</f>
        <v>0</v>
      </c>
      <c r="F5" s="2438"/>
      <c r="G5" s="42"/>
      <c r="H5" s="43" t="s">
        <v>1104</v>
      </c>
      <c r="I5" s="802">
        <f>ROUND(E31/D31,2)</f>
        <v>3.26</v>
      </c>
      <c r="J5" s="2438"/>
      <c r="K5" s="2438"/>
      <c r="L5" s="2438"/>
      <c r="M5" s="2438"/>
      <c r="N5" s="2438"/>
      <c r="O5" s="2438"/>
      <c r="P5" s="2438"/>
    </row>
    <row r="6" spans="1:16" ht="15" thickBot="1">
      <c r="A6" s="1526"/>
      <c r="B6" s="3302" t="s">
        <v>1109</v>
      </c>
      <c r="C6" s="3302"/>
      <c r="D6" s="43">
        <f>ROUND($D$3*E6/$E$3,2)</f>
        <v>20242.14</v>
      </c>
      <c r="E6" s="44">
        <f>E3-E5</f>
        <v>66017.299999999916</v>
      </c>
      <c r="F6" s="2438"/>
      <c r="G6" s="1528" t="s">
        <v>1110</v>
      </c>
      <c r="H6" s="45" t="s">
        <v>1111</v>
      </c>
      <c r="I6" s="2434">
        <f>ROUND(F31/D31,2)</f>
        <v>2.12</v>
      </c>
      <c r="J6" s="2438"/>
      <c r="K6" s="2438"/>
      <c r="L6" s="2438"/>
      <c r="M6" s="2438"/>
      <c r="N6" s="2438"/>
      <c r="O6" s="2438"/>
      <c r="P6" s="2438"/>
    </row>
    <row r="7" spans="1:16" ht="15.75" thickBot="1">
      <c r="A7" s="3294"/>
      <c r="B7" s="3295"/>
      <c r="C7" s="3296"/>
      <c r="D7" s="1523" t="s">
        <v>1105</v>
      </c>
      <c r="E7" s="1527" t="s">
        <v>1112</v>
      </c>
      <c r="F7" s="2438"/>
      <c r="G7" s="2435" t="s">
        <v>1113</v>
      </c>
      <c r="H7" s="95"/>
      <c r="I7" s="2436">
        <v>2</v>
      </c>
      <c r="J7" s="2438"/>
      <c r="K7" s="2438"/>
      <c r="L7" s="2438"/>
      <c r="M7" s="2438"/>
      <c r="N7" s="2438"/>
      <c r="O7" s="2438"/>
      <c r="P7" s="2438"/>
    </row>
    <row r="8" spans="1:16">
      <c r="A8" s="42" t="s">
        <v>1114</v>
      </c>
      <c r="B8" s="45" t="s">
        <v>1115</v>
      </c>
      <c r="C8" s="43" t="s">
        <v>1116</v>
      </c>
      <c r="D8" s="43">
        <f t="shared" ref="D8:D15" si="0">ROUND($D$3*E8/$E$3,2)</f>
        <v>13142.69</v>
      </c>
      <c r="E8" s="46">
        <f>SUMIF('数据-基础表'!BB10:BK10,"地上",'数据-基础表'!BB5:BK5)</f>
        <v>42863.29</v>
      </c>
      <c r="F8" s="2438"/>
      <c r="G8" s="2438"/>
      <c r="H8" s="2438"/>
      <c r="I8" s="2438"/>
      <c r="J8" s="2438"/>
      <c r="K8" s="2438"/>
      <c r="L8" s="2438"/>
      <c r="M8" s="2438"/>
      <c r="N8" s="2438"/>
      <c r="O8" s="2438"/>
      <c r="P8" s="2438"/>
    </row>
    <row r="9" spans="1:16">
      <c r="A9" s="1528"/>
      <c r="B9" s="1529"/>
      <c r="C9" s="43" t="s">
        <v>1117</v>
      </c>
      <c r="D9" s="43">
        <f t="shared" si="0"/>
        <v>0</v>
      </c>
      <c r="E9" s="47">
        <v>0</v>
      </c>
      <c r="F9" s="2438"/>
      <c r="G9" s="2438"/>
      <c r="H9" s="2438"/>
      <c r="I9" s="2438"/>
      <c r="J9" s="2438"/>
      <c r="K9" s="2438"/>
      <c r="L9" s="2438"/>
      <c r="M9" s="2438"/>
      <c r="N9" s="2438"/>
      <c r="O9" s="2438"/>
      <c r="P9" s="2438"/>
    </row>
    <row r="10" spans="1:16">
      <c r="A10" s="1528"/>
      <c r="B10" s="1529"/>
      <c r="C10" s="43" t="s">
        <v>1126</v>
      </c>
      <c r="D10" s="43">
        <f t="shared" si="0"/>
        <v>2304.14</v>
      </c>
      <c r="E10" s="46">
        <f>SUMPRODUCT(('数据-基础表'!BB10:BK10="地下")*('数据-基础表'!BB11:BK11="商业")*('数据-基础表'!BB5:BK5))</f>
        <v>7514.68</v>
      </c>
      <c r="F10" s="2438"/>
      <c r="G10" s="2438"/>
      <c r="H10" s="2438"/>
      <c r="I10" s="2438"/>
      <c r="J10" s="2438"/>
      <c r="K10" s="2438"/>
      <c r="L10" s="2438"/>
      <c r="M10" s="2438"/>
      <c r="N10" s="2438"/>
      <c r="O10" s="2438"/>
      <c r="P10" s="2438"/>
    </row>
    <row r="11" spans="1:16">
      <c r="A11" s="1528"/>
      <c r="B11" s="1529"/>
      <c r="C11" s="43" t="s">
        <v>1118</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1132</v>
      </c>
      <c r="D14" s="43">
        <f t="shared" si="0"/>
        <v>4795.3100000000004</v>
      </c>
      <c r="E14" s="46">
        <f>SUMPRODUCT(('数据-基础表'!BB10:BK10="地下")*('数据-基础表'!BB11:BK11="车库—商业")*('数据-基础表'!BB5:BK5))</f>
        <v>15639.329999999913</v>
      </c>
      <c r="F14" s="2438"/>
      <c r="G14" s="2438"/>
      <c r="H14" s="2438"/>
      <c r="I14" s="2438"/>
      <c r="J14" s="2438"/>
      <c r="K14" s="2438"/>
      <c r="L14" s="2438"/>
      <c r="M14" s="2438"/>
      <c r="N14" s="2438"/>
      <c r="O14" s="2438"/>
      <c r="P14" s="2438"/>
    </row>
    <row r="15" spans="1:16" ht="15" thickBot="1">
      <c r="A15" s="1528"/>
      <c r="B15" s="1529"/>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1121</v>
      </c>
      <c r="D16" s="45">
        <f>SUM(D8:D15)</f>
        <v>20242.14</v>
      </c>
      <c r="E16" s="48">
        <f>SUM(E8:E15)</f>
        <v>66017.299999999916</v>
      </c>
      <c r="F16" s="2438"/>
      <c r="G16" s="2438"/>
      <c r="H16" s="1530" t="s">
        <v>1133</v>
      </c>
      <c r="I16" s="1531"/>
      <c r="J16" s="1071"/>
      <c r="K16" s="3291" t="s">
        <v>1133</v>
      </c>
      <c r="L16" s="3292"/>
      <c r="M16" s="3292"/>
      <c r="N16" s="3292"/>
      <c r="O16" s="3292"/>
      <c r="P16" s="3293"/>
    </row>
    <row r="17" spans="1:19" ht="15">
      <c r="A17" s="1532" t="s">
        <v>1134</v>
      </c>
      <c r="B17" s="1533" t="s">
        <v>1135</v>
      </c>
      <c r="C17" s="1534" t="s">
        <v>1136</v>
      </c>
      <c r="D17" s="1535" t="s">
        <v>1124</v>
      </c>
      <c r="E17" s="1536" t="s">
        <v>1125</v>
      </c>
      <c r="F17" s="1537"/>
      <c r="G17" s="1538"/>
      <c r="H17" s="1539" t="s">
        <v>1137</v>
      </c>
      <c r="I17" s="1540" t="s">
        <v>1122</v>
      </c>
      <c r="J17" s="1071"/>
      <c r="K17" s="3288" t="s">
        <v>1138</v>
      </c>
      <c r="L17" s="3289"/>
      <c r="M17" s="3290"/>
      <c r="N17" s="3288" t="s">
        <v>1139</v>
      </c>
      <c r="O17" s="3289"/>
      <c r="P17" s="3290"/>
      <c r="R17" s="769" t="s">
        <v>1140</v>
      </c>
      <c r="S17" s="54"/>
    </row>
    <row r="18" spans="1:19" ht="15">
      <c r="A18" s="1528"/>
      <c r="B18" s="1525"/>
      <c r="C18" s="1541"/>
      <c r="D18" s="1542"/>
      <c r="E18" s="1543" t="s">
        <v>1141</v>
      </c>
      <c r="F18" s="1544" t="s">
        <v>1142</v>
      </c>
      <c r="G18" s="1545" t="s">
        <v>1143</v>
      </c>
      <c r="H18" s="980" t="s">
        <v>1144</v>
      </c>
      <c r="I18" s="1546" t="s">
        <v>1145</v>
      </c>
      <c r="J18" s="1071"/>
      <c r="K18" s="980" t="s">
        <v>1146</v>
      </c>
      <c r="L18" s="1547" t="s">
        <v>1147</v>
      </c>
      <c r="M18" s="802" t="s">
        <v>1148</v>
      </c>
      <c r="N18" s="980" t="s">
        <v>1146</v>
      </c>
      <c r="O18" s="1547" t="s">
        <v>1147</v>
      </c>
      <c r="P18" s="802" t="s">
        <v>1148</v>
      </c>
      <c r="R18" s="43" t="s">
        <v>1149</v>
      </c>
      <c r="S18" s="43" t="s">
        <v>1150</v>
      </c>
    </row>
    <row r="19" spans="1:19">
      <c r="A19" s="1548"/>
      <c r="B19" s="45" t="s">
        <v>1123</v>
      </c>
      <c r="C19" s="3115" t="s">
        <v>4310</v>
      </c>
      <c r="D19" s="43">
        <f>ROUND($D$3*E19/$E$3,2)</f>
        <v>20242.14</v>
      </c>
      <c r="E19" s="51">
        <f t="shared" ref="E19:E26" si="1">SUM(F19:G19)</f>
        <v>66017.299999999916</v>
      </c>
      <c r="F19" s="2557">
        <f>'数据-基础表'!I13</f>
        <v>42863.29</v>
      </c>
      <c r="G19" s="1242">
        <f>'数据-基础表'!K13+'数据-基础表'!M13</f>
        <v>23154.009999999915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20242.14</v>
      </c>
      <c r="S19" s="51">
        <f t="shared" si="5"/>
        <v>66017.299999999916</v>
      </c>
    </row>
    <row r="20" spans="1:19">
      <c r="A20" s="1548"/>
      <c r="B20" s="45" t="s">
        <v>1151</v>
      </c>
      <c r="C20" s="3115"/>
      <c r="D20" s="43">
        <f t="shared" ref="D20:D26" si="6">ROUND($D$3*E20/$E$3,2)</f>
        <v>0</v>
      </c>
      <c r="E20" s="51">
        <f t="shared" si="1"/>
        <v>0</v>
      </c>
      <c r="F20" s="2557"/>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1151</v>
      </c>
      <c r="C21" s="3115"/>
      <c r="D21" s="43">
        <f t="shared" si="6"/>
        <v>0</v>
      </c>
      <c r="E21" s="51">
        <f t="shared" si="1"/>
        <v>0</v>
      </c>
      <c r="F21" s="2557"/>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1151</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1151</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1151</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1151</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1151</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1152</v>
      </c>
      <c r="D27" s="1072">
        <f>SUM(D19:D26)</f>
        <v>20242.14</v>
      </c>
      <c r="E27" s="1073">
        <f>IF(SUM(E19:E26)='数据-基础表'!BA5,SUM(E19:E26),IF(F27="地上面积有误","面积有误","地下面积有误"))</f>
        <v>66017.299999999916</v>
      </c>
      <c r="F27" s="1072">
        <f>IF(SUM(F19:F26)=E8,SUM(F19:F26),"地上面积有误")</f>
        <v>42863.29</v>
      </c>
      <c r="G27" s="1074">
        <f>SUM(G19:G26)</f>
        <v>23154.009999999915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20242.14</v>
      </c>
      <c r="S27" s="43">
        <f>IF(SUM(S19:S26)=$E$3,SUM(S19:S26),SUM(S19:S26)&amp;"误差"&amp;ROUND(SUM(S19:S26)-E3,2))</f>
        <v>66017.299999999916</v>
      </c>
    </row>
    <row r="28" spans="1:19">
      <c r="A28" s="1548"/>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1153</v>
      </c>
      <c r="C29" s="1554"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1152</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1156</v>
      </c>
      <c r="D31" s="643">
        <f>D27+D30</f>
        <v>20242.14</v>
      </c>
      <c r="E31" s="643">
        <f>E27+E30</f>
        <v>66017.299999999916</v>
      </c>
      <c r="F31" s="644">
        <f>F27+F30</f>
        <v>42863.29</v>
      </c>
      <c r="G31" s="645">
        <f>G27+G30</f>
        <v>23154.009999999915</v>
      </c>
      <c r="H31" s="2438"/>
      <c r="I31" s="2438"/>
      <c r="J31" s="2438"/>
      <c r="K31" s="2438"/>
      <c r="L31" s="2438"/>
      <c r="M31" s="2438"/>
      <c r="N31" s="2438"/>
      <c r="O31" s="2438"/>
      <c r="P31" s="2438"/>
    </row>
    <row r="32" spans="1:19">
      <c r="A32" s="1525"/>
      <c r="B32" s="1525" t="s">
        <v>1157</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A16" workbookViewId="0">
      <selection activeCell="L35" sqref="L35"/>
    </sheetView>
  </sheetViews>
  <sheetFormatPr defaultRowHeight="13.5"/>
  <cols>
    <col min="1" max="1" width="9.75" style="3143" customWidth="1"/>
    <col min="2" max="2" width="10.375" style="3143" customWidth="1"/>
    <col min="3" max="3" width="16" style="3143" customWidth="1"/>
    <col min="4" max="4" width="17.5" style="3143" customWidth="1"/>
    <col min="5" max="5" width="11" style="3143" customWidth="1"/>
    <col min="6" max="6" width="12" style="3143" customWidth="1"/>
    <col min="7" max="7" width="10.75" style="3143" customWidth="1"/>
    <col min="8" max="8" width="13" style="3143" customWidth="1"/>
    <col min="9" max="9" width="12.375" style="3143" customWidth="1"/>
    <col min="10" max="10" width="13" style="3143" customWidth="1"/>
    <col min="11" max="11" width="5.625" style="3143" customWidth="1"/>
    <col min="12" max="12" width="12.875" style="3143" customWidth="1"/>
    <col min="13" max="13" width="9.75" style="3143" customWidth="1"/>
    <col min="14" max="14" width="10" style="3143" customWidth="1"/>
    <col min="15" max="16384" width="9" style="3143"/>
  </cols>
  <sheetData>
    <row r="1" spans="1:14" ht="18.75" customHeight="1">
      <c r="B1" s="3143" t="s">
        <v>3393</v>
      </c>
      <c r="C1" s="3143" t="s">
        <v>3395</v>
      </c>
      <c r="D1" s="3143" t="s">
        <v>3397</v>
      </c>
      <c r="E1" s="3143" t="s">
        <v>3398</v>
      </c>
      <c r="F1" s="3143" t="s">
        <v>3400</v>
      </c>
      <c r="G1" s="3143" t="s">
        <v>3402</v>
      </c>
      <c r="H1" s="3143" t="s">
        <v>3404</v>
      </c>
      <c r="I1" s="3143" t="s">
        <v>3406</v>
      </c>
      <c r="J1" s="3143" t="s">
        <v>3408</v>
      </c>
      <c r="K1" s="3143" t="s">
        <v>3410</v>
      </c>
      <c r="L1" s="3143" t="s">
        <v>3412</v>
      </c>
      <c r="M1" s="3143" t="s">
        <v>3413</v>
      </c>
    </row>
    <row r="2" spans="1:14" ht="41.25" customHeight="1">
      <c r="A2" s="3143" t="s">
        <v>3414</v>
      </c>
      <c r="B2" s="3143">
        <v>2</v>
      </c>
      <c r="C2" s="3143" t="s">
        <v>3415</v>
      </c>
      <c r="D2" s="3143" t="s">
        <v>4306</v>
      </c>
      <c r="E2" s="3143" t="s">
        <v>3417</v>
      </c>
      <c r="F2" s="3143" t="s">
        <v>3418</v>
      </c>
      <c r="G2" s="3143" t="s">
        <v>3419</v>
      </c>
      <c r="H2" s="3143" t="s">
        <v>3420</v>
      </c>
      <c r="I2" s="3143">
        <v>42863.29</v>
      </c>
      <c r="J2" s="3156">
        <v>57339</v>
      </c>
      <c r="K2" s="3143" t="s">
        <v>3422</v>
      </c>
      <c r="L2" s="3143">
        <v>24641.279999999999</v>
      </c>
      <c r="M2" s="3143" t="s">
        <v>3423</v>
      </c>
    </row>
    <row r="3" spans="1:14" ht="51.75" customHeight="1">
      <c r="C3" s="3143" t="s">
        <v>3424</v>
      </c>
      <c r="D3" s="3143" t="s">
        <v>3425</v>
      </c>
      <c r="E3" s="3143" t="s">
        <v>3427</v>
      </c>
      <c r="F3" s="3143" t="s">
        <v>3428</v>
      </c>
      <c r="G3" s="3143" t="s">
        <v>3429</v>
      </c>
      <c r="I3" s="3143">
        <v>29130.28</v>
      </c>
      <c r="J3" s="3143" t="s">
        <v>4294</v>
      </c>
      <c r="K3" s="3143" t="s">
        <v>3431</v>
      </c>
      <c r="L3" s="3143">
        <v>24641.279999999999</v>
      </c>
      <c r="M3" s="3143" t="s">
        <v>3432</v>
      </c>
    </row>
    <row r="4" spans="1:14">
      <c r="C4" s="3146" t="s">
        <v>3434</v>
      </c>
      <c r="D4" s="3146" t="s">
        <v>3436</v>
      </c>
      <c r="E4" s="3146" t="s">
        <v>3438</v>
      </c>
      <c r="F4" s="3146" t="s">
        <v>3440</v>
      </c>
      <c r="H4" s="3146" t="s">
        <v>3441</v>
      </c>
      <c r="I4" s="3146" t="s">
        <v>3436</v>
      </c>
      <c r="J4" s="3146" t="s">
        <v>3440</v>
      </c>
    </row>
    <row r="5" spans="1:14">
      <c r="C5" s="3146" t="s">
        <v>3442</v>
      </c>
      <c r="D5" s="3146">
        <f>分摊土地!D426</f>
        <v>15639.329999999913</v>
      </c>
      <c r="E5" s="3147">
        <v>419</v>
      </c>
      <c r="F5" s="3146">
        <f>分摊土地!E426</f>
        <v>4795.1400000000076</v>
      </c>
      <c r="G5" s="3143" t="s">
        <v>3444</v>
      </c>
      <c r="H5" s="3144">
        <v>1</v>
      </c>
      <c r="I5" s="3144">
        <v>7558.56</v>
      </c>
      <c r="J5" s="3146"/>
    </row>
    <row r="6" spans="1:14">
      <c r="C6" s="3146" t="s">
        <v>3445</v>
      </c>
      <c r="D6" s="3146">
        <f>分摊土地!D423</f>
        <v>7514.68</v>
      </c>
      <c r="E6" s="3147">
        <v>1</v>
      </c>
      <c r="F6" s="3146">
        <f>分摊土地!E423</f>
        <v>2304.17</v>
      </c>
      <c r="H6" s="3144">
        <v>2</v>
      </c>
      <c r="I6" s="3144">
        <v>7882.5</v>
      </c>
      <c r="J6" s="3146"/>
    </row>
    <row r="7" spans="1:14">
      <c r="C7" s="3146"/>
      <c r="D7" s="3148">
        <f>SUM(D5:D6)</f>
        <v>23154.009999999915</v>
      </c>
      <c r="E7" s="3146">
        <f>SUM(E5:E6)</f>
        <v>420</v>
      </c>
      <c r="F7" s="3148">
        <f>SUM(F5:F6)</f>
        <v>7099.3100000000077</v>
      </c>
      <c r="H7" s="3144">
        <v>3</v>
      </c>
      <c r="I7" s="3144">
        <v>7825.72</v>
      </c>
      <c r="J7" s="3146"/>
    </row>
    <row r="8" spans="1:14">
      <c r="H8" s="3144">
        <v>4</v>
      </c>
      <c r="I8" s="3144">
        <v>7570.61</v>
      </c>
      <c r="J8" s="3146"/>
    </row>
    <row r="9" spans="1:14">
      <c r="D9" s="3143" t="s">
        <v>3446</v>
      </c>
      <c r="E9" s="3143" t="s">
        <v>3437</v>
      </c>
      <c r="H9" s="3144">
        <v>5</v>
      </c>
      <c r="I9" s="3144">
        <v>7472.25</v>
      </c>
      <c r="J9" s="3146"/>
    </row>
    <row r="10" spans="1:14">
      <c r="C10" s="3143" t="s">
        <v>4298</v>
      </c>
      <c r="D10" s="3143">
        <v>13490.95</v>
      </c>
      <c r="E10" s="3143">
        <v>8</v>
      </c>
      <c r="H10" s="3144">
        <v>6</v>
      </c>
      <c r="I10" s="3144">
        <v>4372.5</v>
      </c>
      <c r="J10" s="3146"/>
    </row>
    <row r="11" spans="1:14" ht="27">
      <c r="D11" s="3143">
        <f>D10-D6</f>
        <v>5976.27</v>
      </c>
      <c r="E11" s="3143">
        <v>7</v>
      </c>
      <c r="H11" s="3144" t="s">
        <v>3448</v>
      </c>
      <c r="I11" s="3144">
        <v>181.15</v>
      </c>
      <c r="J11" s="3146"/>
      <c r="M11" s="3143" t="s">
        <v>3449</v>
      </c>
      <c r="N11" s="3143" t="s">
        <v>3450</v>
      </c>
    </row>
    <row r="12" spans="1:14">
      <c r="H12" s="3146" t="s">
        <v>3451</v>
      </c>
      <c r="I12" s="3148">
        <f>SUM(I5:I11)</f>
        <v>42863.29</v>
      </c>
      <c r="J12" s="3148">
        <f>分摊土地!E3</f>
        <v>13142.83</v>
      </c>
      <c r="L12" s="3143" t="s">
        <v>4300</v>
      </c>
      <c r="M12" s="3143">
        <f>D7+I12</f>
        <v>66017.299999999916</v>
      </c>
      <c r="N12" s="3143">
        <f>F7+J12</f>
        <v>20242.140000000007</v>
      </c>
    </row>
    <row r="13" spans="1:14">
      <c r="C13" s="3143" t="s">
        <v>4299</v>
      </c>
      <c r="D13" s="3143">
        <v>15639.33</v>
      </c>
      <c r="E13" s="3143">
        <v>419</v>
      </c>
    </row>
    <row r="14" spans="1:14">
      <c r="D14" s="3143">
        <v>0</v>
      </c>
      <c r="E14" s="3143">
        <f>E13-E5</f>
        <v>0</v>
      </c>
    </row>
    <row r="16" spans="1:14">
      <c r="B16" s="3143" t="s">
        <v>3393</v>
      </c>
      <c r="C16" s="3143" t="s">
        <v>3394</v>
      </c>
      <c r="D16" s="3143" t="s">
        <v>3396</v>
      </c>
      <c r="E16" s="3143" t="s">
        <v>2539</v>
      </c>
      <c r="F16" s="3143" t="s">
        <v>3399</v>
      </c>
      <c r="G16" s="3143" t="s">
        <v>3401</v>
      </c>
      <c r="H16" s="3143" t="s">
        <v>3403</v>
      </c>
      <c r="I16" s="3143" t="s">
        <v>3405</v>
      </c>
      <c r="J16" s="3143" t="s">
        <v>3407</v>
      </c>
      <c r="K16" s="3143" t="s">
        <v>3409</v>
      </c>
      <c r="L16" s="3143" t="s">
        <v>3411</v>
      </c>
      <c r="M16" s="3143" t="s">
        <v>3413</v>
      </c>
    </row>
    <row r="17" spans="1:14" ht="40.5">
      <c r="A17" s="3143" t="s">
        <v>3452</v>
      </c>
      <c r="B17" s="3143">
        <v>2.5</v>
      </c>
      <c r="C17" s="3143" t="s">
        <v>3453</v>
      </c>
      <c r="D17" s="3143" t="s">
        <v>3454</v>
      </c>
      <c r="E17" s="3143" t="s">
        <v>3416</v>
      </c>
      <c r="F17" s="3143" t="s">
        <v>3455</v>
      </c>
      <c r="G17" s="3143" t="s">
        <v>3456</v>
      </c>
      <c r="H17" s="3143" t="s">
        <v>3457</v>
      </c>
      <c r="I17" s="3143">
        <v>44140.36</v>
      </c>
      <c r="J17" s="3143">
        <v>57339</v>
      </c>
      <c r="K17" s="3143" t="s">
        <v>3421</v>
      </c>
      <c r="L17" s="3143">
        <v>28098.68</v>
      </c>
      <c r="M17" s="3143" t="s">
        <v>4295</v>
      </c>
    </row>
    <row r="18" spans="1:14" ht="40.5">
      <c r="C18" s="3143" t="s">
        <v>3458</v>
      </c>
      <c r="D18" s="3143" t="s">
        <v>3459</v>
      </c>
      <c r="E18" s="3143" t="s">
        <v>3426</v>
      </c>
      <c r="F18" s="3143" t="s">
        <v>3460</v>
      </c>
      <c r="G18" s="3143" t="s">
        <v>3461</v>
      </c>
      <c r="I18" s="3143">
        <v>35507.85</v>
      </c>
      <c r="J18" s="3143" t="s">
        <v>3430</v>
      </c>
      <c r="K18" s="3143" t="s">
        <v>3421</v>
      </c>
      <c r="L18" s="3143">
        <v>28098.68</v>
      </c>
      <c r="M18" s="3143" t="s">
        <v>4295</v>
      </c>
    </row>
    <row r="19" spans="1:14">
      <c r="C19" s="3146" t="s">
        <v>3433</v>
      </c>
      <c r="D19" s="3146" t="s">
        <v>3435</v>
      </c>
      <c r="E19" s="3146" t="s">
        <v>3437</v>
      </c>
      <c r="F19" s="3146" t="s">
        <v>3439</v>
      </c>
      <c r="H19" s="3146" t="s">
        <v>3462</v>
      </c>
      <c r="I19" s="3146" t="s">
        <v>3449</v>
      </c>
      <c r="J19" s="3146" t="s">
        <v>3450</v>
      </c>
    </row>
    <row r="20" spans="1:14">
      <c r="C20" s="3146" t="s">
        <v>3463</v>
      </c>
      <c r="D20" s="3146">
        <f>分摊土地!L344</f>
        <v>14328.11999999997</v>
      </c>
      <c r="E20" s="3147">
        <v>337</v>
      </c>
      <c r="F20" s="3146">
        <f>分摊土地!M344</f>
        <v>3315.0000000000136</v>
      </c>
      <c r="G20" s="3143" t="s">
        <v>3443</v>
      </c>
      <c r="H20" s="3145">
        <v>1</v>
      </c>
      <c r="I20" s="3145">
        <v>8714.39</v>
      </c>
      <c r="J20" s="3146"/>
    </row>
    <row r="21" spans="1:14">
      <c r="C21" s="3146" t="s">
        <v>3464</v>
      </c>
      <c r="D21" s="3146">
        <f>分摊土地!L341</f>
        <v>9581.2999999999993</v>
      </c>
      <c r="E21" s="3147">
        <v>1</v>
      </c>
      <c r="F21" s="3146">
        <f>分摊土地!M341</f>
        <v>2216.37</v>
      </c>
      <c r="H21" s="3145">
        <v>2</v>
      </c>
      <c r="I21" s="3145">
        <v>8586.61</v>
      </c>
      <c r="J21" s="3146"/>
    </row>
    <row r="22" spans="1:14">
      <c r="C22" s="3146"/>
      <c r="D22" s="3148">
        <f>SUM(D20:D21)</f>
        <v>23909.419999999969</v>
      </c>
      <c r="E22" s="3146">
        <f>SUM(E20:E21)</f>
        <v>338</v>
      </c>
      <c r="F22" s="3148">
        <f>F20+F21</f>
        <v>5531.3700000000135</v>
      </c>
      <c r="H22" s="3145">
        <v>3</v>
      </c>
      <c r="I22" s="3145">
        <v>8708.4500000000007</v>
      </c>
      <c r="J22" s="3146"/>
    </row>
    <row r="23" spans="1:14">
      <c r="H23" s="3145">
        <v>4</v>
      </c>
      <c r="I23" s="3145">
        <v>8552.11</v>
      </c>
      <c r="J23" s="3146"/>
    </row>
    <row r="24" spans="1:14">
      <c r="D24" s="3143" t="s">
        <v>3465</v>
      </c>
      <c r="E24" s="3143" t="s">
        <v>3466</v>
      </c>
      <c r="H24" s="3145">
        <v>5</v>
      </c>
      <c r="I24" s="3145">
        <v>7982.25</v>
      </c>
      <c r="J24" s="3146"/>
    </row>
    <row r="25" spans="1:14">
      <c r="C25" s="3143" t="s">
        <v>3447</v>
      </c>
      <c r="D25" s="3143">
        <v>15260.73</v>
      </c>
      <c r="E25" s="3143">
        <v>9</v>
      </c>
      <c r="H25" s="3145">
        <v>6</v>
      </c>
      <c r="I25" s="3145">
        <v>1471.94</v>
      </c>
      <c r="J25" s="3146"/>
    </row>
    <row r="26" spans="1:14">
      <c r="D26" s="3143">
        <f>D25-D21</f>
        <v>5679.43</v>
      </c>
      <c r="E26" s="3143">
        <v>8</v>
      </c>
      <c r="H26" s="3145" t="s">
        <v>3467</v>
      </c>
      <c r="I26" s="3145">
        <v>32.93</v>
      </c>
      <c r="J26" s="3146"/>
    </row>
    <row r="27" spans="1:14" ht="27">
      <c r="H27" s="3145" t="s">
        <v>3448</v>
      </c>
      <c r="I27" s="3145">
        <v>91.68</v>
      </c>
      <c r="J27" s="3146"/>
      <c r="M27" s="3143" t="s">
        <v>3449</v>
      </c>
      <c r="N27" s="3143" t="s">
        <v>3450</v>
      </c>
    </row>
    <row r="28" spans="1:14">
      <c r="C28" s="3143" t="s">
        <v>3468</v>
      </c>
      <c r="D28" s="3143">
        <v>20247.12</v>
      </c>
      <c r="E28" s="3143">
        <v>475</v>
      </c>
      <c r="H28" s="3146" t="s">
        <v>3451</v>
      </c>
      <c r="I28" s="3148">
        <f>SUM(I20:I27)</f>
        <v>44140.36</v>
      </c>
      <c r="J28" s="3148">
        <f>分摊土地!M3</f>
        <v>10210.65</v>
      </c>
      <c r="L28" s="3143" t="s">
        <v>4302</v>
      </c>
      <c r="M28" s="3143">
        <f>D22+I28</f>
        <v>68049.77999999997</v>
      </c>
      <c r="N28" s="3143">
        <f>F22+J28</f>
        <v>15742.020000000013</v>
      </c>
    </row>
    <row r="29" spans="1:14">
      <c r="D29" s="3143">
        <f>D28-D20</f>
        <v>5919.0000000000291</v>
      </c>
      <c r="E29" s="3143">
        <f>E28-E20</f>
        <v>138</v>
      </c>
    </row>
    <row r="30" spans="1:14">
      <c r="L30" s="3143" t="s">
        <v>3469</v>
      </c>
      <c r="M30" s="3143">
        <f>M12+M28</f>
        <v>134067.0799999999</v>
      </c>
      <c r="N30" s="3143">
        <f>N12+N28</f>
        <v>35984.160000000018</v>
      </c>
    </row>
    <row r="32" spans="1:14">
      <c r="A32" s="3303" t="s">
        <v>3470</v>
      </c>
      <c r="B32" s="3303"/>
      <c r="C32" s="3303"/>
      <c r="D32" s="3303"/>
      <c r="E32" s="3303" t="s">
        <v>3471</v>
      </c>
      <c r="F32" s="3303"/>
      <c r="G32" s="3303"/>
      <c r="H32" s="3303"/>
    </row>
    <row r="33" spans="1:8">
      <c r="A33" s="3150" t="s">
        <v>3472</v>
      </c>
      <c r="B33" s="3150" t="s">
        <v>3473</v>
      </c>
      <c r="C33" s="3150" t="s">
        <v>3474</v>
      </c>
      <c r="D33" s="3150" t="s">
        <v>3475</v>
      </c>
      <c r="E33" s="3150" t="s">
        <v>3472</v>
      </c>
      <c r="F33" s="3150" t="s">
        <v>3473</v>
      </c>
      <c r="G33" s="3150" t="s">
        <v>3474</v>
      </c>
      <c r="H33" s="3150" t="s">
        <v>3475</v>
      </c>
    </row>
    <row r="34" spans="1:8">
      <c r="A34" s="3150" t="s">
        <v>3476</v>
      </c>
      <c r="B34" s="3150">
        <f>D5</f>
        <v>15639.329999999913</v>
      </c>
      <c r="C34" s="3150" t="s">
        <v>3477</v>
      </c>
      <c r="D34" s="3150" t="s">
        <v>3477</v>
      </c>
      <c r="E34" s="3150" t="s">
        <v>3478</v>
      </c>
      <c r="F34" s="3150">
        <f>D20</f>
        <v>14328.11999999997</v>
      </c>
      <c r="G34" s="3150" t="s">
        <v>3479</v>
      </c>
      <c r="H34" s="3150" t="s">
        <v>3479</v>
      </c>
    </row>
    <row r="35" spans="1:8" ht="27">
      <c r="A35" s="3150" t="s">
        <v>3481</v>
      </c>
      <c r="B35" s="3150">
        <f>D6</f>
        <v>7514.68</v>
      </c>
      <c r="C35" s="3150" t="s">
        <v>3416</v>
      </c>
      <c r="D35" s="3150" t="s">
        <v>3482</v>
      </c>
      <c r="E35" s="3150" t="s">
        <v>3480</v>
      </c>
      <c r="F35" s="3150">
        <f>D21</f>
        <v>9581.2999999999993</v>
      </c>
      <c r="G35" s="3150" t="s">
        <v>3483</v>
      </c>
      <c r="H35" s="3150" t="s">
        <v>3484</v>
      </c>
    </row>
    <row r="36" spans="1:8" ht="40.5">
      <c r="A36" s="3150">
        <v>1</v>
      </c>
      <c r="B36" s="3150">
        <f>I5</f>
        <v>7558.56</v>
      </c>
      <c r="C36" s="3150" t="s">
        <v>3485</v>
      </c>
      <c r="D36" s="3150" t="s">
        <v>3486</v>
      </c>
      <c r="E36" s="3150">
        <v>1</v>
      </c>
      <c r="F36" s="3150">
        <f>I20</f>
        <v>8714.39</v>
      </c>
      <c r="G36" s="3150" t="s">
        <v>3487</v>
      </c>
      <c r="H36" s="3150" t="s">
        <v>3488</v>
      </c>
    </row>
    <row r="37" spans="1:8" ht="27">
      <c r="A37" s="3150">
        <v>2</v>
      </c>
      <c r="B37" s="3150">
        <f t="shared" ref="B37:B40" si="0">I6</f>
        <v>7882.5</v>
      </c>
      <c r="C37" s="3150" t="s">
        <v>3489</v>
      </c>
      <c r="D37" s="3150" t="s">
        <v>3490</v>
      </c>
      <c r="E37" s="3150">
        <v>2</v>
      </c>
      <c r="F37" s="3150">
        <f t="shared" ref="F37:F43" si="1">I21</f>
        <v>8586.61</v>
      </c>
      <c r="G37" s="3150" t="s">
        <v>3491</v>
      </c>
      <c r="H37" s="3150" t="s">
        <v>3492</v>
      </c>
    </row>
    <row r="38" spans="1:8">
      <c r="A38" s="3150">
        <v>3</v>
      </c>
      <c r="B38" s="3150">
        <f t="shared" si="0"/>
        <v>7825.72</v>
      </c>
      <c r="C38" s="3150" t="s">
        <v>3491</v>
      </c>
      <c r="D38" s="3150" t="s">
        <v>3493</v>
      </c>
      <c r="E38" s="3150">
        <v>3</v>
      </c>
      <c r="F38" s="3150">
        <f t="shared" si="1"/>
        <v>8708.4500000000007</v>
      </c>
      <c r="G38" s="3150" t="s">
        <v>3491</v>
      </c>
      <c r="H38" s="3150" t="s">
        <v>3493</v>
      </c>
    </row>
    <row r="39" spans="1:8" ht="27">
      <c r="A39" s="3150">
        <v>4</v>
      </c>
      <c r="B39" s="3150">
        <f t="shared" si="0"/>
        <v>7570.61</v>
      </c>
      <c r="C39" s="3150" t="s">
        <v>3491</v>
      </c>
      <c r="D39" s="3150" t="s">
        <v>3494</v>
      </c>
      <c r="E39" s="3150">
        <v>4</v>
      </c>
      <c r="F39" s="3150">
        <f t="shared" si="1"/>
        <v>8552.11</v>
      </c>
      <c r="G39" s="3150" t="s">
        <v>3491</v>
      </c>
      <c r="H39" s="3150" t="s">
        <v>3495</v>
      </c>
    </row>
    <row r="40" spans="1:8" ht="27">
      <c r="A40" s="3150">
        <v>5</v>
      </c>
      <c r="B40" s="3150">
        <f t="shared" si="0"/>
        <v>7472.25</v>
      </c>
      <c r="C40" s="3150" t="s">
        <v>3491</v>
      </c>
      <c r="D40" s="3150" t="s">
        <v>3494</v>
      </c>
      <c r="E40" s="3150">
        <v>5</v>
      </c>
      <c r="F40" s="3150">
        <f t="shared" si="1"/>
        <v>7982.25</v>
      </c>
      <c r="G40" s="3150" t="s">
        <v>3491</v>
      </c>
      <c r="H40" s="3150" t="s">
        <v>3496</v>
      </c>
    </row>
    <row r="41" spans="1:8">
      <c r="A41" s="3150">
        <v>6</v>
      </c>
      <c r="B41" s="3150">
        <f>I10</f>
        <v>4372.5</v>
      </c>
      <c r="C41" s="3150" t="s">
        <v>3491</v>
      </c>
      <c r="D41" s="3150" t="s">
        <v>3494</v>
      </c>
      <c r="E41" s="3150">
        <v>6</v>
      </c>
      <c r="F41" s="3150">
        <f t="shared" si="1"/>
        <v>1471.94</v>
      </c>
      <c r="G41" s="3150" t="s">
        <v>3491</v>
      </c>
      <c r="H41" s="3150" t="s">
        <v>3497</v>
      </c>
    </row>
    <row r="42" spans="1:8">
      <c r="A42" s="3150" t="s">
        <v>3498</v>
      </c>
      <c r="B42" s="3150">
        <f>I11</f>
        <v>181.15</v>
      </c>
      <c r="C42" s="3150" t="s">
        <v>3499</v>
      </c>
      <c r="D42" s="3150"/>
      <c r="E42" s="3150" t="s">
        <v>3500</v>
      </c>
      <c r="F42" s="3150">
        <f t="shared" si="1"/>
        <v>32.93</v>
      </c>
      <c r="G42" s="3150" t="s">
        <v>3500</v>
      </c>
      <c r="H42" s="3150"/>
    </row>
    <row r="43" spans="1:8">
      <c r="A43" s="3150"/>
      <c r="B43" s="3150"/>
      <c r="C43" s="3150"/>
      <c r="D43" s="3150"/>
      <c r="E43" s="3150" t="s">
        <v>3499</v>
      </c>
      <c r="F43" s="3150">
        <f t="shared" si="1"/>
        <v>91.68</v>
      </c>
      <c r="G43" s="3150" t="s">
        <v>3499</v>
      </c>
      <c r="H43" s="3150"/>
    </row>
    <row r="44" spans="1:8">
      <c r="A44" s="3150" t="s">
        <v>3501</v>
      </c>
      <c r="B44" s="3150">
        <f>SUM(B34:B43)</f>
        <v>66017.299999999916</v>
      </c>
      <c r="C44" s="3150" t="s">
        <v>3502</v>
      </c>
      <c r="D44" s="3150" t="s">
        <v>3502</v>
      </c>
      <c r="E44" s="3150" t="s">
        <v>3501</v>
      </c>
      <c r="F44" s="3150">
        <f>SUM(F34:F43)</f>
        <v>68049.779999999955</v>
      </c>
      <c r="G44" s="3150" t="s">
        <v>3502</v>
      </c>
      <c r="H44" s="3150" t="s">
        <v>3502</v>
      </c>
    </row>
    <row r="46" spans="1:8">
      <c r="B46" s="3143">
        <f>B44+F44</f>
        <v>134067.07999999987</v>
      </c>
    </row>
  </sheetData>
  <mergeCells count="2">
    <mergeCell ref="A32:D32"/>
    <mergeCell ref="E32:H32"/>
  </mergeCells>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1"/>
  <sheetViews>
    <sheetView workbookViewId="0">
      <pane ySplit="2" topLeftCell="A3" activePane="bottomLeft" state="frozen"/>
      <selection pane="bottomLeft" activeCell="E431" sqref="E431"/>
    </sheetView>
  </sheetViews>
  <sheetFormatPr defaultColWidth="8.5" defaultRowHeight="13.5"/>
  <cols>
    <col min="1" max="1" width="8.5" style="3155"/>
    <col min="2" max="2" width="9.25" style="3155" customWidth="1"/>
    <col min="3" max="3" width="11.625" style="3155" customWidth="1"/>
    <col min="4" max="4" width="11.25" style="3155" customWidth="1"/>
    <col min="5" max="5" width="12.25" style="3155" customWidth="1"/>
    <col min="6" max="6" width="11.125" style="3155" customWidth="1"/>
    <col min="7" max="8" width="8.5" style="3155"/>
    <col min="9" max="9" width="9.625" style="3155" customWidth="1"/>
    <col min="10" max="10" width="10.625" style="3155" customWidth="1"/>
    <col min="11" max="11" width="11.75" style="3155" customWidth="1"/>
    <col min="12" max="12" width="12.625" style="3155" customWidth="1"/>
    <col min="13" max="13" width="12.75" style="3155" customWidth="1"/>
    <col min="14" max="16384" width="8.5" style="3155"/>
  </cols>
  <sheetData>
    <row r="1" spans="1:14">
      <c r="A1" s="3304" t="s">
        <v>4297</v>
      </c>
      <c r="B1" s="3304"/>
      <c r="C1" s="3304"/>
      <c r="D1" s="3304"/>
      <c r="E1" s="3304"/>
      <c r="F1" s="3304"/>
      <c r="I1" s="3305" t="s">
        <v>4296</v>
      </c>
      <c r="J1" s="3305"/>
      <c r="K1" s="3305"/>
      <c r="L1" s="3305"/>
      <c r="M1" s="3305"/>
      <c r="N1" s="3305"/>
    </row>
    <row r="2" spans="1:14">
      <c r="A2" s="3149" t="s">
        <v>3503</v>
      </c>
      <c r="B2" s="3153" t="s">
        <v>3504</v>
      </c>
      <c r="C2" s="3153" t="s">
        <v>3505</v>
      </c>
      <c r="D2" s="3153" t="s">
        <v>3506</v>
      </c>
      <c r="E2" s="3153" t="s">
        <v>3507</v>
      </c>
      <c r="F2" s="3149" t="s">
        <v>3508</v>
      </c>
      <c r="I2" s="3149" t="s">
        <v>3503</v>
      </c>
      <c r="J2" s="3153" t="s">
        <v>3504</v>
      </c>
      <c r="K2" s="3153" t="s">
        <v>3505</v>
      </c>
      <c r="L2" s="3153" t="s">
        <v>3506</v>
      </c>
      <c r="M2" s="3153" t="s">
        <v>3507</v>
      </c>
      <c r="N2" s="3149" t="s">
        <v>3508</v>
      </c>
    </row>
    <row r="3" spans="1:14">
      <c r="A3" s="3149">
        <v>1</v>
      </c>
      <c r="B3" s="3153" t="s">
        <v>3509</v>
      </c>
      <c r="C3" s="3153">
        <v>101</v>
      </c>
      <c r="D3" s="3153">
        <v>42863.29</v>
      </c>
      <c r="E3" s="3154">
        <v>13142.83</v>
      </c>
      <c r="F3" s="3149" t="s">
        <v>3510</v>
      </c>
      <c r="I3" s="3149">
        <v>1</v>
      </c>
      <c r="J3" s="3153" t="s">
        <v>3931</v>
      </c>
      <c r="K3" s="3153">
        <v>101</v>
      </c>
      <c r="L3" s="3153">
        <v>44140.36</v>
      </c>
      <c r="M3" s="3154">
        <v>10210.65</v>
      </c>
      <c r="N3" s="3149" t="s">
        <v>4271</v>
      </c>
    </row>
    <row r="4" spans="1:14">
      <c r="A4" s="3149">
        <v>2</v>
      </c>
      <c r="B4" s="3153" t="s">
        <v>3511</v>
      </c>
      <c r="C4" s="3153" t="s">
        <v>3512</v>
      </c>
      <c r="D4" s="3153">
        <v>36.56</v>
      </c>
      <c r="E4" s="3154">
        <v>11.21</v>
      </c>
      <c r="F4" s="3149" t="s">
        <v>4270</v>
      </c>
      <c r="I4" s="3149">
        <v>2</v>
      </c>
      <c r="J4" s="3153" t="s">
        <v>3932</v>
      </c>
      <c r="K4" s="3153" t="s">
        <v>3933</v>
      </c>
      <c r="L4" s="3153">
        <v>41.97</v>
      </c>
      <c r="M4" s="3154">
        <v>9.7100000000000009</v>
      </c>
      <c r="N4" s="3149" t="s">
        <v>4270</v>
      </c>
    </row>
    <row r="5" spans="1:14">
      <c r="A5" s="3149">
        <v>3</v>
      </c>
      <c r="B5" s="3153" t="s">
        <v>3511</v>
      </c>
      <c r="C5" s="3153" t="s">
        <v>3513</v>
      </c>
      <c r="D5" s="3153">
        <v>36.56</v>
      </c>
      <c r="E5" s="3154">
        <v>11.21</v>
      </c>
      <c r="F5" s="3149" t="s">
        <v>4270</v>
      </c>
      <c r="I5" s="3149">
        <v>3</v>
      </c>
      <c r="J5" s="3153" t="s">
        <v>3932</v>
      </c>
      <c r="K5" s="3153" t="s">
        <v>3934</v>
      </c>
      <c r="L5" s="3153">
        <v>43.78</v>
      </c>
      <c r="M5" s="3154">
        <v>10.130000000000001</v>
      </c>
      <c r="N5" s="3149" t="s">
        <v>4270</v>
      </c>
    </row>
    <row r="6" spans="1:14">
      <c r="A6" s="3149">
        <v>4</v>
      </c>
      <c r="B6" s="3153" t="s">
        <v>3511</v>
      </c>
      <c r="C6" s="3153" t="s">
        <v>3514</v>
      </c>
      <c r="D6" s="3153">
        <v>36.56</v>
      </c>
      <c r="E6" s="3154">
        <v>11.21</v>
      </c>
      <c r="F6" s="3149" t="s">
        <v>4270</v>
      </c>
      <c r="I6" s="3149">
        <v>4</v>
      </c>
      <c r="J6" s="3153" t="s">
        <v>3932</v>
      </c>
      <c r="K6" s="3153" t="s">
        <v>3935</v>
      </c>
      <c r="L6" s="3153">
        <v>41.97</v>
      </c>
      <c r="M6" s="3154">
        <v>9.7100000000000009</v>
      </c>
      <c r="N6" s="3149" t="s">
        <v>4270</v>
      </c>
    </row>
    <row r="7" spans="1:14">
      <c r="A7" s="3149">
        <v>5</v>
      </c>
      <c r="B7" s="3153" t="s">
        <v>3511</v>
      </c>
      <c r="C7" s="3153" t="s">
        <v>3515</v>
      </c>
      <c r="D7" s="3153">
        <v>38.130000000000003</v>
      </c>
      <c r="E7" s="3154">
        <v>11.69</v>
      </c>
      <c r="F7" s="3149" t="s">
        <v>4270</v>
      </c>
      <c r="I7" s="3149">
        <v>5</v>
      </c>
      <c r="J7" s="3153" t="s">
        <v>3932</v>
      </c>
      <c r="K7" s="3153" t="s">
        <v>3936</v>
      </c>
      <c r="L7" s="3153">
        <v>41.97</v>
      </c>
      <c r="M7" s="3154">
        <v>9.7100000000000009</v>
      </c>
      <c r="N7" s="3149" t="s">
        <v>4270</v>
      </c>
    </row>
    <row r="8" spans="1:14">
      <c r="A8" s="3149">
        <v>6</v>
      </c>
      <c r="B8" s="3153" t="s">
        <v>3511</v>
      </c>
      <c r="C8" s="3153" t="s">
        <v>3516</v>
      </c>
      <c r="D8" s="3153">
        <v>36.56</v>
      </c>
      <c r="E8" s="3154">
        <v>11.21</v>
      </c>
      <c r="F8" s="3149" t="s">
        <v>4270</v>
      </c>
      <c r="I8" s="3149">
        <v>6</v>
      </c>
      <c r="J8" s="3153" t="s">
        <v>3932</v>
      </c>
      <c r="K8" s="3153" t="s">
        <v>3937</v>
      </c>
      <c r="L8" s="3153">
        <v>41.97</v>
      </c>
      <c r="M8" s="3154">
        <v>9.7100000000000009</v>
      </c>
      <c r="N8" s="3149" t="s">
        <v>4270</v>
      </c>
    </row>
    <row r="9" spans="1:14">
      <c r="A9" s="3149">
        <v>7</v>
      </c>
      <c r="B9" s="3153" t="s">
        <v>3511</v>
      </c>
      <c r="C9" s="3153" t="s">
        <v>3517</v>
      </c>
      <c r="D9" s="3153">
        <v>36.56</v>
      </c>
      <c r="E9" s="3154">
        <v>11.21</v>
      </c>
      <c r="F9" s="3149" t="s">
        <v>4270</v>
      </c>
      <c r="I9" s="3149">
        <v>7</v>
      </c>
      <c r="J9" s="3153" t="s">
        <v>3932</v>
      </c>
      <c r="K9" s="3153" t="s">
        <v>3938</v>
      </c>
      <c r="L9" s="3153">
        <v>41.97</v>
      </c>
      <c r="M9" s="3154">
        <v>9.7100000000000009</v>
      </c>
      <c r="N9" s="3149" t="s">
        <v>4270</v>
      </c>
    </row>
    <row r="10" spans="1:14">
      <c r="A10" s="3149">
        <v>8</v>
      </c>
      <c r="B10" s="3153" t="s">
        <v>3511</v>
      </c>
      <c r="C10" s="3153" t="s">
        <v>3518</v>
      </c>
      <c r="D10" s="3153">
        <v>38.130000000000003</v>
      </c>
      <c r="E10" s="3154">
        <v>11.69</v>
      </c>
      <c r="F10" s="3149" t="s">
        <v>4270</v>
      </c>
      <c r="I10" s="3149">
        <v>8</v>
      </c>
      <c r="J10" s="3153" t="s">
        <v>3932</v>
      </c>
      <c r="K10" s="3153" t="s">
        <v>3939</v>
      </c>
      <c r="L10" s="3153">
        <v>43.78</v>
      </c>
      <c r="M10" s="3154">
        <v>10.130000000000001</v>
      </c>
      <c r="N10" s="3149" t="s">
        <v>4270</v>
      </c>
    </row>
    <row r="11" spans="1:14">
      <c r="A11" s="3149">
        <v>9</v>
      </c>
      <c r="B11" s="3153" t="s">
        <v>3511</v>
      </c>
      <c r="C11" s="3153" t="s">
        <v>3519</v>
      </c>
      <c r="D11" s="3153">
        <v>36.56</v>
      </c>
      <c r="E11" s="3154">
        <v>11.21</v>
      </c>
      <c r="F11" s="3149" t="s">
        <v>4270</v>
      </c>
      <c r="I11" s="3149">
        <v>9</v>
      </c>
      <c r="J11" s="3153" t="s">
        <v>3932</v>
      </c>
      <c r="K11" s="3153" t="s">
        <v>3940</v>
      </c>
      <c r="L11" s="3153">
        <v>41.97</v>
      </c>
      <c r="M11" s="3154">
        <v>9.7100000000000009</v>
      </c>
      <c r="N11" s="3149" t="s">
        <v>4270</v>
      </c>
    </row>
    <row r="12" spans="1:14">
      <c r="A12" s="3149">
        <v>10</v>
      </c>
      <c r="B12" s="3153" t="s">
        <v>3511</v>
      </c>
      <c r="C12" s="3153" t="s">
        <v>3520</v>
      </c>
      <c r="D12" s="3153">
        <v>36.56</v>
      </c>
      <c r="E12" s="3154">
        <v>11.21</v>
      </c>
      <c r="F12" s="3149" t="s">
        <v>4270</v>
      </c>
      <c r="I12" s="3149">
        <v>10</v>
      </c>
      <c r="J12" s="3153" t="s">
        <v>3932</v>
      </c>
      <c r="K12" s="3153" t="s">
        <v>3941</v>
      </c>
      <c r="L12" s="3153">
        <v>41.97</v>
      </c>
      <c r="M12" s="3154">
        <v>9.7100000000000009</v>
      </c>
      <c r="N12" s="3149" t="s">
        <v>4270</v>
      </c>
    </row>
    <row r="13" spans="1:14">
      <c r="A13" s="3149">
        <v>11</v>
      </c>
      <c r="B13" s="3153" t="s">
        <v>3511</v>
      </c>
      <c r="C13" s="3153" t="s">
        <v>3521</v>
      </c>
      <c r="D13" s="3153">
        <v>38.130000000000003</v>
      </c>
      <c r="E13" s="3154">
        <v>11.69</v>
      </c>
      <c r="F13" s="3149" t="s">
        <v>4270</v>
      </c>
      <c r="I13" s="3149">
        <v>11</v>
      </c>
      <c r="J13" s="3153" t="s">
        <v>3932</v>
      </c>
      <c r="K13" s="3153" t="s">
        <v>3942</v>
      </c>
      <c r="L13" s="3153">
        <v>43.78</v>
      </c>
      <c r="M13" s="3154">
        <v>10.130000000000001</v>
      </c>
      <c r="N13" s="3149" t="s">
        <v>4270</v>
      </c>
    </row>
    <row r="14" spans="1:14">
      <c r="A14" s="3149">
        <v>12</v>
      </c>
      <c r="B14" s="3153" t="s">
        <v>3511</v>
      </c>
      <c r="C14" s="3153" t="s">
        <v>3522</v>
      </c>
      <c r="D14" s="3153">
        <v>36.56</v>
      </c>
      <c r="E14" s="3154">
        <v>11.21</v>
      </c>
      <c r="F14" s="3149" t="s">
        <v>4270</v>
      </c>
      <c r="I14" s="3149">
        <v>12</v>
      </c>
      <c r="J14" s="3153" t="s">
        <v>3932</v>
      </c>
      <c r="K14" s="3153" t="s">
        <v>3943</v>
      </c>
      <c r="L14" s="3153">
        <v>41.97</v>
      </c>
      <c r="M14" s="3154">
        <v>9.7100000000000009</v>
      </c>
      <c r="N14" s="3149" t="s">
        <v>4270</v>
      </c>
    </row>
    <row r="15" spans="1:14">
      <c r="A15" s="3149">
        <v>13</v>
      </c>
      <c r="B15" s="3153" t="s">
        <v>3511</v>
      </c>
      <c r="C15" s="3153" t="s">
        <v>3523</v>
      </c>
      <c r="D15" s="3153">
        <v>36.56</v>
      </c>
      <c r="E15" s="3154">
        <v>11.21</v>
      </c>
      <c r="F15" s="3149" t="s">
        <v>4270</v>
      </c>
      <c r="I15" s="3149">
        <v>13</v>
      </c>
      <c r="J15" s="3153" t="s">
        <v>3932</v>
      </c>
      <c r="K15" s="3153" t="s">
        <v>3944</v>
      </c>
      <c r="L15" s="3153">
        <v>41.97</v>
      </c>
      <c r="M15" s="3154">
        <v>9.7100000000000009</v>
      </c>
      <c r="N15" s="3149" t="s">
        <v>4270</v>
      </c>
    </row>
    <row r="16" spans="1:14">
      <c r="A16" s="3149">
        <v>14</v>
      </c>
      <c r="B16" s="3153" t="s">
        <v>3511</v>
      </c>
      <c r="C16" s="3153" t="s">
        <v>3524</v>
      </c>
      <c r="D16" s="3153">
        <v>38.130000000000003</v>
      </c>
      <c r="E16" s="3154">
        <v>11.69</v>
      </c>
      <c r="F16" s="3149" t="s">
        <v>4270</v>
      </c>
      <c r="I16" s="3149">
        <v>14</v>
      </c>
      <c r="J16" s="3153" t="s">
        <v>3932</v>
      </c>
      <c r="K16" s="3153" t="s">
        <v>3945</v>
      </c>
      <c r="L16" s="3153">
        <v>41.97</v>
      </c>
      <c r="M16" s="3154">
        <v>9.7100000000000009</v>
      </c>
      <c r="N16" s="3149" t="s">
        <v>4270</v>
      </c>
    </row>
    <row r="17" spans="1:14">
      <c r="A17" s="3149">
        <v>15</v>
      </c>
      <c r="B17" s="3153" t="s">
        <v>3511</v>
      </c>
      <c r="C17" s="3153" t="s">
        <v>3525</v>
      </c>
      <c r="D17" s="3153">
        <v>36.56</v>
      </c>
      <c r="E17" s="3154">
        <v>11.21</v>
      </c>
      <c r="F17" s="3149" t="s">
        <v>4270</v>
      </c>
      <c r="I17" s="3149">
        <v>15</v>
      </c>
      <c r="J17" s="3153" t="s">
        <v>3932</v>
      </c>
      <c r="K17" s="3153" t="s">
        <v>3946</v>
      </c>
      <c r="L17" s="3153">
        <v>41.97</v>
      </c>
      <c r="M17" s="3154">
        <v>9.7100000000000009</v>
      </c>
      <c r="N17" s="3149" t="s">
        <v>4270</v>
      </c>
    </row>
    <row r="18" spans="1:14">
      <c r="A18" s="3149">
        <v>16</v>
      </c>
      <c r="B18" s="3153" t="s">
        <v>3511</v>
      </c>
      <c r="C18" s="3153" t="s">
        <v>3526</v>
      </c>
      <c r="D18" s="3153">
        <v>38.130000000000003</v>
      </c>
      <c r="E18" s="3154">
        <v>11.69</v>
      </c>
      <c r="F18" s="3149" t="s">
        <v>4270</v>
      </c>
      <c r="I18" s="3149">
        <v>16</v>
      </c>
      <c r="J18" s="3153" t="s">
        <v>3932</v>
      </c>
      <c r="K18" s="3153" t="s">
        <v>3947</v>
      </c>
      <c r="L18" s="3153">
        <v>41.97</v>
      </c>
      <c r="M18" s="3154">
        <v>9.7100000000000009</v>
      </c>
      <c r="N18" s="3149" t="s">
        <v>4270</v>
      </c>
    </row>
    <row r="19" spans="1:14">
      <c r="A19" s="3149">
        <v>17</v>
      </c>
      <c r="B19" s="3153" t="s">
        <v>3511</v>
      </c>
      <c r="C19" s="3153" t="s">
        <v>3527</v>
      </c>
      <c r="D19" s="3153">
        <v>36.56</v>
      </c>
      <c r="E19" s="3154">
        <v>11.21</v>
      </c>
      <c r="F19" s="3149" t="s">
        <v>4270</v>
      </c>
      <c r="I19" s="3149">
        <v>17</v>
      </c>
      <c r="J19" s="3153" t="s">
        <v>3932</v>
      </c>
      <c r="K19" s="3153" t="s">
        <v>3948</v>
      </c>
      <c r="L19" s="3153">
        <v>34.21</v>
      </c>
      <c r="M19" s="3154">
        <v>7.91</v>
      </c>
      <c r="N19" s="3149" t="s">
        <v>4270</v>
      </c>
    </row>
    <row r="20" spans="1:14">
      <c r="A20" s="3149">
        <v>18</v>
      </c>
      <c r="B20" s="3153" t="s">
        <v>3511</v>
      </c>
      <c r="C20" s="3153" t="s">
        <v>3528</v>
      </c>
      <c r="D20" s="3153">
        <v>38.130000000000003</v>
      </c>
      <c r="E20" s="3154">
        <v>11.69</v>
      </c>
      <c r="F20" s="3149" t="s">
        <v>4270</v>
      </c>
      <c r="I20" s="3149">
        <v>18</v>
      </c>
      <c r="J20" s="3153" t="s">
        <v>3932</v>
      </c>
      <c r="K20" s="3153" t="s">
        <v>3949</v>
      </c>
      <c r="L20" s="3153">
        <v>43.78</v>
      </c>
      <c r="M20" s="3154">
        <v>10.130000000000001</v>
      </c>
      <c r="N20" s="3149" t="s">
        <v>4270</v>
      </c>
    </row>
    <row r="21" spans="1:14">
      <c r="A21" s="3149">
        <v>19</v>
      </c>
      <c r="B21" s="3153" t="s">
        <v>3511</v>
      </c>
      <c r="C21" s="3153" t="s">
        <v>3529</v>
      </c>
      <c r="D21" s="3153">
        <v>36.56</v>
      </c>
      <c r="E21" s="3154">
        <v>11.21</v>
      </c>
      <c r="F21" s="3149" t="s">
        <v>4270</v>
      </c>
      <c r="I21" s="3149">
        <v>19</v>
      </c>
      <c r="J21" s="3153" t="s">
        <v>3932</v>
      </c>
      <c r="K21" s="3153" t="s">
        <v>3950</v>
      </c>
      <c r="L21" s="3153">
        <v>41.97</v>
      </c>
      <c r="M21" s="3154">
        <v>9.7100000000000009</v>
      </c>
      <c r="N21" s="3149" t="s">
        <v>4270</v>
      </c>
    </row>
    <row r="22" spans="1:14">
      <c r="A22" s="3149">
        <v>20</v>
      </c>
      <c r="B22" s="3153" t="s">
        <v>3511</v>
      </c>
      <c r="C22" s="3153" t="s">
        <v>3530</v>
      </c>
      <c r="D22" s="3153">
        <v>36.56</v>
      </c>
      <c r="E22" s="3154">
        <v>11.21</v>
      </c>
      <c r="F22" s="3149" t="s">
        <v>4270</v>
      </c>
      <c r="I22" s="3149">
        <v>20</v>
      </c>
      <c r="J22" s="3153" t="s">
        <v>3932</v>
      </c>
      <c r="K22" s="3153" t="s">
        <v>3951</v>
      </c>
      <c r="L22" s="3153">
        <v>41.97</v>
      </c>
      <c r="M22" s="3154">
        <v>9.7100000000000009</v>
      </c>
      <c r="N22" s="3149" t="s">
        <v>4270</v>
      </c>
    </row>
    <row r="23" spans="1:14">
      <c r="A23" s="3149">
        <v>21</v>
      </c>
      <c r="B23" s="3153" t="s">
        <v>3511</v>
      </c>
      <c r="C23" s="3153" t="s">
        <v>3531</v>
      </c>
      <c r="D23" s="3153">
        <v>38.130000000000003</v>
      </c>
      <c r="E23" s="3154">
        <v>11.69</v>
      </c>
      <c r="F23" s="3149" t="s">
        <v>4270</v>
      </c>
      <c r="I23" s="3149">
        <v>21</v>
      </c>
      <c r="J23" s="3153" t="s">
        <v>3932</v>
      </c>
      <c r="K23" s="3153" t="s">
        <v>3952</v>
      </c>
      <c r="L23" s="3153">
        <v>43.78</v>
      </c>
      <c r="M23" s="3154">
        <v>10.130000000000001</v>
      </c>
      <c r="N23" s="3149" t="s">
        <v>4270</v>
      </c>
    </row>
    <row r="24" spans="1:14">
      <c r="A24" s="3149">
        <v>22</v>
      </c>
      <c r="B24" s="3153" t="s">
        <v>3511</v>
      </c>
      <c r="C24" s="3153" t="s">
        <v>3532</v>
      </c>
      <c r="D24" s="3153">
        <v>36.56</v>
      </c>
      <c r="E24" s="3154">
        <v>11.21</v>
      </c>
      <c r="F24" s="3149" t="s">
        <v>4270</v>
      </c>
      <c r="I24" s="3149">
        <v>22</v>
      </c>
      <c r="J24" s="3153" t="s">
        <v>3932</v>
      </c>
      <c r="K24" s="3153" t="s">
        <v>3953</v>
      </c>
      <c r="L24" s="3153">
        <v>41.97</v>
      </c>
      <c r="M24" s="3154">
        <v>9.7100000000000009</v>
      </c>
      <c r="N24" s="3149" t="s">
        <v>4270</v>
      </c>
    </row>
    <row r="25" spans="1:14">
      <c r="A25" s="3149">
        <v>23</v>
      </c>
      <c r="B25" s="3153" t="s">
        <v>3511</v>
      </c>
      <c r="C25" s="3153" t="s">
        <v>3533</v>
      </c>
      <c r="D25" s="3153">
        <v>47.66</v>
      </c>
      <c r="E25" s="3154">
        <v>14.61</v>
      </c>
      <c r="F25" s="3149" t="s">
        <v>4270</v>
      </c>
      <c r="I25" s="3149">
        <v>23</v>
      </c>
      <c r="J25" s="3153" t="s">
        <v>3932</v>
      </c>
      <c r="K25" s="3153" t="s">
        <v>3954</v>
      </c>
      <c r="L25" s="3153">
        <v>41.97</v>
      </c>
      <c r="M25" s="3154">
        <v>9.7100000000000009</v>
      </c>
      <c r="N25" s="3149" t="s">
        <v>4270</v>
      </c>
    </row>
    <row r="26" spans="1:14">
      <c r="A26" s="3149">
        <v>24</v>
      </c>
      <c r="B26" s="3153" t="s">
        <v>3511</v>
      </c>
      <c r="C26" s="3153" t="s">
        <v>3534</v>
      </c>
      <c r="D26" s="3153">
        <v>50.84</v>
      </c>
      <c r="E26" s="3154">
        <v>15.59</v>
      </c>
      <c r="F26" s="3149" t="s">
        <v>4270</v>
      </c>
      <c r="I26" s="3149">
        <v>24</v>
      </c>
      <c r="J26" s="3153" t="s">
        <v>3932</v>
      </c>
      <c r="K26" s="3153" t="s">
        <v>3955</v>
      </c>
      <c r="L26" s="3153">
        <v>43.78</v>
      </c>
      <c r="M26" s="3154">
        <v>10.130000000000001</v>
      </c>
      <c r="N26" s="3149" t="s">
        <v>4270</v>
      </c>
    </row>
    <row r="27" spans="1:14">
      <c r="A27" s="3149">
        <v>25</v>
      </c>
      <c r="B27" s="3153" t="s">
        <v>3511</v>
      </c>
      <c r="C27" s="3153" t="s">
        <v>3535</v>
      </c>
      <c r="D27" s="3153">
        <v>50.84</v>
      </c>
      <c r="E27" s="3154">
        <v>15.59</v>
      </c>
      <c r="F27" s="3149" t="s">
        <v>4270</v>
      </c>
      <c r="I27" s="3149">
        <v>25</v>
      </c>
      <c r="J27" s="3153" t="s">
        <v>3932</v>
      </c>
      <c r="K27" s="3153" t="s">
        <v>3956</v>
      </c>
      <c r="L27" s="3153">
        <v>41.97</v>
      </c>
      <c r="M27" s="3154">
        <v>9.7100000000000009</v>
      </c>
      <c r="N27" s="3149" t="s">
        <v>4270</v>
      </c>
    </row>
    <row r="28" spans="1:14">
      <c r="A28" s="3149">
        <v>26</v>
      </c>
      <c r="B28" s="3153" t="s">
        <v>3511</v>
      </c>
      <c r="C28" s="3153" t="s">
        <v>3536</v>
      </c>
      <c r="D28" s="3153">
        <v>47.66</v>
      </c>
      <c r="E28" s="3154">
        <v>14.61</v>
      </c>
      <c r="F28" s="3149" t="s">
        <v>4270</v>
      </c>
      <c r="I28" s="3149">
        <v>26</v>
      </c>
      <c r="J28" s="3153" t="s">
        <v>3932</v>
      </c>
      <c r="K28" s="3153" t="s">
        <v>3957</v>
      </c>
      <c r="L28" s="3153">
        <v>41.97</v>
      </c>
      <c r="M28" s="3154">
        <v>9.7100000000000009</v>
      </c>
      <c r="N28" s="3149" t="s">
        <v>4270</v>
      </c>
    </row>
    <row r="29" spans="1:14">
      <c r="A29" s="3149">
        <v>27</v>
      </c>
      <c r="B29" s="3153" t="s">
        <v>3511</v>
      </c>
      <c r="C29" s="3153" t="s">
        <v>3537</v>
      </c>
      <c r="D29" s="3153">
        <v>38.130000000000003</v>
      </c>
      <c r="E29" s="3154">
        <v>11.69</v>
      </c>
      <c r="F29" s="3149" t="s">
        <v>4270</v>
      </c>
      <c r="I29" s="3149">
        <v>27</v>
      </c>
      <c r="J29" s="3153" t="s">
        <v>3932</v>
      </c>
      <c r="K29" s="3153" t="s">
        <v>3958</v>
      </c>
      <c r="L29" s="3153">
        <v>41.97</v>
      </c>
      <c r="M29" s="3154">
        <v>9.7100000000000009</v>
      </c>
      <c r="N29" s="3149" t="s">
        <v>4270</v>
      </c>
    </row>
    <row r="30" spans="1:14">
      <c r="A30" s="3149">
        <v>28</v>
      </c>
      <c r="B30" s="3153" t="s">
        <v>3511</v>
      </c>
      <c r="C30" s="3153" t="s">
        <v>3538</v>
      </c>
      <c r="D30" s="3153">
        <v>34.06</v>
      </c>
      <c r="E30" s="3154">
        <v>10.44</v>
      </c>
      <c r="F30" s="3149" t="s">
        <v>4270</v>
      </c>
      <c r="I30" s="3149">
        <v>28</v>
      </c>
      <c r="J30" s="3153" t="s">
        <v>3932</v>
      </c>
      <c r="K30" s="3153" t="s">
        <v>3959</v>
      </c>
      <c r="L30" s="3153">
        <v>41.97</v>
      </c>
      <c r="M30" s="3154">
        <v>9.7100000000000009</v>
      </c>
      <c r="N30" s="3149" t="s">
        <v>4270</v>
      </c>
    </row>
    <row r="31" spans="1:14">
      <c r="A31" s="3149">
        <v>29</v>
      </c>
      <c r="B31" s="3153" t="s">
        <v>3511</v>
      </c>
      <c r="C31" s="3153" t="s">
        <v>3539</v>
      </c>
      <c r="D31" s="3153">
        <v>35.54</v>
      </c>
      <c r="E31" s="3154">
        <v>10.9</v>
      </c>
      <c r="F31" s="3149" t="s">
        <v>4270</v>
      </c>
      <c r="I31" s="3149">
        <v>29</v>
      </c>
      <c r="J31" s="3153" t="s">
        <v>3932</v>
      </c>
      <c r="K31" s="3153" t="s">
        <v>3960</v>
      </c>
      <c r="L31" s="3153">
        <v>41.97</v>
      </c>
      <c r="M31" s="3154">
        <v>9.7100000000000009</v>
      </c>
      <c r="N31" s="3149" t="s">
        <v>4270</v>
      </c>
    </row>
    <row r="32" spans="1:14">
      <c r="A32" s="3149">
        <v>30</v>
      </c>
      <c r="B32" s="3153" t="s">
        <v>3511</v>
      </c>
      <c r="C32" s="3153" t="s">
        <v>3540</v>
      </c>
      <c r="D32" s="3153">
        <v>34.06</v>
      </c>
      <c r="E32" s="3154">
        <v>10.44</v>
      </c>
      <c r="F32" s="3149" t="s">
        <v>4270</v>
      </c>
      <c r="I32" s="3149">
        <v>30</v>
      </c>
      <c r="J32" s="3153" t="s">
        <v>3932</v>
      </c>
      <c r="K32" s="3153" t="s">
        <v>3961</v>
      </c>
      <c r="L32" s="3153">
        <v>43.78</v>
      </c>
      <c r="M32" s="3154">
        <v>10.130000000000001</v>
      </c>
      <c r="N32" s="3149" t="s">
        <v>4270</v>
      </c>
    </row>
    <row r="33" spans="1:14">
      <c r="A33" s="3149">
        <v>31</v>
      </c>
      <c r="B33" s="3153" t="s">
        <v>3511</v>
      </c>
      <c r="C33" s="3153" t="s">
        <v>3541</v>
      </c>
      <c r="D33" s="3153">
        <v>34.06</v>
      </c>
      <c r="E33" s="3154">
        <v>10.44</v>
      </c>
      <c r="F33" s="3149" t="s">
        <v>4270</v>
      </c>
      <c r="I33" s="3149">
        <v>31</v>
      </c>
      <c r="J33" s="3153" t="s">
        <v>3932</v>
      </c>
      <c r="K33" s="3153" t="s">
        <v>3962</v>
      </c>
      <c r="L33" s="3153">
        <v>41.97</v>
      </c>
      <c r="M33" s="3154">
        <v>9.7100000000000009</v>
      </c>
      <c r="N33" s="3149" t="s">
        <v>4270</v>
      </c>
    </row>
    <row r="34" spans="1:14">
      <c r="A34" s="3149">
        <v>32</v>
      </c>
      <c r="B34" s="3153" t="s">
        <v>3511</v>
      </c>
      <c r="C34" s="3153" t="s">
        <v>3542</v>
      </c>
      <c r="D34" s="3153">
        <v>35.54</v>
      </c>
      <c r="E34" s="3154">
        <v>10.9</v>
      </c>
      <c r="F34" s="3149" t="s">
        <v>4270</v>
      </c>
      <c r="I34" s="3149">
        <v>32</v>
      </c>
      <c r="J34" s="3153" t="s">
        <v>3932</v>
      </c>
      <c r="K34" s="3153" t="s">
        <v>3963</v>
      </c>
      <c r="L34" s="3153">
        <v>41.97</v>
      </c>
      <c r="M34" s="3154">
        <v>9.7100000000000009</v>
      </c>
      <c r="N34" s="3149" t="s">
        <v>4270</v>
      </c>
    </row>
    <row r="35" spans="1:14">
      <c r="A35" s="3149">
        <v>33</v>
      </c>
      <c r="B35" s="3153" t="s">
        <v>3511</v>
      </c>
      <c r="C35" s="3153" t="s">
        <v>3543</v>
      </c>
      <c r="D35" s="3153">
        <v>34.06</v>
      </c>
      <c r="E35" s="3154">
        <v>10.44</v>
      </c>
      <c r="F35" s="3149" t="s">
        <v>4270</v>
      </c>
      <c r="I35" s="3149">
        <v>33</v>
      </c>
      <c r="J35" s="3153" t="s">
        <v>3932</v>
      </c>
      <c r="K35" s="3153" t="s">
        <v>3964</v>
      </c>
      <c r="L35" s="3153">
        <v>41.97</v>
      </c>
      <c r="M35" s="3154">
        <v>9.7100000000000009</v>
      </c>
      <c r="N35" s="3149" t="s">
        <v>4270</v>
      </c>
    </row>
    <row r="36" spans="1:14">
      <c r="A36" s="3149">
        <v>34</v>
      </c>
      <c r="B36" s="3153" t="s">
        <v>3511</v>
      </c>
      <c r="C36" s="3153" t="s">
        <v>3544</v>
      </c>
      <c r="D36" s="3153">
        <v>36.56</v>
      </c>
      <c r="E36" s="3154">
        <v>11.21</v>
      </c>
      <c r="F36" s="3149" t="s">
        <v>4270</v>
      </c>
      <c r="I36" s="3149">
        <v>34</v>
      </c>
      <c r="J36" s="3153" t="s">
        <v>3932</v>
      </c>
      <c r="K36" s="3153" t="s">
        <v>3965</v>
      </c>
      <c r="L36" s="3153">
        <v>41.97</v>
      </c>
      <c r="M36" s="3154">
        <v>9.7100000000000009</v>
      </c>
      <c r="N36" s="3149" t="s">
        <v>4270</v>
      </c>
    </row>
    <row r="37" spans="1:14">
      <c r="A37" s="3149">
        <v>35</v>
      </c>
      <c r="B37" s="3153" t="s">
        <v>3511</v>
      </c>
      <c r="C37" s="3153" t="s">
        <v>3545</v>
      </c>
      <c r="D37" s="3153">
        <v>38.130000000000003</v>
      </c>
      <c r="E37" s="3154">
        <v>11.69</v>
      </c>
      <c r="F37" s="3149" t="s">
        <v>4270</v>
      </c>
      <c r="I37" s="3149">
        <v>35</v>
      </c>
      <c r="J37" s="3153" t="s">
        <v>3932</v>
      </c>
      <c r="K37" s="3153" t="s">
        <v>3966</v>
      </c>
      <c r="L37" s="3153">
        <v>43.78</v>
      </c>
      <c r="M37" s="3154">
        <v>10.130000000000001</v>
      </c>
      <c r="N37" s="3149" t="s">
        <v>4270</v>
      </c>
    </row>
    <row r="38" spans="1:14">
      <c r="A38" s="3149">
        <v>36</v>
      </c>
      <c r="B38" s="3153" t="s">
        <v>3511</v>
      </c>
      <c r="C38" s="3153" t="s">
        <v>3546</v>
      </c>
      <c r="D38" s="3153">
        <v>38.130000000000003</v>
      </c>
      <c r="E38" s="3154">
        <v>11.69</v>
      </c>
      <c r="F38" s="3149" t="s">
        <v>4270</v>
      </c>
      <c r="I38" s="3149">
        <v>36</v>
      </c>
      <c r="J38" s="3153" t="s">
        <v>3932</v>
      </c>
      <c r="K38" s="3153" t="s">
        <v>3967</v>
      </c>
      <c r="L38" s="3153">
        <v>41.97</v>
      </c>
      <c r="M38" s="3154">
        <v>9.7100000000000009</v>
      </c>
      <c r="N38" s="3149" t="s">
        <v>4270</v>
      </c>
    </row>
    <row r="39" spans="1:14">
      <c r="A39" s="3149">
        <v>37</v>
      </c>
      <c r="B39" s="3153" t="s">
        <v>3511</v>
      </c>
      <c r="C39" s="3153" t="s">
        <v>3547</v>
      </c>
      <c r="D39" s="3153">
        <v>36.56</v>
      </c>
      <c r="E39" s="3154">
        <v>11.21</v>
      </c>
      <c r="F39" s="3149" t="s">
        <v>4270</v>
      </c>
      <c r="I39" s="3149">
        <v>37</v>
      </c>
      <c r="J39" s="3153" t="s">
        <v>3932</v>
      </c>
      <c r="K39" s="3153" t="s">
        <v>3968</v>
      </c>
      <c r="L39" s="3153">
        <v>41.97</v>
      </c>
      <c r="M39" s="3154">
        <v>9.7100000000000009</v>
      </c>
      <c r="N39" s="3149" t="s">
        <v>4270</v>
      </c>
    </row>
    <row r="40" spans="1:14">
      <c r="A40" s="3149">
        <v>38</v>
      </c>
      <c r="B40" s="3153" t="s">
        <v>3511</v>
      </c>
      <c r="C40" s="3153" t="s">
        <v>3548</v>
      </c>
      <c r="D40" s="3153">
        <v>50.84</v>
      </c>
      <c r="E40" s="3154">
        <v>15.59</v>
      </c>
      <c r="F40" s="3149" t="s">
        <v>4270</v>
      </c>
      <c r="I40" s="3149">
        <v>38</v>
      </c>
      <c r="J40" s="3153" t="s">
        <v>3932</v>
      </c>
      <c r="K40" s="3153" t="s">
        <v>3969</v>
      </c>
      <c r="L40" s="3153">
        <v>43.78</v>
      </c>
      <c r="M40" s="3154">
        <v>10.130000000000001</v>
      </c>
      <c r="N40" s="3149" t="s">
        <v>4270</v>
      </c>
    </row>
    <row r="41" spans="1:14">
      <c r="A41" s="3149">
        <v>39</v>
      </c>
      <c r="B41" s="3153" t="s">
        <v>3511</v>
      </c>
      <c r="C41" s="3153" t="s">
        <v>3549</v>
      </c>
      <c r="D41" s="3153">
        <v>50.84</v>
      </c>
      <c r="E41" s="3154">
        <v>15.59</v>
      </c>
      <c r="F41" s="3149" t="s">
        <v>4270</v>
      </c>
      <c r="I41" s="3149">
        <v>39</v>
      </c>
      <c r="J41" s="3153" t="s">
        <v>3932</v>
      </c>
      <c r="K41" s="3153" t="s">
        <v>3970</v>
      </c>
      <c r="L41" s="3153">
        <v>41.97</v>
      </c>
      <c r="M41" s="3154">
        <v>9.7100000000000009</v>
      </c>
      <c r="N41" s="3149" t="s">
        <v>4270</v>
      </c>
    </row>
    <row r="42" spans="1:14">
      <c r="A42" s="3149">
        <v>40</v>
      </c>
      <c r="B42" s="3153" t="s">
        <v>3511</v>
      </c>
      <c r="C42" s="3153" t="s">
        <v>3550</v>
      </c>
      <c r="D42" s="3153">
        <v>36.56</v>
      </c>
      <c r="E42" s="3154">
        <v>11.21</v>
      </c>
      <c r="F42" s="3149" t="s">
        <v>4270</v>
      </c>
      <c r="I42" s="3149">
        <v>40</v>
      </c>
      <c r="J42" s="3153" t="s">
        <v>3932</v>
      </c>
      <c r="K42" s="3153" t="s">
        <v>3971</v>
      </c>
      <c r="L42" s="3153">
        <v>41.97</v>
      </c>
      <c r="M42" s="3154">
        <v>9.7100000000000009</v>
      </c>
      <c r="N42" s="3149" t="s">
        <v>4270</v>
      </c>
    </row>
    <row r="43" spans="1:14">
      <c r="A43" s="3149">
        <v>41</v>
      </c>
      <c r="B43" s="3153" t="s">
        <v>3511</v>
      </c>
      <c r="C43" s="3153" t="s">
        <v>3551</v>
      </c>
      <c r="D43" s="3153">
        <v>38.130000000000003</v>
      </c>
      <c r="E43" s="3154">
        <v>11.69</v>
      </c>
      <c r="F43" s="3149" t="s">
        <v>4270</v>
      </c>
      <c r="I43" s="3149">
        <v>41</v>
      </c>
      <c r="J43" s="3153" t="s">
        <v>3932</v>
      </c>
      <c r="K43" s="3153" t="s">
        <v>3972</v>
      </c>
      <c r="L43" s="3153">
        <v>43.78</v>
      </c>
      <c r="M43" s="3154">
        <v>10.130000000000001</v>
      </c>
      <c r="N43" s="3149" t="s">
        <v>4270</v>
      </c>
    </row>
    <row r="44" spans="1:14">
      <c r="A44" s="3149">
        <v>42</v>
      </c>
      <c r="B44" s="3153" t="s">
        <v>3511</v>
      </c>
      <c r="C44" s="3153" t="s">
        <v>3552</v>
      </c>
      <c r="D44" s="3153">
        <v>36.56</v>
      </c>
      <c r="E44" s="3154">
        <v>11.21</v>
      </c>
      <c r="F44" s="3149" t="s">
        <v>4270</v>
      </c>
      <c r="I44" s="3149">
        <v>42</v>
      </c>
      <c r="J44" s="3153" t="s">
        <v>3932</v>
      </c>
      <c r="K44" s="3153" t="s">
        <v>3973</v>
      </c>
      <c r="L44" s="3153">
        <v>41.97</v>
      </c>
      <c r="M44" s="3154">
        <v>9.7100000000000009</v>
      </c>
      <c r="N44" s="3149" t="s">
        <v>4270</v>
      </c>
    </row>
    <row r="45" spans="1:14">
      <c r="A45" s="3149">
        <v>43</v>
      </c>
      <c r="B45" s="3153" t="s">
        <v>3511</v>
      </c>
      <c r="C45" s="3153" t="s">
        <v>3553</v>
      </c>
      <c r="D45" s="3153">
        <v>36.56</v>
      </c>
      <c r="E45" s="3154">
        <v>11.21</v>
      </c>
      <c r="F45" s="3149" t="s">
        <v>4270</v>
      </c>
      <c r="I45" s="3149">
        <v>43</v>
      </c>
      <c r="J45" s="3153" t="s">
        <v>3932</v>
      </c>
      <c r="K45" s="3153" t="s">
        <v>3974</v>
      </c>
      <c r="L45" s="3153">
        <v>41.97</v>
      </c>
      <c r="M45" s="3154">
        <v>9.7100000000000009</v>
      </c>
      <c r="N45" s="3149" t="s">
        <v>4270</v>
      </c>
    </row>
    <row r="46" spans="1:14">
      <c r="A46" s="3149">
        <v>44</v>
      </c>
      <c r="B46" s="3153" t="s">
        <v>3511</v>
      </c>
      <c r="C46" s="3153" t="s">
        <v>3554</v>
      </c>
      <c r="D46" s="3153">
        <v>38.130000000000003</v>
      </c>
      <c r="E46" s="3154">
        <v>11.69</v>
      </c>
      <c r="F46" s="3149" t="s">
        <v>4270</v>
      </c>
      <c r="I46" s="3149">
        <v>44</v>
      </c>
      <c r="J46" s="3153" t="s">
        <v>3932</v>
      </c>
      <c r="K46" s="3153" t="s">
        <v>3975</v>
      </c>
      <c r="L46" s="3153">
        <v>43.78</v>
      </c>
      <c r="M46" s="3154">
        <v>10.130000000000001</v>
      </c>
      <c r="N46" s="3149" t="s">
        <v>4270</v>
      </c>
    </row>
    <row r="47" spans="1:14">
      <c r="A47" s="3149">
        <v>45</v>
      </c>
      <c r="B47" s="3153" t="s">
        <v>3511</v>
      </c>
      <c r="C47" s="3153" t="s">
        <v>3555</v>
      </c>
      <c r="D47" s="3153">
        <v>36.56</v>
      </c>
      <c r="E47" s="3154">
        <v>11.21</v>
      </c>
      <c r="F47" s="3149" t="s">
        <v>4270</v>
      </c>
      <c r="I47" s="3149">
        <v>45</v>
      </c>
      <c r="J47" s="3153" t="s">
        <v>3932</v>
      </c>
      <c r="K47" s="3153" t="s">
        <v>3976</v>
      </c>
      <c r="L47" s="3153">
        <v>41.97</v>
      </c>
      <c r="M47" s="3154">
        <v>9.7100000000000009</v>
      </c>
      <c r="N47" s="3149" t="s">
        <v>4270</v>
      </c>
    </row>
    <row r="48" spans="1:14">
      <c r="A48" s="3149">
        <v>46</v>
      </c>
      <c r="B48" s="3153" t="s">
        <v>3511</v>
      </c>
      <c r="C48" s="3153" t="s">
        <v>3556</v>
      </c>
      <c r="D48" s="3153">
        <v>36.56</v>
      </c>
      <c r="E48" s="3154">
        <v>11.21</v>
      </c>
      <c r="F48" s="3149" t="s">
        <v>4270</v>
      </c>
      <c r="I48" s="3149">
        <v>46</v>
      </c>
      <c r="J48" s="3153" t="s">
        <v>3932</v>
      </c>
      <c r="K48" s="3153" t="s">
        <v>3977</v>
      </c>
      <c r="L48" s="3153">
        <v>41.97</v>
      </c>
      <c r="M48" s="3154">
        <v>9.7100000000000009</v>
      </c>
      <c r="N48" s="3149" t="s">
        <v>4270</v>
      </c>
    </row>
    <row r="49" spans="1:14">
      <c r="A49" s="3149">
        <v>47</v>
      </c>
      <c r="B49" s="3153" t="s">
        <v>3511</v>
      </c>
      <c r="C49" s="3153" t="s">
        <v>3557</v>
      </c>
      <c r="D49" s="3153">
        <v>38.130000000000003</v>
      </c>
      <c r="E49" s="3154">
        <v>11.69</v>
      </c>
      <c r="F49" s="3149" t="s">
        <v>4270</v>
      </c>
      <c r="I49" s="3149">
        <v>47</v>
      </c>
      <c r="J49" s="3153" t="s">
        <v>3932</v>
      </c>
      <c r="K49" s="3153" t="s">
        <v>3978</v>
      </c>
      <c r="L49" s="3153">
        <v>43.78</v>
      </c>
      <c r="M49" s="3154">
        <v>10.130000000000001</v>
      </c>
      <c r="N49" s="3149" t="s">
        <v>4270</v>
      </c>
    </row>
    <row r="50" spans="1:14">
      <c r="A50" s="3149">
        <v>48</v>
      </c>
      <c r="B50" s="3153" t="s">
        <v>3511</v>
      </c>
      <c r="C50" s="3153" t="s">
        <v>3558</v>
      </c>
      <c r="D50" s="3153">
        <v>36.56</v>
      </c>
      <c r="E50" s="3154">
        <v>11.21</v>
      </c>
      <c r="F50" s="3149" t="s">
        <v>4270</v>
      </c>
      <c r="I50" s="3149">
        <v>48</v>
      </c>
      <c r="J50" s="3153" t="s">
        <v>3932</v>
      </c>
      <c r="K50" s="3153" t="s">
        <v>3979</v>
      </c>
      <c r="L50" s="3153">
        <v>41.97</v>
      </c>
      <c r="M50" s="3154">
        <v>9.7100000000000009</v>
      </c>
      <c r="N50" s="3149" t="s">
        <v>4270</v>
      </c>
    </row>
    <row r="51" spans="1:14">
      <c r="A51" s="3149">
        <v>49</v>
      </c>
      <c r="B51" s="3153" t="s">
        <v>3511</v>
      </c>
      <c r="C51" s="3153" t="s">
        <v>3559</v>
      </c>
      <c r="D51" s="3153">
        <v>36.56</v>
      </c>
      <c r="E51" s="3154">
        <v>11.21</v>
      </c>
      <c r="F51" s="3149" t="s">
        <v>4270</v>
      </c>
      <c r="I51" s="3149">
        <v>49</v>
      </c>
      <c r="J51" s="3153" t="s">
        <v>3932</v>
      </c>
      <c r="K51" s="3153" t="s">
        <v>3980</v>
      </c>
      <c r="L51" s="3153">
        <v>41.97</v>
      </c>
      <c r="M51" s="3154">
        <v>9.7100000000000009</v>
      </c>
      <c r="N51" s="3149" t="s">
        <v>4270</v>
      </c>
    </row>
    <row r="52" spans="1:14">
      <c r="A52" s="3149">
        <v>50</v>
      </c>
      <c r="B52" s="3153" t="s">
        <v>3511</v>
      </c>
      <c r="C52" s="3153" t="s">
        <v>3560</v>
      </c>
      <c r="D52" s="3153">
        <v>36.56</v>
      </c>
      <c r="E52" s="3154">
        <v>11.21</v>
      </c>
      <c r="F52" s="3149" t="s">
        <v>4270</v>
      </c>
      <c r="I52" s="3149">
        <v>50</v>
      </c>
      <c r="J52" s="3153" t="s">
        <v>3932</v>
      </c>
      <c r="K52" s="3153" t="s">
        <v>3981</v>
      </c>
      <c r="L52" s="3153">
        <v>43.78</v>
      </c>
      <c r="M52" s="3154">
        <v>10.130000000000001</v>
      </c>
      <c r="N52" s="3149" t="s">
        <v>4270</v>
      </c>
    </row>
    <row r="53" spans="1:14">
      <c r="A53" s="3149">
        <v>51</v>
      </c>
      <c r="B53" s="3153" t="s">
        <v>3511</v>
      </c>
      <c r="C53" s="3153" t="s">
        <v>3561</v>
      </c>
      <c r="D53" s="3153">
        <v>36.56</v>
      </c>
      <c r="E53" s="3154">
        <v>11.21</v>
      </c>
      <c r="F53" s="3149" t="s">
        <v>4270</v>
      </c>
      <c r="I53" s="3149">
        <v>51</v>
      </c>
      <c r="J53" s="3153" t="s">
        <v>3932</v>
      </c>
      <c r="K53" s="3153" t="s">
        <v>3982</v>
      </c>
      <c r="L53" s="3153">
        <v>41.97</v>
      </c>
      <c r="M53" s="3154">
        <v>9.7100000000000009</v>
      </c>
      <c r="N53" s="3149" t="s">
        <v>4270</v>
      </c>
    </row>
    <row r="54" spans="1:14">
      <c r="A54" s="3149">
        <v>52</v>
      </c>
      <c r="B54" s="3153" t="s">
        <v>3511</v>
      </c>
      <c r="C54" s="3153" t="s">
        <v>3562</v>
      </c>
      <c r="D54" s="3153">
        <v>38.130000000000003</v>
      </c>
      <c r="E54" s="3154">
        <v>11.69</v>
      </c>
      <c r="F54" s="3149" t="s">
        <v>4270</v>
      </c>
      <c r="I54" s="3149">
        <v>52</v>
      </c>
      <c r="J54" s="3153" t="s">
        <v>3932</v>
      </c>
      <c r="K54" s="3153" t="s">
        <v>3983</v>
      </c>
      <c r="L54" s="3153">
        <v>41.97</v>
      </c>
      <c r="M54" s="3154">
        <v>9.7100000000000009</v>
      </c>
      <c r="N54" s="3149" t="s">
        <v>4270</v>
      </c>
    </row>
    <row r="55" spans="1:14">
      <c r="A55" s="3149">
        <v>53</v>
      </c>
      <c r="B55" s="3153" t="s">
        <v>3511</v>
      </c>
      <c r="C55" s="3153" t="s">
        <v>3563</v>
      </c>
      <c r="D55" s="3153">
        <v>36.56</v>
      </c>
      <c r="E55" s="3154">
        <v>11.21</v>
      </c>
      <c r="F55" s="3149" t="s">
        <v>4270</v>
      </c>
      <c r="I55" s="3149">
        <v>53</v>
      </c>
      <c r="J55" s="3153" t="s">
        <v>3932</v>
      </c>
      <c r="K55" s="3153" t="s">
        <v>3984</v>
      </c>
      <c r="L55" s="3153">
        <v>43.78</v>
      </c>
      <c r="M55" s="3154">
        <v>10.130000000000001</v>
      </c>
      <c r="N55" s="3149" t="s">
        <v>4270</v>
      </c>
    </row>
    <row r="56" spans="1:14">
      <c r="A56" s="3149">
        <v>54</v>
      </c>
      <c r="B56" s="3153" t="s">
        <v>3511</v>
      </c>
      <c r="C56" s="3153" t="s">
        <v>3564</v>
      </c>
      <c r="D56" s="3153">
        <v>36.56</v>
      </c>
      <c r="E56" s="3154">
        <v>11.21</v>
      </c>
      <c r="F56" s="3149" t="s">
        <v>4270</v>
      </c>
      <c r="I56" s="3149">
        <v>54</v>
      </c>
      <c r="J56" s="3153" t="s">
        <v>3932</v>
      </c>
      <c r="K56" s="3153" t="s">
        <v>3985</v>
      </c>
      <c r="L56" s="3153">
        <v>41.97</v>
      </c>
      <c r="M56" s="3154">
        <v>9.7100000000000009</v>
      </c>
      <c r="N56" s="3149" t="s">
        <v>4270</v>
      </c>
    </row>
    <row r="57" spans="1:14">
      <c r="A57" s="3149">
        <v>55</v>
      </c>
      <c r="B57" s="3153" t="s">
        <v>3511</v>
      </c>
      <c r="C57" s="3153" t="s">
        <v>3565</v>
      </c>
      <c r="D57" s="3153">
        <v>38.130000000000003</v>
      </c>
      <c r="E57" s="3154">
        <v>11.69</v>
      </c>
      <c r="F57" s="3149" t="s">
        <v>4270</v>
      </c>
      <c r="I57" s="3149">
        <v>55</v>
      </c>
      <c r="J57" s="3153" t="s">
        <v>3932</v>
      </c>
      <c r="K57" s="3153" t="s">
        <v>3986</v>
      </c>
      <c r="L57" s="3153">
        <v>41.97</v>
      </c>
      <c r="M57" s="3154">
        <v>9.7100000000000009</v>
      </c>
      <c r="N57" s="3149" t="s">
        <v>4270</v>
      </c>
    </row>
    <row r="58" spans="1:14">
      <c r="A58" s="3149">
        <v>56</v>
      </c>
      <c r="B58" s="3153" t="s">
        <v>3511</v>
      </c>
      <c r="C58" s="3153" t="s">
        <v>3566</v>
      </c>
      <c r="D58" s="3153">
        <v>36.56</v>
      </c>
      <c r="E58" s="3154">
        <v>11.21</v>
      </c>
      <c r="F58" s="3149" t="s">
        <v>4270</v>
      </c>
      <c r="I58" s="3149">
        <v>56</v>
      </c>
      <c r="J58" s="3153" t="s">
        <v>3932</v>
      </c>
      <c r="K58" s="3153" t="s">
        <v>3987</v>
      </c>
      <c r="L58" s="3153">
        <v>43.78</v>
      </c>
      <c r="M58" s="3154">
        <v>10.130000000000001</v>
      </c>
      <c r="N58" s="3149" t="s">
        <v>4270</v>
      </c>
    </row>
    <row r="59" spans="1:14">
      <c r="A59" s="3149">
        <v>57</v>
      </c>
      <c r="B59" s="3153" t="s">
        <v>3511</v>
      </c>
      <c r="C59" s="3153" t="s">
        <v>3567</v>
      </c>
      <c r="D59" s="3153">
        <v>36.56</v>
      </c>
      <c r="E59" s="3154">
        <v>11.21</v>
      </c>
      <c r="F59" s="3149" t="s">
        <v>4270</v>
      </c>
      <c r="I59" s="3149">
        <v>57</v>
      </c>
      <c r="J59" s="3153" t="s">
        <v>3932</v>
      </c>
      <c r="K59" s="3153" t="s">
        <v>3988</v>
      </c>
      <c r="L59" s="3153">
        <v>41.97</v>
      </c>
      <c r="M59" s="3154">
        <v>9.7100000000000009</v>
      </c>
      <c r="N59" s="3149" t="s">
        <v>4270</v>
      </c>
    </row>
    <row r="60" spans="1:14">
      <c r="A60" s="3149">
        <v>58</v>
      </c>
      <c r="B60" s="3153" t="s">
        <v>3511</v>
      </c>
      <c r="C60" s="3153" t="s">
        <v>3568</v>
      </c>
      <c r="D60" s="3153">
        <v>36.56</v>
      </c>
      <c r="E60" s="3154">
        <v>11.21</v>
      </c>
      <c r="F60" s="3149" t="s">
        <v>4270</v>
      </c>
      <c r="I60" s="3149">
        <v>58</v>
      </c>
      <c r="J60" s="3153" t="s">
        <v>3932</v>
      </c>
      <c r="K60" s="3153" t="s">
        <v>3989</v>
      </c>
      <c r="L60" s="3153">
        <v>41.97</v>
      </c>
      <c r="M60" s="3154">
        <v>9.7100000000000009</v>
      </c>
      <c r="N60" s="3149" t="s">
        <v>4270</v>
      </c>
    </row>
    <row r="61" spans="1:14">
      <c r="A61" s="3149">
        <v>59</v>
      </c>
      <c r="B61" s="3153" t="s">
        <v>3511</v>
      </c>
      <c r="C61" s="3153" t="s">
        <v>3569</v>
      </c>
      <c r="D61" s="3153">
        <v>36.56</v>
      </c>
      <c r="E61" s="3154">
        <v>11.21</v>
      </c>
      <c r="F61" s="3149" t="s">
        <v>4270</v>
      </c>
      <c r="I61" s="3149">
        <v>59</v>
      </c>
      <c r="J61" s="3153" t="s">
        <v>3932</v>
      </c>
      <c r="K61" s="3153" t="s">
        <v>3990</v>
      </c>
      <c r="L61" s="3153">
        <v>41.97</v>
      </c>
      <c r="M61" s="3154">
        <v>9.7100000000000009</v>
      </c>
      <c r="N61" s="3149" t="s">
        <v>4270</v>
      </c>
    </row>
    <row r="62" spans="1:14">
      <c r="A62" s="3149">
        <v>60</v>
      </c>
      <c r="B62" s="3153" t="s">
        <v>3511</v>
      </c>
      <c r="C62" s="3153" t="s">
        <v>3570</v>
      </c>
      <c r="D62" s="3153">
        <v>38.130000000000003</v>
      </c>
      <c r="E62" s="3154">
        <v>11.69</v>
      </c>
      <c r="F62" s="3149" t="s">
        <v>4270</v>
      </c>
      <c r="I62" s="3149">
        <v>60</v>
      </c>
      <c r="J62" s="3153" t="s">
        <v>3932</v>
      </c>
      <c r="K62" s="3153" t="s">
        <v>3991</v>
      </c>
      <c r="L62" s="3153">
        <v>41.97</v>
      </c>
      <c r="M62" s="3154">
        <v>9.7100000000000009</v>
      </c>
      <c r="N62" s="3149" t="s">
        <v>4270</v>
      </c>
    </row>
    <row r="63" spans="1:14">
      <c r="A63" s="3149">
        <v>61</v>
      </c>
      <c r="B63" s="3153" t="s">
        <v>3511</v>
      </c>
      <c r="C63" s="3153" t="s">
        <v>3571</v>
      </c>
      <c r="D63" s="3153">
        <v>38.130000000000003</v>
      </c>
      <c r="E63" s="3154">
        <v>11.69</v>
      </c>
      <c r="F63" s="3149" t="s">
        <v>4270</v>
      </c>
      <c r="I63" s="3149">
        <v>61</v>
      </c>
      <c r="J63" s="3153" t="s">
        <v>3932</v>
      </c>
      <c r="K63" s="3153" t="s">
        <v>3992</v>
      </c>
      <c r="L63" s="3153">
        <v>43.78</v>
      </c>
      <c r="M63" s="3154">
        <v>10.130000000000001</v>
      </c>
      <c r="N63" s="3149" t="s">
        <v>4270</v>
      </c>
    </row>
    <row r="64" spans="1:14">
      <c r="A64" s="3149">
        <v>62</v>
      </c>
      <c r="B64" s="3153" t="s">
        <v>3511</v>
      </c>
      <c r="C64" s="3153" t="s">
        <v>3572</v>
      </c>
      <c r="D64" s="3153">
        <v>36.56</v>
      </c>
      <c r="E64" s="3154">
        <v>11.21</v>
      </c>
      <c r="F64" s="3149" t="s">
        <v>4270</v>
      </c>
      <c r="I64" s="3149">
        <v>62</v>
      </c>
      <c r="J64" s="3153" t="s">
        <v>3932</v>
      </c>
      <c r="K64" s="3153" t="s">
        <v>3993</v>
      </c>
      <c r="L64" s="3153">
        <v>41.97</v>
      </c>
      <c r="M64" s="3154">
        <v>9.7100000000000009</v>
      </c>
      <c r="N64" s="3149" t="s">
        <v>4270</v>
      </c>
    </row>
    <row r="65" spans="1:14">
      <c r="A65" s="3149">
        <v>63</v>
      </c>
      <c r="B65" s="3153" t="s">
        <v>3511</v>
      </c>
      <c r="C65" s="3153" t="s">
        <v>3573</v>
      </c>
      <c r="D65" s="3153">
        <v>36.56</v>
      </c>
      <c r="E65" s="3154">
        <v>11.21</v>
      </c>
      <c r="F65" s="3149" t="s">
        <v>4270</v>
      </c>
      <c r="I65" s="3149">
        <v>63</v>
      </c>
      <c r="J65" s="3153" t="s">
        <v>3932</v>
      </c>
      <c r="K65" s="3153" t="s">
        <v>3994</v>
      </c>
      <c r="L65" s="3153">
        <v>41.97</v>
      </c>
      <c r="M65" s="3154">
        <v>9.7100000000000009</v>
      </c>
      <c r="N65" s="3149" t="s">
        <v>4270</v>
      </c>
    </row>
    <row r="66" spans="1:14">
      <c r="A66" s="3149">
        <v>64</v>
      </c>
      <c r="B66" s="3153" t="s">
        <v>3511</v>
      </c>
      <c r="C66" s="3153" t="s">
        <v>3574</v>
      </c>
      <c r="D66" s="3153">
        <v>38.130000000000003</v>
      </c>
      <c r="E66" s="3154">
        <v>11.69</v>
      </c>
      <c r="F66" s="3149" t="s">
        <v>4270</v>
      </c>
      <c r="I66" s="3149">
        <v>64</v>
      </c>
      <c r="J66" s="3153" t="s">
        <v>3932</v>
      </c>
      <c r="K66" s="3153" t="s">
        <v>3995</v>
      </c>
      <c r="L66" s="3153">
        <v>43.78</v>
      </c>
      <c r="M66" s="3154">
        <v>10.130000000000001</v>
      </c>
      <c r="N66" s="3149" t="s">
        <v>4270</v>
      </c>
    </row>
    <row r="67" spans="1:14">
      <c r="A67" s="3149">
        <v>65</v>
      </c>
      <c r="B67" s="3153" t="s">
        <v>3511</v>
      </c>
      <c r="C67" s="3153" t="s">
        <v>3575</v>
      </c>
      <c r="D67" s="3153">
        <v>36.56</v>
      </c>
      <c r="E67" s="3154">
        <v>11.21</v>
      </c>
      <c r="F67" s="3149" t="s">
        <v>4270</v>
      </c>
      <c r="I67" s="3149">
        <v>65</v>
      </c>
      <c r="J67" s="3153" t="s">
        <v>3932</v>
      </c>
      <c r="K67" s="3153" t="s">
        <v>3996</v>
      </c>
      <c r="L67" s="3153">
        <v>41.97</v>
      </c>
      <c r="M67" s="3154">
        <v>9.7100000000000009</v>
      </c>
      <c r="N67" s="3149" t="s">
        <v>4270</v>
      </c>
    </row>
    <row r="68" spans="1:14">
      <c r="A68" s="3149">
        <v>66</v>
      </c>
      <c r="B68" s="3153" t="s">
        <v>3511</v>
      </c>
      <c r="C68" s="3153" t="s">
        <v>3576</v>
      </c>
      <c r="D68" s="3153">
        <v>36.56</v>
      </c>
      <c r="E68" s="3154">
        <v>11.21</v>
      </c>
      <c r="F68" s="3149" t="s">
        <v>4270</v>
      </c>
      <c r="I68" s="3149">
        <v>66</v>
      </c>
      <c r="J68" s="3153" t="s">
        <v>3932</v>
      </c>
      <c r="K68" s="3153" t="s">
        <v>3997</v>
      </c>
      <c r="L68" s="3153">
        <v>41.97</v>
      </c>
      <c r="M68" s="3154">
        <v>9.7100000000000009</v>
      </c>
      <c r="N68" s="3149" t="s">
        <v>4270</v>
      </c>
    </row>
    <row r="69" spans="1:14">
      <c r="A69" s="3149">
        <v>67</v>
      </c>
      <c r="B69" s="3153" t="s">
        <v>3511</v>
      </c>
      <c r="C69" s="3153" t="s">
        <v>3577</v>
      </c>
      <c r="D69" s="3153">
        <v>38.130000000000003</v>
      </c>
      <c r="E69" s="3154">
        <v>11.69</v>
      </c>
      <c r="F69" s="3149" t="s">
        <v>4270</v>
      </c>
      <c r="I69" s="3149">
        <v>67</v>
      </c>
      <c r="J69" s="3153" t="s">
        <v>3932</v>
      </c>
      <c r="K69" s="3153" t="s">
        <v>3998</v>
      </c>
      <c r="L69" s="3153">
        <v>43.78</v>
      </c>
      <c r="M69" s="3154">
        <v>10.130000000000001</v>
      </c>
      <c r="N69" s="3149" t="s">
        <v>4270</v>
      </c>
    </row>
    <row r="70" spans="1:14">
      <c r="A70" s="3149">
        <v>68</v>
      </c>
      <c r="B70" s="3153" t="s">
        <v>3511</v>
      </c>
      <c r="C70" s="3153" t="s">
        <v>3578</v>
      </c>
      <c r="D70" s="3153">
        <v>36.56</v>
      </c>
      <c r="E70" s="3154">
        <v>11.21</v>
      </c>
      <c r="F70" s="3149" t="s">
        <v>4270</v>
      </c>
      <c r="I70" s="3149">
        <v>68</v>
      </c>
      <c r="J70" s="3153" t="s">
        <v>3932</v>
      </c>
      <c r="K70" s="3153" t="s">
        <v>3999</v>
      </c>
      <c r="L70" s="3153">
        <v>41.97</v>
      </c>
      <c r="M70" s="3154">
        <v>9.7100000000000009</v>
      </c>
      <c r="N70" s="3149" t="s">
        <v>4270</v>
      </c>
    </row>
    <row r="71" spans="1:14">
      <c r="A71" s="3149">
        <v>69</v>
      </c>
      <c r="B71" s="3153" t="s">
        <v>3511</v>
      </c>
      <c r="C71" s="3153" t="s">
        <v>3579</v>
      </c>
      <c r="D71" s="3153">
        <v>36.56</v>
      </c>
      <c r="E71" s="3154">
        <v>11.21</v>
      </c>
      <c r="F71" s="3149" t="s">
        <v>4270</v>
      </c>
      <c r="I71" s="3149">
        <v>69</v>
      </c>
      <c r="J71" s="3153" t="s">
        <v>3932</v>
      </c>
      <c r="K71" s="3153" t="s">
        <v>4000</v>
      </c>
      <c r="L71" s="3153">
        <v>41.97</v>
      </c>
      <c r="M71" s="3154">
        <v>9.7100000000000009</v>
      </c>
      <c r="N71" s="3149" t="s">
        <v>4270</v>
      </c>
    </row>
    <row r="72" spans="1:14">
      <c r="A72" s="3149">
        <v>70</v>
      </c>
      <c r="B72" s="3153" t="s">
        <v>3511</v>
      </c>
      <c r="C72" s="3153" t="s">
        <v>3580</v>
      </c>
      <c r="D72" s="3153">
        <v>38.130000000000003</v>
      </c>
      <c r="E72" s="3154">
        <v>11.69</v>
      </c>
      <c r="F72" s="3149" t="s">
        <v>4270</v>
      </c>
      <c r="I72" s="3149">
        <v>70</v>
      </c>
      <c r="J72" s="3153" t="s">
        <v>3932</v>
      </c>
      <c r="K72" s="3153" t="s">
        <v>4001</v>
      </c>
      <c r="L72" s="3153">
        <v>41.97</v>
      </c>
      <c r="M72" s="3154">
        <v>9.7100000000000009</v>
      </c>
      <c r="N72" s="3149" t="s">
        <v>4270</v>
      </c>
    </row>
    <row r="73" spans="1:14">
      <c r="A73" s="3149">
        <v>71</v>
      </c>
      <c r="B73" s="3153" t="s">
        <v>3511</v>
      </c>
      <c r="C73" s="3153" t="s">
        <v>3581</v>
      </c>
      <c r="D73" s="3153">
        <v>36.56</v>
      </c>
      <c r="E73" s="3154">
        <v>11.21</v>
      </c>
      <c r="F73" s="3149" t="s">
        <v>4270</v>
      </c>
      <c r="I73" s="3149">
        <v>71</v>
      </c>
      <c r="J73" s="3153" t="s">
        <v>3932</v>
      </c>
      <c r="K73" s="3153" t="s">
        <v>4002</v>
      </c>
      <c r="L73" s="3153">
        <v>43.78</v>
      </c>
      <c r="M73" s="3154">
        <v>10.130000000000001</v>
      </c>
      <c r="N73" s="3149" t="s">
        <v>4270</v>
      </c>
    </row>
    <row r="74" spans="1:14">
      <c r="A74" s="3149">
        <v>72</v>
      </c>
      <c r="B74" s="3153" t="s">
        <v>3511</v>
      </c>
      <c r="C74" s="3153" t="s">
        <v>3582</v>
      </c>
      <c r="D74" s="3153">
        <v>36.56</v>
      </c>
      <c r="E74" s="3154">
        <v>11.21</v>
      </c>
      <c r="F74" s="3149" t="s">
        <v>4270</v>
      </c>
      <c r="I74" s="3149">
        <v>72</v>
      </c>
      <c r="J74" s="3153" t="s">
        <v>3932</v>
      </c>
      <c r="K74" s="3153" t="s">
        <v>4003</v>
      </c>
      <c r="L74" s="3153">
        <v>41.97</v>
      </c>
      <c r="M74" s="3154">
        <v>9.7100000000000009</v>
      </c>
      <c r="N74" s="3149" t="s">
        <v>4270</v>
      </c>
    </row>
    <row r="75" spans="1:14">
      <c r="A75" s="3149">
        <v>73</v>
      </c>
      <c r="B75" s="3153" t="s">
        <v>3511</v>
      </c>
      <c r="C75" s="3153" t="s">
        <v>3583</v>
      </c>
      <c r="D75" s="3153">
        <v>38.130000000000003</v>
      </c>
      <c r="E75" s="3154">
        <v>11.69</v>
      </c>
      <c r="F75" s="3149" t="s">
        <v>4270</v>
      </c>
      <c r="I75" s="3149">
        <v>73</v>
      </c>
      <c r="J75" s="3153" t="s">
        <v>3932</v>
      </c>
      <c r="K75" s="3153" t="s">
        <v>4004</v>
      </c>
      <c r="L75" s="3153">
        <v>41.97</v>
      </c>
      <c r="M75" s="3154">
        <v>9.7100000000000009</v>
      </c>
      <c r="N75" s="3149" t="s">
        <v>4270</v>
      </c>
    </row>
    <row r="76" spans="1:14">
      <c r="A76" s="3149">
        <v>74</v>
      </c>
      <c r="B76" s="3153" t="s">
        <v>3511</v>
      </c>
      <c r="C76" s="3153" t="s">
        <v>3584</v>
      </c>
      <c r="D76" s="3153">
        <v>36.56</v>
      </c>
      <c r="E76" s="3154">
        <v>11.21</v>
      </c>
      <c r="F76" s="3149" t="s">
        <v>4270</v>
      </c>
      <c r="I76" s="3149">
        <v>74</v>
      </c>
      <c r="J76" s="3153" t="s">
        <v>3932</v>
      </c>
      <c r="K76" s="3153" t="s">
        <v>4005</v>
      </c>
      <c r="L76" s="3153">
        <v>43.78</v>
      </c>
      <c r="M76" s="3154">
        <v>10.130000000000001</v>
      </c>
      <c r="N76" s="3149" t="s">
        <v>4270</v>
      </c>
    </row>
    <row r="77" spans="1:14">
      <c r="A77" s="3149">
        <v>75</v>
      </c>
      <c r="B77" s="3153" t="s">
        <v>3511</v>
      </c>
      <c r="C77" s="3153" t="s">
        <v>3585</v>
      </c>
      <c r="D77" s="3153">
        <v>36.56</v>
      </c>
      <c r="E77" s="3154">
        <v>11.21</v>
      </c>
      <c r="F77" s="3149" t="s">
        <v>4270</v>
      </c>
      <c r="I77" s="3149">
        <v>75</v>
      </c>
      <c r="J77" s="3153" t="s">
        <v>3932</v>
      </c>
      <c r="K77" s="3153" t="s">
        <v>4006</v>
      </c>
      <c r="L77" s="3153">
        <v>41.97</v>
      </c>
      <c r="M77" s="3154">
        <v>9.7100000000000009</v>
      </c>
      <c r="N77" s="3149" t="s">
        <v>4270</v>
      </c>
    </row>
    <row r="78" spans="1:14">
      <c r="A78" s="3149">
        <v>76</v>
      </c>
      <c r="B78" s="3153" t="s">
        <v>3511</v>
      </c>
      <c r="C78" s="3153" t="s">
        <v>3586</v>
      </c>
      <c r="D78" s="3153">
        <v>38.130000000000003</v>
      </c>
      <c r="E78" s="3154">
        <v>11.69</v>
      </c>
      <c r="F78" s="3149" t="s">
        <v>4270</v>
      </c>
      <c r="I78" s="3149">
        <v>76</v>
      </c>
      <c r="J78" s="3153" t="s">
        <v>3932</v>
      </c>
      <c r="K78" s="3153" t="s">
        <v>4007</v>
      </c>
      <c r="L78" s="3153">
        <v>41.97</v>
      </c>
      <c r="M78" s="3154">
        <v>9.7100000000000009</v>
      </c>
      <c r="N78" s="3149" t="s">
        <v>4270</v>
      </c>
    </row>
    <row r="79" spans="1:14">
      <c r="A79" s="3149">
        <v>77</v>
      </c>
      <c r="B79" s="3153" t="s">
        <v>3511</v>
      </c>
      <c r="C79" s="3153" t="s">
        <v>3587</v>
      </c>
      <c r="D79" s="3153">
        <v>36.56</v>
      </c>
      <c r="E79" s="3154">
        <v>11.21</v>
      </c>
      <c r="F79" s="3149" t="s">
        <v>4270</v>
      </c>
      <c r="I79" s="3149">
        <v>77</v>
      </c>
      <c r="J79" s="3153" t="s">
        <v>3932</v>
      </c>
      <c r="K79" s="3153" t="s">
        <v>4008</v>
      </c>
      <c r="L79" s="3153">
        <v>43.78</v>
      </c>
      <c r="M79" s="3154">
        <v>10.130000000000001</v>
      </c>
      <c r="N79" s="3149" t="s">
        <v>4270</v>
      </c>
    </row>
    <row r="80" spans="1:14">
      <c r="A80" s="3149">
        <v>78</v>
      </c>
      <c r="B80" s="3153" t="s">
        <v>3511</v>
      </c>
      <c r="C80" s="3153" t="s">
        <v>3588</v>
      </c>
      <c r="D80" s="3153">
        <v>36.56</v>
      </c>
      <c r="E80" s="3154">
        <v>11.21</v>
      </c>
      <c r="F80" s="3149" t="s">
        <v>4270</v>
      </c>
      <c r="I80" s="3149">
        <v>78</v>
      </c>
      <c r="J80" s="3153" t="s">
        <v>3932</v>
      </c>
      <c r="K80" s="3153" t="s">
        <v>4009</v>
      </c>
      <c r="L80" s="3153">
        <v>41.97</v>
      </c>
      <c r="M80" s="3154">
        <v>9.7100000000000009</v>
      </c>
      <c r="N80" s="3149" t="s">
        <v>4270</v>
      </c>
    </row>
    <row r="81" spans="1:14">
      <c r="A81" s="3149">
        <v>79</v>
      </c>
      <c r="B81" s="3153" t="s">
        <v>3511</v>
      </c>
      <c r="C81" s="3153" t="s">
        <v>3589</v>
      </c>
      <c r="D81" s="3153">
        <v>38.130000000000003</v>
      </c>
      <c r="E81" s="3154">
        <v>11.69</v>
      </c>
      <c r="F81" s="3149" t="s">
        <v>4270</v>
      </c>
      <c r="I81" s="3149">
        <v>79</v>
      </c>
      <c r="J81" s="3153" t="s">
        <v>3932</v>
      </c>
      <c r="K81" s="3153" t="s">
        <v>4010</v>
      </c>
      <c r="L81" s="3153">
        <v>41.97</v>
      </c>
      <c r="M81" s="3154">
        <v>9.7100000000000009</v>
      </c>
      <c r="N81" s="3149" t="s">
        <v>4270</v>
      </c>
    </row>
    <row r="82" spans="1:14">
      <c r="A82" s="3149">
        <v>80</v>
      </c>
      <c r="B82" s="3153" t="s">
        <v>3511</v>
      </c>
      <c r="C82" s="3153" t="s">
        <v>3590</v>
      </c>
      <c r="D82" s="3153">
        <v>36.56</v>
      </c>
      <c r="E82" s="3154">
        <v>11.21</v>
      </c>
      <c r="F82" s="3149" t="s">
        <v>4270</v>
      </c>
      <c r="I82" s="3149">
        <v>80</v>
      </c>
      <c r="J82" s="3153" t="s">
        <v>3932</v>
      </c>
      <c r="K82" s="3153" t="s">
        <v>4011</v>
      </c>
      <c r="L82" s="3153">
        <v>43.78</v>
      </c>
      <c r="M82" s="3154">
        <v>10.130000000000001</v>
      </c>
      <c r="N82" s="3149" t="s">
        <v>4270</v>
      </c>
    </row>
    <row r="83" spans="1:14">
      <c r="A83" s="3149">
        <v>81</v>
      </c>
      <c r="B83" s="3153" t="s">
        <v>3511</v>
      </c>
      <c r="C83" s="3153" t="s">
        <v>3591</v>
      </c>
      <c r="D83" s="3153">
        <v>36.56</v>
      </c>
      <c r="E83" s="3154">
        <v>11.21</v>
      </c>
      <c r="F83" s="3149" t="s">
        <v>4270</v>
      </c>
      <c r="I83" s="3149">
        <v>81</v>
      </c>
      <c r="J83" s="3153" t="s">
        <v>3932</v>
      </c>
      <c r="K83" s="3153" t="s">
        <v>4012</v>
      </c>
      <c r="L83" s="3153">
        <v>41.97</v>
      </c>
      <c r="M83" s="3154">
        <v>9.7100000000000009</v>
      </c>
      <c r="N83" s="3149" t="s">
        <v>4270</v>
      </c>
    </row>
    <row r="84" spans="1:14">
      <c r="A84" s="3149">
        <v>82</v>
      </c>
      <c r="B84" s="3153" t="s">
        <v>3511</v>
      </c>
      <c r="C84" s="3153" t="s">
        <v>3592</v>
      </c>
      <c r="D84" s="3153">
        <v>38.130000000000003</v>
      </c>
      <c r="E84" s="3154">
        <v>11.69</v>
      </c>
      <c r="F84" s="3149" t="s">
        <v>4270</v>
      </c>
      <c r="I84" s="3149">
        <v>82</v>
      </c>
      <c r="J84" s="3153" t="s">
        <v>3932</v>
      </c>
      <c r="K84" s="3153" t="s">
        <v>4013</v>
      </c>
      <c r="L84" s="3153">
        <v>41.97</v>
      </c>
      <c r="M84" s="3154">
        <v>9.7100000000000009</v>
      </c>
      <c r="N84" s="3149" t="s">
        <v>4270</v>
      </c>
    </row>
    <row r="85" spans="1:14">
      <c r="A85" s="3149">
        <v>83</v>
      </c>
      <c r="B85" s="3153" t="s">
        <v>3511</v>
      </c>
      <c r="C85" s="3153" t="s">
        <v>3593</v>
      </c>
      <c r="D85" s="3153">
        <v>36.56</v>
      </c>
      <c r="E85" s="3154">
        <v>11.21</v>
      </c>
      <c r="F85" s="3149" t="s">
        <v>4270</v>
      </c>
      <c r="I85" s="3149">
        <v>83</v>
      </c>
      <c r="J85" s="3153" t="s">
        <v>3932</v>
      </c>
      <c r="K85" s="3153" t="s">
        <v>4014</v>
      </c>
      <c r="L85" s="3153">
        <v>43.78</v>
      </c>
      <c r="M85" s="3154">
        <v>10.130000000000001</v>
      </c>
      <c r="N85" s="3149" t="s">
        <v>4270</v>
      </c>
    </row>
    <row r="86" spans="1:14">
      <c r="A86" s="3149">
        <v>84</v>
      </c>
      <c r="B86" s="3153" t="s">
        <v>3511</v>
      </c>
      <c r="C86" s="3153" t="s">
        <v>3594</v>
      </c>
      <c r="D86" s="3153">
        <v>36.56</v>
      </c>
      <c r="E86" s="3154">
        <v>11.21</v>
      </c>
      <c r="F86" s="3149" t="s">
        <v>4270</v>
      </c>
      <c r="I86" s="3149">
        <v>84</v>
      </c>
      <c r="J86" s="3153" t="s">
        <v>3932</v>
      </c>
      <c r="K86" s="3153" t="s">
        <v>4015</v>
      </c>
      <c r="L86" s="3153">
        <v>41.97</v>
      </c>
      <c r="M86" s="3154">
        <v>9.7100000000000009</v>
      </c>
      <c r="N86" s="3149" t="s">
        <v>4270</v>
      </c>
    </row>
    <row r="87" spans="1:14">
      <c r="A87" s="3149">
        <v>85</v>
      </c>
      <c r="B87" s="3153" t="s">
        <v>3511</v>
      </c>
      <c r="C87" s="3153" t="s">
        <v>3595</v>
      </c>
      <c r="D87" s="3153">
        <v>38.130000000000003</v>
      </c>
      <c r="E87" s="3154">
        <v>11.69</v>
      </c>
      <c r="F87" s="3149" t="s">
        <v>4270</v>
      </c>
      <c r="I87" s="3149">
        <v>85</v>
      </c>
      <c r="J87" s="3153" t="s">
        <v>3932</v>
      </c>
      <c r="K87" s="3153" t="s">
        <v>4016</v>
      </c>
      <c r="L87" s="3153">
        <v>41.97</v>
      </c>
      <c r="M87" s="3154">
        <v>9.7100000000000009</v>
      </c>
      <c r="N87" s="3149" t="s">
        <v>4270</v>
      </c>
    </row>
    <row r="88" spans="1:14">
      <c r="A88" s="3149">
        <v>86</v>
      </c>
      <c r="B88" s="3153" t="s">
        <v>3511</v>
      </c>
      <c r="C88" s="3153" t="s">
        <v>3596</v>
      </c>
      <c r="D88" s="3153">
        <v>36.56</v>
      </c>
      <c r="E88" s="3154">
        <v>11.21</v>
      </c>
      <c r="F88" s="3149" t="s">
        <v>4270</v>
      </c>
      <c r="I88" s="3149">
        <v>86</v>
      </c>
      <c r="J88" s="3153" t="s">
        <v>3932</v>
      </c>
      <c r="K88" s="3153" t="s">
        <v>4017</v>
      </c>
      <c r="L88" s="3153">
        <v>43.78</v>
      </c>
      <c r="M88" s="3154">
        <v>10.130000000000001</v>
      </c>
      <c r="N88" s="3149" t="s">
        <v>4270</v>
      </c>
    </row>
    <row r="89" spans="1:14">
      <c r="A89" s="3149">
        <v>87</v>
      </c>
      <c r="B89" s="3153" t="s">
        <v>3511</v>
      </c>
      <c r="C89" s="3153" t="s">
        <v>3597</v>
      </c>
      <c r="D89" s="3153">
        <v>36.56</v>
      </c>
      <c r="E89" s="3154">
        <v>11.21</v>
      </c>
      <c r="F89" s="3149" t="s">
        <v>4270</v>
      </c>
      <c r="I89" s="3149">
        <v>87</v>
      </c>
      <c r="J89" s="3153" t="s">
        <v>3932</v>
      </c>
      <c r="K89" s="3153" t="s">
        <v>4018</v>
      </c>
      <c r="L89" s="3153">
        <v>41.97</v>
      </c>
      <c r="M89" s="3154">
        <v>9.7100000000000009</v>
      </c>
      <c r="N89" s="3149" t="s">
        <v>4270</v>
      </c>
    </row>
    <row r="90" spans="1:14">
      <c r="A90" s="3149">
        <v>88</v>
      </c>
      <c r="B90" s="3153" t="s">
        <v>3511</v>
      </c>
      <c r="C90" s="3153" t="s">
        <v>3598</v>
      </c>
      <c r="D90" s="3153">
        <v>38.130000000000003</v>
      </c>
      <c r="E90" s="3154">
        <v>11.69</v>
      </c>
      <c r="F90" s="3149" t="s">
        <v>4270</v>
      </c>
      <c r="I90" s="3149">
        <v>88</v>
      </c>
      <c r="J90" s="3153" t="s">
        <v>3932</v>
      </c>
      <c r="K90" s="3153" t="s">
        <v>4019</v>
      </c>
      <c r="L90" s="3153">
        <v>41.97</v>
      </c>
      <c r="M90" s="3154">
        <v>9.7100000000000009</v>
      </c>
      <c r="N90" s="3149" t="s">
        <v>4270</v>
      </c>
    </row>
    <row r="91" spans="1:14">
      <c r="A91" s="3149">
        <v>89</v>
      </c>
      <c r="B91" s="3153" t="s">
        <v>3511</v>
      </c>
      <c r="C91" s="3153" t="s">
        <v>3599</v>
      </c>
      <c r="D91" s="3153">
        <v>36.56</v>
      </c>
      <c r="E91" s="3154">
        <v>11.21</v>
      </c>
      <c r="F91" s="3149" t="s">
        <v>4270</v>
      </c>
      <c r="I91" s="3149">
        <v>89</v>
      </c>
      <c r="J91" s="3153" t="s">
        <v>3932</v>
      </c>
      <c r="K91" s="3153" t="s">
        <v>4020</v>
      </c>
      <c r="L91" s="3153">
        <v>43.78</v>
      </c>
      <c r="M91" s="3154">
        <v>10.130000000000001</v>
      </c>
      <c r="N91" s="3149" t="s">
        <v>4270</v>
      </c>
    </row>
    <row r="92" spans="1:14">
      <c r="A92" s="3149">
        <v>90</v>
      </c>
      <c r="B92" s="3153" t="s">
        <v>3511</v>
      </c>
      <c r="C92" s="3153" t="s">
        <v>3600</v>
      </c>
      <c r="D92" s="3153">
        <v>36.56</v>
      </c>
      <c r="E92" s="3154">
        <v>11.21</v>
      </c>
      <c r="F92" s="3149" t="s">
        <v>4270</v>
      </c>
      <c r="I92" s="3149">
        <v>90</v>
      </c>
      <c r="J92" s="3153" t="s">
        <v>3932</v>
      </c>
      <c r="K92" s="3153" t="s">
        <v>4021</v>
      </c>
      <c r="L92" s="3153">
        <v>41.97</v>
      </c>
      <c r="M92" s="3154">
        <v>9.7100000000000009</v>
      </c>
      <c r="N92" s="3149" t="s">
        <v>4270</v>
      </c>
    </row>
    <row r="93" spans="1:14">
      <c r="A93" s="3149">
        <v>91</v>
      </c>
      <c r="B93" s="3153" t="s">
        <v>3511</v>
      </c>
      <c r="C93" s="3153" t="s">
        <v>3601</v>
      </c>
      <c r="D93" s="3153">
        <v>38.130000000000003</v>
      </c>
      <c r="E93" s="3154">
        <v>11.69</v>
      </c>
      <c r="F93" s="3149" t="s">
        <v>4270</v>
      </c>
      <c r="I93" s="3149">
        <v>91</v>
      </c>
      <c r="J93" s="3153" t="s">
        <v>3932</v>
      </c>
      <c r="K93" s="3153" t="s">
        <v>4022</v>
      </c>
      <c r="L93" s="3153">
        <v>41.97</v>
      </c>
      <c r="M93" s="3154">
        <v>9.7100000000000009</v>
      </c>
      <c r="N93" s="3149" t="s">
        <v>4270</v>
      </c>
    </row>
    <row r="94" spans="1:14">
      <c r="A94" s="3149">
        <v>92</v>
      </c>
      <c r="B94" s="3153" t="s">
        <v>3511</v>
      </c>
      <c r="C94" s="3153" t="s">
        <v>3602</v>
      </c>
      <c r="D94" s="3153">
        <v>36.56</v>
      </c>
      <c r="E94" s="3154">
        <v>11.21</v>
      </c>
      <c r="F94" s="3149" t="s">
        <v>4270</v>
      </c>
      <c r="I94" s="3149">
        <v>92</v>
      </c>
      <c r="J94" s="3153" t="s">
        <v>3932</v>
      </c>
      <c r="K94" s="3153" t="s">
        <v>4023</v>
      </c>
      <c r="L94" s="3153">
        <v>43.78</v>
      </c>
      <c r="M94" s="3154">
        <v>10.130000000000001</v>
      </c>
      <c r="N94" s="3149" t="s">
        <v>4270</v>
      </c>
    </row>
    <row r="95" spans="1:14">
      <c r="A95" s="3149">
        <v>93</v>
      </c>
      <c r="B95" s="3153" t="s">
        <v>3511</v>
      </c>
      <c r="C95" s="3153" t="s">
        <v>3603</v>
      </c>
      <c r="D95" s="3153">
        <v>36.56</v>
      </c>
      <c r="E95" s="3154">
        <v>11.21</v>
      </c>
      <c r="F95" s="3149" t="s">
        <v>4270</v>
      </c>
      <c r="I95" s="3149">
        <v>93</v>
      </c>
      <c r="J95" s="3153" t="s">
        <v>3932</v>
      </c>
      <c r="K95" s="3153" t="s">
        <v>4024</v>
      </c>
      <c r="L95" s="3153">
        <v>41.97</v>
      </c>
      <c r="M95" s="3154">
        <v>9.7100000000000009</v>
      </c>
      <c r="N95" s="3149" t="s">
        <v>4270</v>
      </c>
    </row>
    <row r="96" spans="1:14">
      <c r="A96" s="3149">
        <v>94</v>
      </c>
      <c r="B96" s="3153" t="s">
        <v>3511</v>
      </c>
      <c r="C96" s="3153" t="s">
        <v>3604</v>
      </c>
      <c r="D96" s="3153">
        <v>38.130000000000003</v>
      </c>
      <c r="E96" s="3154">
        <v>11.69</v>
      </c>
      <c r="F96" s="3149" t="s">
        <v>4270</v>
      </c>
      <c r="I96" s="3149">
        <v>94</v>
      </c>
      <c r="J96" s="3153" t="s">
        <v>3932</v>
      </c>
      <c r="K96" s="3153" t="s">
        <v>4025</v>
      </c>
      <c r="L96" s="3153">
        <v>41.97</v>
      </c>
      <c r="M96" s="3154">
        <v>9.7100000000000009</v>
      </c>
      <c r="N96" s="3149" t="s">
        <v>4270</v>
      </c>
    </row>
    <row r="97" spans="1:14">
      <c r="A97" s="3149">
        <v>95</v>
      </c>
      <c r="B97" s="3153" t="s">
        <v>3511</v>
      </c>
      <c r="C97" s="3153" t="s">
        <v>3605</v>
      </c>
      <c r="D97" s="3153">
        <v>36.56</v>
      </c>
      <c r="E97" s="3154">
        <v>11.21</v>
      </c>
      <c r="F97" s="3149" t="s">
        <v>4270</v>
      </c>
      <c r="I97" s="3149">
        <v>95</v>
      </c>
      <c r="J97" s="3153" t="s">
        <v>3932</v>
      </c>
      <c r="K97" s="3153" t="s">
        <v>4026</v>
      </c>
      <c r="L97" s="3153">
        <v>43.78</v>
      </c>
      <c r="M97" s="3154">
        <v>10.130000000000001</v>
      </c>
      <c r="N97" s="3149" t="s">
        <v>4270</v>
      </c>
    </row>
    <row r="98" spans="1:14">
      <c r="A98" s="3149">
        <v>96</v>
      </c>
      <c r="B98" s="3153" t="s">
        <v>3511</v>
      </c>
      <c r="C98" s="3153" t="s">
        <v>3606</v>
      </c>
      <c r="D98" s="3153">
        <v>36.56</v>
      </c>
      <c r="E98" s="3154">
        <v>11.21</v>
      </c>
      <c r="F98" s="3149" t="s">
        <v>4270</v>
      </c>
      <c r="I98" s="3149">
        <v>96</v>
      </c>
      <c r="J98" s="3153" t="s">
        <v>3932</v>
      </c>
      <c r="K98" s="3153" t="s">
        <v>4027</v>
      </c>
      <c r="L98" s="3153">
        <v>41.97</v>
      </c>
      <c r="M98" s="3154">
        <v>9.7100000000000009</v>
      </c>
      <c r="N98" s="3149" t="s">
        <v>4270</v>
      </c>
    </row>
    <row r="99" spans="1:14">
      <c r="A99" s="3149">
        <v>97</v>
      </c>
      <c r="B99" s="3153" t="s">
        <v>3511</v>
      </c>
      <c r="C99" s="3153" t="s">
        <v>3607</v>
      </c>
      <c r="D99" s="3153">
        <v>38.130000000000003</v>
      </c>
      <c r="E99" s="3154">
        <v>11.69</v>
      </c>
      <c r="F99" s="3149" t="s">
        <v>4270</v>
      </c>
      <c r="I99" s="3149">
        <v>97</v>
      </c>
      <c r="J99" s="3153" t="s">
        <v>3932</v>
      </c>
      <c r="K99" s="3153" t="s">
        <v>4028</v>
      </c>
      <c r="L99" s="3153">
        <v>41.97</v>
      </c>
      <c r="M99" s="3154">
        <v>9.7100000000000009</v>
      </c>
      <c r="N99" s="3149" t="s">
        <v>4270</v>
      </c>
    </row>
    <row r="100" spans="1:14">
      <c r="A100" s="3149">
        <v>98</v>
      </c>
      <c r="B100" s="3153" t="s">
        <v>3511</v>
      </c>
      <c r="C100" s="3153" t="s">
        <v>3608</v>
      </c>
      <c r="D100" s="3153">
        <v>36.56</v>
      </c>
      <c r="E100" s="3154">
        <v>11.21</v>
      </c>
      <c r="F100" s="3149" t="s">
        <v>4270</v>
      </c>
      <c r="I100" s="3149">
        <v>98</v>
      </c>
      <c r="J100" s="3153" t="s">
        <v>3932</v>
      </c>
      <c r="K100" s="3153" t="s">
        <v>4029</v>
      </c>
      <c r="L100" s="3153">
        <v>41.97</v>
      </c>
      <c r="M100" s="3154">
        <v>9.7100000000000009</v>
      </c>
      <c r="N100" s="3149" t="s">
        <v>4270</v>
      </c>
    </row>
    <row r="101" spans="1:14">
      <c r="A101" s="3149">
        <v>99</v>
      </c>
      <c r="B101" s="3153" t="s">
        <v>3511</v>
      </c>
      <c r="C101" s="3153" t="s">
        <v>3609</v>
      </c>
      <c r="D101" s="3153">
        <v>36.56</v>
      </c>
      <c r="E101" s="3154">
        <v>11.21</v>
      </c>
      <c r="F101" s="3149" t="s">
        <v>4270</v>
      </c>
      <c r="I101" s="3149">
        <v>99</v>
      </c>
      <c r="J101" s="3153" t="s">
        <v>3932</v>
      </c>
      <c r="K101" s="3153" t="s">
        <v>4030</v>
      </c>
      <c r="L101" s="3153">
        <v>41.97</v>
      </c>
      <c r="M101" s="3154">
        <v>9.7100000000000009</v>
      </c>
      <c r="N101" s="3149" t="s">
        <v>4270</v>
      </c>
    </row>
    <row r="102" spans="1:14">
      <c r="A102" s="3149">
        <v>100</v>
      </c>
      <c r="B102" s="3153" t="s">
        <v>3511</v>
      </c>
      <c r="C102" s="3153" t="s">
        <v>3610</v>
      </c>
      <c r="D102" s="3153">
        <v>38.130000000000003</v>
      </c>
      <c r="E102" s="3154">
        <v>11.69</v>
      </c>
      <c r="F102" s="3149" t="s">
        <v>4270</v>
      </c>
      <c r="I102" s="3149">
        <v>100</v>
      </c>
      <c r="J102" s="3153" t="s">
        <v>3932</v>
      </c>
      <c r="K102" s="3153" t="s">
        <v>4031</v>
      </c>
      <c r="L102" s="3153">
        <v>41.97</v>
      </c>
      <c r="M102" s="3154">
        <v>9.7100000000000009</v>
      </c>
      <c r="N102" s="3149" t="s">
        <v>4270</v>
      </c>
    </row>
    <row r="103" spans="1:14">
      <c r="A103" s="3149">
        <v>101</v>
      </c>
      <c r="B103" s="3153" t="s">
        <v>3511</v>
      </c>
      <c r="C103" s="3153" t="s">
        <v>3611</v>
      </c>
      <c r="D103" s="3153">
        <v>38.130000000000003</v>
      </c>
      <c r="E103" s="3154">
        <v>11.69</v>
      </c>
      <c r="F103" s="3149" t="s">
        <v>4270</v>
      </c>
      <c r="I103" s="3149">
        <v>101</v>
      </c>
      <c r="J103" s="3153" t="s">
        <v>3932</v>
      </c>
      <c r="K103" s="3153" t="s">
        <v>4032</v>
      </c>
      <c r="L103" s="3153">
        <v>41.97</v>
      </c>
      <c r="M103" s="3154">
        <v>9.7100000000000009</v>
      </c>
      <c r="N103" s="3149" t="s">
        <v>4270</v>
      </c>
    </row>
    <row r="104" spans="1:14">
      <c r="A104" s="3149">
        <v>102</v>
      </c>
      <c r="B104" s="3153" t="s">
        <v>3511</v>
      </c>
      <c r="C104" s="3153" t="s">
        <v>3612</v>
      </c>
      <c r="D104" s="3153">
        <v>36.56</v>
      </c>
      <c r="E104" s="3154">
        <v>11.21</v>
      </c>
      <c r="F104" s="3149" t="s">
        <v>4270</v>
      </c>
      <c r="I104" s="3149">
        <v>102</v>
      </c>
      <c r="J104" s="3153" t="s">
        <v>3932</v>
      </c>
      <c r="K104" s="3153" t="s">
        <v>4033</v>
      </c>
      <c r="L104" s="3153">
        <v>43.78</v>
      </c>
      <c r="M104" s="3154">
        <v>10.130000000000001</v>
      </c>
      <c r="N104" s="3149" t="s">
        <v>4270</v>
      </c>
    </row>
    <row r="105" spans="1:14">
      <c r="A105" s="3149">
        <v>103</v>
      </c>
      <c r="B105" s="3153" t="s">
        <v>3511</v>
      </c>
      <c r="C105" s="3153" t="s">
        <v>3613</v>
      </c>
      <c r="D105" s="3153">
        <v>36.56</v>
      </c>
      <c r="E105" s="3154">
        <v>11.21</v>
      </c>
      <c r="F105" s="3149" t="s">
        <v>4270</v>
      </c>
      <c r="I105" s="3149">
        <v>103</v>
      </c>
      <c r="J105" s="3153" t="s">
        <v>3932</v>
      </c>
      <c r="K105" s="3153" t="s">
        <v>4034</v>
      </c>
      <c r="L105" s="3153">
        <v>41.97</v>
      </c>
      <c r="M105" s="3154">
        <v>9.7100000000000009</v>
      </c>
      <c r="N105" s="3149" t="s">
        <v>4270</v>
      </c>
    </row>
    <row r="106" spans="1:14">
      <c r="A106" s="3149">
        <v>104</v>
      </c>
      <c r="B106" s="3153" t="s">
        <v>3511</v>
      </c>
      <c r="C106" s="3153" t="s">
        <v>3614</v>
      </c>
      <c r="D106" s="3153">
        <v>36.56</v>
      </c>
      <c r="E106" s="3154">
        <v>11.21</v>
      </c>
      <c r="F106" s="3149" t="s">
        <v>4270</v>
      </c>
      <c r="I106" s="3149">
        <v>104</v>
      </c>
      <c r="J106" s="3153" t="s">
        <v>3932</v>
      </c>
      <c r="K106" s="3153" t="s">
        <v>4035</v>
      </c>
      <c r="L106" s="3153">
        <v>41.97</v>
      </c>
      <c r="M106" s="3154">
        <v>9.7100000000000009</v>
      </c>
      <c r="N106" s="3149" t="s">
        <v>4270</v>
      </c>
    </row>
    <row r="107" spans="1:14">
      <c r="A107" s="3149">
        <v>105</v>
      </c>
      <c r="B107" s="3153" t="s">
        <v>3511</v>
      </c>
      <c r="C107" s="3153" t="s">
        <v>3615</v>
      </c>
      <c r="D107" s="3153">
        <v>36.56</v>
      </c>
      <c r="E107" s="3154">
        <v>11.21</v>
      </c>
      <c r="F107" s="3149" t="s">
        <v>4270</v>
      </c>
      <c r="I107" s="3149">
        <v>105</v>
      </c>
      <c r="J107" s="3153" t="s">
        <v>3932</v>
      </c>
      <c r="K107" s="3153" t="s">
        <v>4036</v>
      </c>
      <c r="L107" s="3153">
        <v>43.78</v>
      </c>
      <c r="M107" s="3154">
        <v>10.130000000000001</v>
      </c>
      <c r="N107" s="3149" t="s">
        <v>4270</v>
      </c>
    </row>
    <row r="108" spans="1:14">
      <c r="A108" s="3149">
        <v>106</v>
      </c>
      <c r="B108" s="3153" t="s">
        <v>3511</v>
      </c>
      <c r="C108" s="3153" t="s">
        <v>3616</v>
      </c>
      <c r="D108" s="3153">
        <v>38.130000000000003</v>
      </c>
      <c r="E108" s="3154">
        <v>11.69</v>
      </c>
      <c r="F108" s="3149" t="s">
        <v>4270</v>
      </c>
      <c r="I108" s="3149">
        <v>106</v>
      </c>
      <c r="J108" s="3153" t="s">
        <v>3932</v>
      </c>
      <c r="K108" s="3153" t="s">
        <v>4037</v>
      </c>
      <c r="L108" s="3153">
        <v>41.97</v>
      </c>
      <c r="M108" s="3154">
        <v>9.7100000000000009</v>
      </c>
      <c r="N108" s="3149" t="s">
        <v>4270</v>
      </c>
    </row>
    <row r="109" spans="1:14">
      <c r="A109" s="3149">
        <v>107</v>
      </c>
      <c r="B109" s="3153" t="s">
        <v>3511</v>
      </c>
      <c r="C109" s="3153" t="s">
        <v>3617</v>
      </c>
      <c r="D109" s="3153">
        <v>36.56</v>
      </c>
      <c r="E109" s="3154">
        <v>11.21</v>
      </c>
      <c r="F109" s="3149" t="s">
        <v>4270</v>
      </c>
      <c r="I109" s="3149">
        <v>107</v>
      </c>
      <c r="J109" s="3153" t="s">
        <v>3932</v>
      </c>
      <c r="K109" s="3153" t="s">
        <v>4038</v>
      </c>
      <c r="L109" s="3153">
        <v>41.97</v>
      </c>
      <c r="M109" s="3154">
        <v>9.7100000000000009</v>
      </c>
      <c r="N109" s="3149" t="s">
        <v>4270</v>
      </c>
    </row>
    <row r="110" spans="1:14">
      <c r="A110" s="3149">
        <v>108</v>
      </c>
      <c r="B110" s="3153" t="s">
        <v>3511</v>
      </c>
      <c r="C110" s="3153" t="s">
        <v>3618</v>
      </c>
      <c r="D110" s="3153">
        <v>36.56</v>
      </c>
      <c r="E110" s="3154">
        <v>11.21</v>
      </c>
      <c r="F110" s="3149" t="s">
        <v>4270</v>
      </c>
      <c r="I110" s="3149">
        <v>108</v>
      </c>
      <c r="J110" s="3153" t="s">
        <v>3932</v>
      </c>
      <c r="K110" s="3153" t="s">
        <v>4039</v>
      </c>
      <c r="L110" s="3153">
        <v>41.97</v>
      </c>
      <c r="M110" s="3154">
        <v>9.7100000000000009</v>
      </c>
      <c r="N110" s="3149" t="s">
        <v>4270</v>
      </c>
    </row>
    <row r="111" spans="1:14">
      <c r="A111" s="3149">
        <v>109</v>
      </c>
      <c r="B111" s="3153" t="s">
        <v>3511</v>
      </c>
      <c r="C111" s="3153" t="s">
        <v>3619</v>
      </c>
      <c r="D111" s="3153">
        <v>38.130000000000003</v>
      </c>
      <c r="E111" s="3154">
        <v>11.69</v>
      </c>
      <c r="F111" s="3149" t="s">
        <v>4270</v>
      </c>
      <c r="I111" s="3149">
        <v>109</v>
      </c>
      <c r="J111" s="3153" t="s">
        <v>3932</v>
      </c>
      <c r="K111" s="3153" t="s">
        <v>4040</v>
      </c>
      <c r="L111" s="3153">
        <v>41.97</v>
      </c>
      <c r="M111" s="3154">
        <v>9.7100000000000009</v>
      </c>
      <c r="N111" s="3149" t="s">
        <v>4270</v>
      </c>
    </row>
    <row r="112" spans="1:14">
      <c r="A112" s="3149">
        <v>110</v>
      </c>
      <c r="B112" s="3153" t="s">
        <v>3511</v>
      </c>
      <c r="C112" s="3153" t="s">
        <v>3620</v>
      </c>
      <c r="D112" s="3153">
        <v>36.56</v>
      </c>
      <c r="E112" s="3154">
        <v>11.21</v>
      </c>
      <c r="F112" s="3149" t="s">
        <v>4270</v>
      </c>
      <c r="I112" s="3149">
        <v>110</v>
      </c>
      <c r="J112" s="3153" t="s">
        <v>3932</v>
      </c>
      <c r="K112" s="3153" t="s">
        <v>4041</v>
      </c>
      <c r="L112" s="3153">
        <v>41.97</v>
      </c>
      <c r="M112" s="3154">
        <v>9.7100000000000009</v>
      </c>
      <c r="N112" s="3149" t="s">
        <v>4270</v>
      </c>
    </row>
    <row r="113" spans="1:14">
      <c r="A113" s="3149">
        <v>111</v>
      </c>
      <c r="B113" s="3153" t="s">
        <v>3511</v>
      </c>
      <c r="C113" s="3153" t="s">
        <v>3621</v>
      </c>
      <c r="D113" s="3153">
        <v>36.56</v>
      </c>
      <c r="E113" s="3154">
        <v>11.21</v>
      </c>
      <c r="F113" s="3149" t="s">
        <v>4270</v>
      </c>
      <c r="I113" s="3149">
        <v>111</v>
      </c>
      <c r="J113" s="3153" t="s">
        <v>3932</v>
      </c>
      <c r="K113" s="3153" t="s">
        <v>4042</v>
      </c>
      <c r="L113" s="3153">
        <v>41.97</v>
      </c>
      <c r="M113" s="3154">
        <v>9.7100000000000009</v>
      </c>
      <c r="N113" s="3149" t="s">
        <v>4270</v>
      </c>
    </row>
    <row r="114" spans="1:14">
      <c r="A114" s="3149">
        <v>112</v>
      </c>
      <c r="B114" s="3153" t="s">
        <v>3511</v>
      </c>
      <c r="C114" s="3153" t="s">
        <v>3622</v>
      </c>
      <c r="D114" s="3153">
        <v>38.130000000000003</v>
      </c>
      <c r="E114" s="3154">
        <v>11.69</v>
      </c>
      <c r="F114" s="3149" t="s">
        <v>4270</v>
      </c>
      <c r="I114" s="3149">
        <v>112</v>
      </c>
      <c r="J114" s="3153" t="s">
        <v>3932</v>
      </c>
      <c r="K114" s="3153" t="s">
        <v>4043</v>
      </c>
      <c r="L114" s="3153">
        <v>41.97</v>
      </c>
      <c r="M114" s="3154">
        <v>9.7100000000000009</v>
      </c>
      <c r="N114" s="3149" t="s">
        <v>4270</v>
      </c>
    </row>
    <row r="115" spans="1:14">
      <c r="A115" s="3149">
        <v>113</v>
      </c>
      <c r="B115" s="3153" t="s">
        <v>3511</v>
      </c>
      <c r="C115" s="3153" t="s">
        <v>3623</v>
      </c>
      <c r="D115" s="3153">
        <v>36.56</v>
      </c>
      <c r="E115" s="3154">
        <v>11.21</v>
      </c>
      <c r="F115" s="3149" t="s">
        <v>4270</v>
      </c>
      <c r="I115" s="3149">
        <v>113</v>
      </c>
      <c r="J115" s="3153" t="s">
        <v>3932</v>
      </c>
      <c r="K115" s="3153" t="s">
        <v>4044</v>
      </c>
      <c r="L115" s="3153">
        <v>41.97</v>
      </c>
      <c r="M115" s="3154">
        <v>9.7100000000000009</v>
      </c>
      <c r="N115" s="3149" t="s">
        <v>4270</v>
      </c>
    </row>
    <row r="116" spans="1:14">
      <c r="A116" s="3149">
        <v>114</v>
      </c>
      <c r="B116" s="3153" t="s">
        <v>3511</v>
      </c>
      <c r="C116" s="3153" t="s">
        <v>3624</v>
      </c>
      <c r="D116" s="3153">
        <v>50.84</v>
      </c>
      <c r="E116" s="3154">
        <v>15.59</v>
      </c>
      <c r="F116" s="3149" t="s">
        <v>4270</v>
      </c>
      <c r="I116" s="3149">
        <v>114</v>
      </c>
      <c r="J116" s="3153" t="s">
        <v>3932</v>
      </c>
      <c r="K116" s="3153" t="s">
        <v>4045</v>
      </c>
      <c r="L116" s="3153">
        <v>43.78</v>
      </c>
      <c r="M116" s="3154">
        <v>10.130000000000001</v>
      </c>
      <c r="N116" s="3149" t="s">
        <v>4270</v>
      </c>
    </row>
    <row r="117" spans="1:14">
      <c r="A117" s="3149">
        <v>115</v>
      </c>
      <c r="B117" s="3153" t="s">
        <v>3511</v>
      </c>
      <c r="C117" s="3153" t="s">
        <v>3625</v>
      </c>
      <c r="D117" s="3153">
        <v>50.84</v>
      </c>
      <c r="E117" s="3154">
        <v>15.59</v>
      </c>
      <c r="F117" s="3149" t="s">
        <v>4270</v>
      </c>
      <c r="I117" s="3149">
        <v>115</v>
      </c>
      <c r="J117" s="3153" t="s">
        <v>3932</v>
      </c>
      <c r="K117" s="3153" t="s">
        <v>4046</v>
      </c>
      <c r="L117" s="3153">
        <v>41.97</v>
      </c>
      <c r="M117" s="3154">
        <v>9.7100000000000009</v>
      </c>
      <c r="N117" s="3149" t="s">
        <v>4270</v>
      </c>
    </row>
    <row r="118" spans="1:14">
      <c r="A118" s="3149">
        <v>116</v>
      </c>
      <c r="B118" s="3153" t="s">
        <v>3511</v>
      </c>
      <c r="C118" s="3153" t="s">
        <v>3626</v>
      </c>
      <c r="D118" s="3153">
        <v>36.56</v>
      </c>
      <c r="E118" s="3154">
        <v>11.21</v>
      </c>
      <c r="F118" s="3149" t="s">
        <v>4270</v>
      </c>
      <c r="I118" s="3149">
        <v>116</v>
      </c>
      <c r="J118" s="3153" t="s">
        <v>3932</v>
      </c>
      <c r="K118" s="3153" t="s">
        <v>4047</v>
      </c>
      <c r="L118" s="3153">
        <v>41.97</v>
      </c>
      <c r="M118" s="3154">
        <v>9.7100000000000009</v>
      </c>
      <c r="N118" s="3149" t="s">
        <v>4270</v>
      </c>
    </row>
    <row r="119" spans="1:14">
      <c r="A119" s="3149">
        <v>117</v>
      </c>
      <c r="B119" s="3153" t="s">
        <v>3511</v>
      </c>
      <c r="C119" s="3153" t="s">
        <v>3627</v>
      </c>
      <c r="D119" s="3153">
        <v>38.130000000000003</v>
      </c>
      <c r="E119" s="3154">
        <v>11.69</v>
      </c>
      <c r="F119" s="3149" t="s">
        <v>4270</v>
      </c>
      <c r="I119" s="3149">
        <v>117</v>
      </c>
      <c r="J119" s="3153" t="s">
        <v>3932</v>
      </c>
      <c r="K119" s="3153" t="s">
        <v>4048</v>
      </c>
      <c r="L119" s="3153">
        <v>41.97</v>
      </c>
      <c r="M119" s="3154">
        <v>9.7100000000000009</v>
      </c>
      <c r="N119" s="3149" t="s">
        <v>4270</v>
      </c>
    </row>
    <row r="120" spans="1:14">
      <c r="A120" s="3149">
        <v>118</v>
      </c>
      <c r="B120" s="3153" t="s">
        <v>3511</v>
      </c>
      <c r="C120" s="3153" t="s">
        <v>3628</v>
      </c>
      <c r="D120" s="3153">
        <v>36.56</v>
      </c>
      <c r="E120" s="3154">
        <v>11.21</v>
      </c>
      <c r="F120" s="3149" t="s">
        <v>4270</v>
      </c>
      <c r="I120" s="3149">
        <v>118</v>
      </c>
      <c r="J120" s="3153" t="s">
        <v>3932</v>
      </c>
      <c r="K120" s="3153" t="s">
        <v>4049</v>
      </c>
      <c r="L120" s="3153">
        <v>43.78</v>
      </c>
      <c r="M120" s="3154">
        <v>10.130000000000001</v>
      </c>
      <c r="N120" s="3149" t="s">
        <v>4270</v>
      </c>
    </row>
    <row r="121" spans="1:14">
      <c r="A121" s="3149">
        <v>119</v>
      </c>
      <c r="B121" s="3153" t="s">
        <v>3511</v>
      </c>
      <c r="C121" s="3153" t="s">
        <v>3629</v>
      </c>
      <c r="D121" s="3153">
        <v>36.56</v>
      </c>
      <c r="E121" s="3154">
        <v>11.21</v>
      </c>
      <c r="F121" s="3149" t="s">
        <v>4270</v>
      </c>
      <c r="I121" s="3149">
        <v>119</v>
      </c>
      <c r="J121" s="3153" t="s">
        <v>3932</v>
      </c>
      <c r="K121" s="3153" t="s">
        <v>4050</v>
      </c>
      <c r="L121" s="3153">
        <v>41.97</v>
      </c>
      <c r="M121" s="3154">
        <v>9.7100000000000009</v>
      </c>
      <c r="N121" s="3149" t="s">
        <v>4270</v>
      </c>
    </row>
    <row r="122" spans="1:14">
      <c r="A122" s="3149">
        <v>120</v>
      </c>
      <c r="B122" s="3153" t="s">
        <v>3511</v>
      </c>
      <c r="C122" s="3153" t="s">
        <v>3630</v>
      </c>
      <c r="D122" s="3153">
        <v>38.130000000000003</v>
      </c>
      <c r="E122" s="3154">
        <v>11.69</v>
      </c>
      <c r="F122" s="3149" t="s">
        <v>4270</v>
      </c>
      <c r="I122" s="3149">
        <v>120</v>
      </c>
      <c r="J122" s="3153" t="s">
        <v>3932</v>
      </c>
      <c r="K122" s="3153" t="s">
        <v>4051</v>
      </c>
      <c r="L122" s="3153">
        <v>41.97</v>
      </c>
      <c r="M122" s="3154">
        <v>9.7100000000000009</v>
      </c>
      <c r="N122" s="3149" t="s">
        <v>4270</v>
      </c>
    </row>
    <row r="123" spans="1:14">
      <c r="A123" s="3149">
        <v>121</v>
      </c>
      <c r="B123" s="3153" t="s">
        <v>3511</v>
      </c>
      <c r="C123" s="3153" t="s">
        <v>3631</v>
      </c>
      <c r="D123" s="3153">
        <v>36.56</v>
      </c>
      <c r="E123" s="3154">
        <v>11.21</v>
      </c>
      <c r="F123" s="3149" t="s">
        <v>4270</v>
      </c>
      <c r="I123" s="3149">
        <v>121</v>
      </c>
      <c r="J123" s="3153" t="s">
        <v>3932</v>
      </c>
      <c r="K123" s="3153" t="s">
        <v>4052</v>
      </c>
      <c r="L123" s="3153">
        <v>43.78</v>
      </c>
      <c r="M123" s="3154">
        <v>10.130000000000001</v>
      </c>
      <c r="N123" s="3149" t="s">
        <v>4270</v>
      </c>
    </row>
    <row r="124" spans="1:14">
      <c r="A124" s="3149">
        <v>122</v>
      </c>
      <c r="B124" s="3153" t="s">
        <v>3511</v>
      </c>
      <c r="C124" s="3153" t="s">
        <v>3632</v>
      </c>
      <c r="D124" s="3153">
        <v>36.56</v>
      </c>
      <c r="E124" s="3154">
        <v>11.21</v>
      </c>
      <c r="F124" s="3149" t="s">
        <v>4270</v>
      </c>
      <c r="I124" s="3149">
        <v>122</v>
      </c>
      <c r="J124" s="3153" t="s">
        <v>3932</v>
      </c>
      <c r="K124" s="3153" t="s">
        <v>4053</v>
      </c>
      <c r="L124" s="3153">
        <v>41.97</v>
      </c>
      <c r="M124" s="3154">
        <v>9.7100000000000009</v>
      </c>
      <c r="N124" s="3149" t="s">
        <v>4270</v>
      </c>
    </row>
    <row r="125" spans="1:14">
      <c r="A125" s="3149">
        <v>123</v>
      </c>
      <c r="B125" s="3153" t="s">
        <v>3511</v>
      </c>
      <c r="C125" s="3153" t="s">
        <v>3633</v>
      </c>
      <c r="D125" s="3153">
        <v>38.130000000000003</v>
      </c>
      <c r="E125" s="3154">
        <v>11.69</v>
      </c>
      <c r="F125" s="3149" t="s">
        <v>4270</v>
      </c>
      <c r="I125" s="3149">
        <v>123</v>
      </c>
      <c r="J125" s="3153" t="s">
        <v>3932</v>
      </c>
      <c r="K125" s="3153" t="s">
        <v>4054</v>
      </c>
      <c r="L125" s="3153">
        <v>41.97</v>
      </c>
      <c r="M125" s="3154">
        <v>9.7100000000000009</v>
      </c>
      <c r="N125" s="3149" t="s">
        <v>4270</v>
      </c>
    </row>
    <row r="126" spans="1:14">
      <c r="A126" s="3149">
        <v>124</v>
      </c>
      <c r="B126" s="3153" t="s">
        <v>3511</v>
      </c>
      <c r="C126" s="3153" t="s">
        <v>3634</v>
      </c>
      <c r="D126" s="3153">
        <v>36.56</v>
      </c>
      <c r="E126" s="3154">
        <v>11.21</v>
      </c>
      <c r="F126" s="3149" t="s">
        <v>4270</v>
      </c>
      <c r="I126" s="3149">
        <v>124</v>
      </c>
      <c r="J126" s="3153" t="s">
        <v>3932</v>
      </c>
      <c r="K126" s="3153" t="s">
        <v>4055</v>
      </c>
      <c r="L126" s="3153">
        <v>41.97</v>
      </c>
      <c r="M126" s="3154">
        <v>9.7100000000000009</v>
      </c>
      <c r="N126" s="3149" t="s">
        <v>4270</v>
      </c>
    </row>
    <row r="127" spans="1:14">
      <c r="A127" s="3149">
        <v>125</v>
      </c>
      <c r="B127" s="3153" t="s">
        <v>3511</v>
      </c>
      <c r="C127" s="3153" t="s">
        <v>3635</v>
      </c>
      <c r="D127" s="3153">
        <v>36.56</v>
      </c>
      <c r="E127" s="3154">
        <v>11.21</v>
      </c>
      <c r="F127" s="3149" t="s">
        <v>4270</v>
      </c>
      <c r="I127" s="3149">
        <v>125</v>
      </c>
      <c r="J127" s="3153" t="s">
        <v>3932</v>
      </c>
      <c r="K127" s="3153" t="s">
        <v>4056</v>
      </c>
      <c r="L127" s="3153">
        <v>41.97</v>
      </c>
      <c r="M127" s="3154">
        <v>9.7100000000000009</v>
      </c>
      <c r="N127" s="3149" t="s">
        <v>4270</v>
      </c>
    </row>
    <row r="128" spans="1:14">
      <c r="A128" s="3149">
        <v>126</v>
      </c>
      <c r="B128" s="3153" t="s">
        <v>3511</v>
      </c>
      <c r="C128" s="3153" t="s">
        <v>3636</v>
      </c>
      <c r="D128" s="3153">
        <v>38.130000000000003</v>
      </c>
      <c r="E128" s="3154">
        <v>11.69</v>
      </c>
      <c r="F128" s="3149" t="s">
        <v>4270</v>
      </c>
      <c r="I128" s="3149">
        <v>126</v>
      </c>
      <c r="J128" s="3153" t="s">
        <v>3932</v>
      </c>
      <c r="K128" s="3153" t="s">
        <v>4057</v>
      </c>
      <c r="L128" s="3153">
        <v>43.78</v>
      </c>
      <c r="M128" s="3154">
        <v>10.130000000000001</v>
      </c>
      <c r="N128" s="3149" t="s">
        <v>4270</v>
      </c>
    </row>
    <row r="129" spans="1:14">
      <c r="A129" s="3149">
        <v>127</v>
      </c>
      <c r="B129" s="3153" t="s">
        <v>3511</v>
      </c>
      <c r="C129" s="3153" t="s">
        <v>3637</v>
      </c>
      <c r="D129" s="3153">
        <v>36.56</v>
      </c>
      <c r="E129" s="3154">
        <v>11.21</v>
      </c>
      <c r="F129" s="3149" t="s">
        <v>4270</v>
      </c>
      <c r="I129" s="3149">
        <v>127</v>
      </c>
      <c r="J129" s="3153" t="s">
        <v>3932</v>
      </c>
      <c r="K129" s="3153" t="s">
        <v>4058</v>
      </c>
      <c r="L129" s="3153">
        <v>41.97</v>
      </c>
      <c r="M129" s="3154">
        <v>9.7100000000000009</v>
      </c>
      <c r="N129" s="3149" t="s">
        <v>4270</v>
      </c>
    </row>
    <row r="130" spans="1:14">
      <c r="A130" s="3149">
        <v>128</v>
      </c>
      <c r="B130" s="3153" t="s">
        <v>3511</v>
      </c>
      <c r="C130" s="3153" t="s">
        <v>3638</v>
      </c>
      <c r="D130" s="3153">
        <v>36.56</v>
      </c>
      <c r="E130" s="3154">
        <v>11.21</v>
      </c>
      <c r="F130" s="3149" t="s">
        <v>4270</v>
      </c>
      <c r="I130" s="3149">
        <v>128</v>
      </c>
      <c r="J130" s="3153" t="s">
        <v>3932</v>
      </c>
      <c r="K130" s="3153" t="s">
        <v>4059</v>
      </c>
      <c r="L130" s="3153">
        <v>41.97</v>
      </c>
      <c r="M130" s="3154">
        <v>9.7100000000000009</v>
      </c>
      <c r="N130" s="3149" t="s">
        <v>4270</v>
      </c>
    </row>
    <row r="131" spans="1:14">
      <c r="A131" s="3149">
        <v>129</v>
      </c>
      <c r="B131" s="3153" t="s">
        <v>3511</v>
      </c>
      <c r="C131" s="3153" t="s">
        <v>3639</v>
      </c>
      <c r="D131" s="3153">
        <v>36.56</v>
      </c>
      <c r="E131" s="3154">
        <v>11.21</v>
      </c>
      <c r="F131" s="3149" t="s">
        <v>4270</v>
      </c>
      <c r="I131" s="3149">
        <v>129</v>
      </c>
      <c r="J131" s="3153" t="s">
        <v>3932</v>
      </c>
      <c r="K131" s="3153" t="s">
        <v>4060</v>
      </c>
      <c r="L131" s="3153">
        <v>41.97</v>
      </c>
      <c r="M131" s="3154">
        <v>9.7100000000000009</v>
      </c>
      <c r="N131" s="3149" t="s">
        <v>4270</v>
      </c>
    </row>
    <row r="132" spans="1:14">
      <c r="A132" s="3149">
        <v>130</v>
      </c>
      <c r="B132" s="3153" t="s">
        <v>3511</v>
      </c>
      <c r="C132" s="3153" t="s">
        <v>3640</v>
      </c>
      <c r="D132" s="3153">
        <v>36.56</v>
      </c>
      <c r="E132" s="3154">
        <v>11.21</v>
      </c>
      <c r="F132" s="3149" t="s">
        <v>4270</v>
      </c>
      <c r="I132" s="3149">
        <v>130</v>
      </c>
      <c r="J132" s="3153" t="s">
        <v>3932</v>
      </c>
      <c r="K132" s="3153" t="s">
        <v>4061</v>
      </c>
      <c r="L132" s="3153">
        <v>43.78</v>
      </c>
      <c r="M132" s="3154">
        <v>10.130000000000001</v>
      </c>
      <c r="N132" s="3149" t="s">
        <v>4270</v>
      </c>
    </row>
    <row r="133" spans="1:14">
      <c r="A133" s="3149">
        <v>131</v>
      </c>
      <c r="B133" s="3153" t="s">
        <v>3511</v>
      </c>
      <c r="C133" s="3153" t="s">
        <v>3641</v>
      </c>
      <c r="D133" s="3153">
        <v>38.130000000000003</v>
      </c>
      <c r="E133" s="3154">
        <v>11.69</v>
      </c>
      <c r="F133" s="3149" t="s">
        <v>4270</v>
      </c>
      <c r="I133" s="3149">
        <v>131</v>
      </c>
      <c r="J133" s="3153" t="s">
        <v>3932</v>
      </c>
      <c r="K133" s="3153" t="s">
        <v>4062</v>
      </c>
      <c r="L133" s="3153">
        <v>41.97</v>
      </c>
      <c r="M133" s="3154">
        <v>9.7100000000000009</v>
      </c>
      <c r="N133" s="3149" t="s">
        <v>4270</v>
      </c>
    </row>
    <row r="134" spans="1:14">
      <c r="A134" s="3149">
        <v>132</v>
      </c>
      <c r="B134" s="3153" t="s">
        <v>3511</v>
      </c>
      <c r="C134" s="3153" t="s">
        <v>3642</v>
      </c>
      <c r="D134" s="3153">
        <v>38.130000000000003</v>
      </c>
      <c r="E134" s="3154">
        <v>11.69</v>
      </c>
      <c r="F134" s="3149" t="s">
        <v>4270</v>
      </c>
      <c r="I134" s="3149">
        <v>132</v>
      </c>
      <c r="J134" s="3153" t="s">
        <v>3932</v>
      </c>
      <c r="K134" s="3153" t="s">
        <v>4063</v>
      </c>
      <c r="L134" s="3153">
        <v>41.97</v>
      </c>
      <c r="M134" s="3154">
        <v>9.7100000000000009</v>
      </c>
      <c r="N134" s="3149" t="s">
        <v>4270</v>
      </c>
    </row>
    <row r="135" spans="1:14">
      <c r="A135" s="3149">
        <v>133</v>
      </c>
      <c r="B135" s="3153" t="s">
        <v>3511</v>
      </c>
      <c r="C135" s="3153" t="s">
        <v>3643</v>
      </c>
      <c r="D135" s="3153">
        <v>36.56</v>
      </c>
      <c r="E135" s="3154">
        <v>11.21</v>
      </c>
      <c r="F135" s="3149" t="s">
        <v>4270</v>
      </c>
      <c r="I135" s="3149">
        <v>133</v>
      </c>
      <c r="J135" s="3153" t="s">
        <v>3932</v>
      </c>
      <c r="K135" s="3153" t="s">
        <v>4064</v>
      </c>
      <c r="L135" s="3153">
        <v>43.78</v>
      </c>
      <c r="M135" s="3154">
        <v>10.130000000000001</v>
      </c>
      <c r="N135" s="3149" t="s">
        <v>4270</v>
      </c>
    </row>
    <row r="136" spans="1:14">
      <c r="A136" s="3149">
        <v>134</v>
      </c>
      <c r="B136" s="3153" t="s">
        <v>3511</v>
      </c>
      <c r="C136" s="3153" t="s">
        <v>3644</v>
      </c>
      <c r="D136" s="3153">
        <v>36.56</v>
      </c>
      <c r="E136" s="3154">
        <v>11.21</v>
      </c>
      <c r="F136" s="3149" t="s">
        <v>4270</v>
      </c>
      <c r="I136" s="3149">
        <v>134</v>
      </c>
      <c r="J136" s="3153" t="s">
        <v>3932</v>
      </c>
      <c r="K136" s="3153" t="s">
        <v>4065</v>
      </c>
      <c r="L136" s="3153">
        <v>41.97</v>
      </c>
      <c r="M136" s="3154">
        <v>9.7100000000000009</v>
      </c>
      <c r="N136" s="3149" t="s">
        <v>4270</v>
      </c>
    </row>
    <row r="137" spans="1:14">
      <c r="A137" s="3149">
        <v>135</v>
      </c>
      <c r="B137" s="3153" t="s">
        <v>3511</v>
      </c>
      <c r="C137" s="3153" t="s">
        <v>3645</v>
      </c>
      <c r="D137" s="3153">
        <v>38.130000000000003</v>
      </c>
      <c r="E137" s="3154">
        <v>11.69</v>
      </c>
      <c r="F137" s="3149" t="s">
        <v>4270</v>
      </c>
      <c r="I137" s="3149">
        <v>135</v>
      </c>
      <c r="J137" s="3153" t="s">
        <v>3932</v>
      </c>
      <c r="K137" s="3153" t="s">
        <v>4066</v>
      </c>
      <c r="L137" s="3153">
        <v>41.97</v>
      </c>
      <c r="M137" s="3154">
        <v>9.7100000000000009</v>
      </c>
      <c r="N137" s="3149" t="s">
        <v>4270</v>
      </c>
    </row>
    <row r="138" spans="1:14">
      <c r="A138" s="3149">
        <v>136</v>
      </c>
      <c r="B138" s="3153" t="s">
        <v>3511</v>
      </c>
      <c r="C138" s="3153" t="s">
        <v>3646</v>
      </c>
      <c r="D138" s="3153">
        <v>36.56</v>
      </c>
      <c r="E138" s="3154">
        <v>11.21</v>
      </c>
      <c r="F138" s="3149" t="s">
        <v>4270</v>
      </c>
      <c r="I138" s="3149">
        <v>136</v>
      </c>
      <c r="J138" s="3153" t="s">
        <v>3932</v>
      </c>
      <c r="K138" s="3153" t="s">
        <v>4067</v>
      </c>
      <c r="L138" s="3153">
        <v>43.78</v>
      </c>
      <c r="M138" s="3154">
        <v>10.130000000000001</v>
      </c>
      <c r="N138" s="3149" t="s">
        <v>4270</v>
      </c>
    </row>
    <row r="139" spans="1:14">
      <c r="A139" s="3149">
        <v>137</v>
      </c>
      <c r="B139" s="3153" t="s">
        <v>3511</v>
      </c>
      <c r="C139" s="3153" t="s">
        <v>3647</v>
      </c>
      <c r="D139" s="3153">
        <v>36.56</v>
      </c>
      <c r="E139" s="3154">
        <v>11.21</v>
      </c>
      <c r="F139" s="3149" t="s">
        <v>4270</v>
      </c>
      <c r="I139" s="3149">
        <v>137</v>
      </c>
      <c r="J139" s="3153" t="s">
        <v>3932</v>
      </c>
      <c r="K139" s="3153" t="s">
        <v>4068</v>
      </c>
      <c r="L139" s="3153">
        <v>41.97</v>
      </c>
      <c r="M139" s="3154">
        <v>9.7100000000000009</v>
      </c>
      <c r="N139" s="3149" t="s">
        <v>4270</v>
      </c>
    </row>
    <row r="140" spans="1:14">
      <c r="A140" s="3149">
        <v>138</v>
      </c>
      <c r="B140" s="3153" t="s">
        <v>3511</v>
      </c>
      <c r="C140" s="3153" t="s">
        <v>3648</v>
      </c>
      <c r="D140" s="3153">
        <v>38.130000000000003</v>
      </c>
      <c r="E140" s="3154">
        <v>11.69</v>
      </c>
      <c r="F140" s="3149" t="s">
        <v>4270</v>
      </c>
      <c r="I140" s="3149">
        <v>138</v>
      </c>
      <c r="J140" s="3153" t="s">
        <v>3932</v>
      </c>
      <c r="K140" s="3153" t="s">
        <v>4069</v>
      </c>
      <c r="L140" s="3153">
        <v>41.97</v>
      </c>
      <c r="M140" s="3154">
        <v>9.7100000000000009</v>
      </c>
      <c r="N140" s="3149" t="s">
        <v>4270</v>
      </c>
    </row>
    <row r="141" spans="1:14">
      <c r="A141" s="3149">
        <v>139</v>
      </c>
      <c r="B141" s="3153" t="s">
        <v>3511</v>
      </c>
      <c r="C141" s="3153" t="s">
        <v>3649</v>
      </c>
      <c r="D141" s="3153">
        <v>36.56</v>
      </c>
      <c r="E141" s="3154">
        <v>11.21</v>
      </c>
      <c r="F141" s="3149" t="s">
        <v>4270</v>
      </c>
      <c r="I141" s="3149">
        <v>139</v>
      </c>
      <c r="J141" s="3153" t="s">
        <v>3932</v>
      </c>
      <c r="K141" s="3153" t="s">
        <v>4070</v>
      </c>
      <c r="L141" s="3153">
        <v>41.97</v>
      </c>
      <c r="M141" s="3154">
        <v>9.7100000000000009</v>
      </c>
      <c r="N141" s="3149" t="s">
        <v>4270</v>
      </c>
    </row>
    <row r="142" spans="1:14">
      <c r="A142" s="3149">
        <v>140</v>
      </c>
      <c r="B142" s="3153" t="s">
        <v>3511</v>
      </c>
      <c r="C142" s="3153" t="s">
        <v>3650</v>
      </c>
      <c r="D142" s="3153">
        <v>36.56</v>
      </c>
      <c r="E142" s="3154">
        <v>11.21</v>
      </c>
      <c r="F142" s="3149" t="s">
        <v>4270</v>
      </c>
      <c r="I142" s="3149">
        <v>140</v>
      </c>
      <c r="J142" s="3153" t="s">
        <v>3932</v>
      </c>
      <c r="K142" s="3153" t="s">
        <v>4071</v>
      </c>
      <c r="L142" s="3153">
        <v>41.97</v>
      </c>
      <c r="M142" s="3154">
        <v>9.7100000000000009</v>
      </c>
      <c r="N142" s="3149" t="s">
        <v>4270</v>
      </c>
    </row>
    <row r="143" spans="1:14">
      <c r="A143" s="3149">
        <v>141</v>
      </c>
      <c r="B143" s="3153" t="s">
        <v>3511</v>
      </c>
      <c r="C143" s="3153" t="s">
        <v>3651</v>
      </c>
      <c r="D143" s="3153">
        <v>38.130000000000003</v>
      </c>
      <c r="E143" s="3154">
        <v>11.69</v>
      </c>
      <c r="F143" s="3149" t="s">
        <v>4270</v>
      </c>
      <c r="I143" s="3149">
        <v>141</v>
      </c>
      <c r="J143" s="3153" t="s">
        <v>3932</v>
      </c>
      <c r="K143" s="3153" t="s">
        <v>4072</v>
      </c>
      <c r="L143" s="3153">
        <v>41.97</v>
      </c>
      <c r="M143" s="3154">
        <v>9.7100000000000009</v>
      </c>
      <c r="N143" s="3149" t="s">
        <v>4270</v>
      </c>
    </row>
    <row r="144" spans="1:14">
      <c r="A144" s="3149">
        <v>142</v>
      </c>
      <c r="B144" s="3153" t="s">
        <v>3511</v>
      </c>
      <c r="C144" s="3153" t="s">
        <v>3652</v>
      </c>
      <c r="D144" s="3153">
        <v>36.56</v>
      </c>
      <c r="E144" s="3154">
        <v>11.21</v>
      </c>
      <c r="F144" s="3149" t="s">
        <v>4270</v>
      </c>
      <c r="I144" s="3149">
        <v>142</v>
      </c>
      <c r="J144" s="3153" t="s">
        <v>3932</v>
      </c>
      <c r="K144" s="3153" t="s">
        <v>4073</v>
      </c>
      <c r="L144" s="3153">
        <v>41.97</v>
      </c>
      <c r="M144" s="3154">
        <v>9.7100000000000009</v>
      </c>
      <c r="N144" s="3149" t="s">
        <v>4270</v>
      </c>
    </row>
    <row r="145" spans="1:14">
      <c r="A145" s="3149">
        <v>143</v>
      </c>
      <c r="B145" s="3153" t="s">
        <v>3511</v>
      </c>
      <c r="C145" s="3153" t="s">
        <v>3653</v>
      </c>
      <c r="D145" s="3153">
        <v>36.56</v>
      </c>
      <c r="E145" s="3154">
        <v>11.21</v>
      </c>
      <c r="F145" s="3149" t="s">
        <v>4270</v>
      </c>
      <c r="I145" s="3149">
        <v>143</v>
      </c>
      <c r="J145" s="3153" t="s">
        <v>3932</v>
      </c>
      <c r="K145" s="3153" t="s">
        <v>4074</v>
      </c>
      <c r="L145" s="3153">
        <v>43.78</v>
      </c>
      <c r="M145" s="3154">
        <v>10.130000000000001</v>
      </c>
      <c r="N145" s="3149" t="s">
        <v>4270</v>
      </c>
    </row>
    <row r="146" spans="1:14">
      <c r="A146" s="3149">
        <v>144</v>
      </c>
      <c r="B146" s="3153" t="s">
        <v>3511</v>
      </c>
      <c r="C146" s="3153" t="s">
        <v>3654</v>
      </c>
      <c r="D146" s="3153">
        <v>38.130000000000003</v>
      </c>
      <c r="E146" s="3154">
        <v>11.69</v>
      </c>
      <c r="F146" s="3149" t="s">
        <v>4270</v>
      </c>
      <c r="I146" s="3149">
        <v>144</v>
      </c>
      <c r="J146" s="3153" t="s">
        <v>3932</v>
      </c>
      <c r="K146" s="3153" t="s">
        <v>4075</v>
      </c>
      <c r="L146" s="3153">
        <v>41.97</v>
      </c>
      <c r="M146" s="3154">
        <v>9.7100000000000009</v>
      </c>
      <c r="N146" s="3149" t="s">
        <v>4270</v>
      </c>
    </row>
    <row r="147" spans="1:14">
      <c r="A147" s="3149">
        <v>145</v>
      </c>
      <c r="B147" s="3153" t="s">
        <v>3511</v>
      </c>
      <c r="C147" s="3153" t="s">
        <v>3655</v>
      </c>
      <c r="D147" s="3153">
        <v>36.56</v>
      </c>
      <c r="E147" s="3154">
        <v>11.21</v>
      </c>
      <c r="F147" s="3149" t="s">
        <v>4270</v>
      </c>
      <c r="I147" s="3149">
        <v>145</v>
      </c>
      <c r="J147" s="3153" t="s">
        <v>3932</v>
      </c>
      <c r="K147" s="3153" t="s">
        <v>4076</v>
      </c>
      <c r="L147" s="3153">
        <v>41.97</v>
      </c>
      <c r="M147" s="3154">
        <v>9.7100000000000009</v>
      </c>
      <c r="N147" s="3149" t="s">
        <v>4270</v>
      </c>
    </row>
    <row r="148" spans="1:14">
      <c r="A148" s="3149">
        <v>146</v>
      </c>
      <c r="B148" s="3153" t="s">
        <v>3511</v>
      </c>
      <c r="C148" s="3153" t="s">
        <v>3656</v>
      </c>
      <c r="D148" s="3153">
        <v>36.56</v>
      </c>
      <c r="E148" s="3154">
        <v>11.21</v>
      </c>
      <c r="F148" s="3149" t="s">
        <v>4270</v>
      </c>
      <c r="I148" s="3149">
        <v>146</v>
      </c>
      <c r="J148" s="3153" t="s">
        <v>3932</v>
      </c>
      <c r="K148" s="3153" t="s">
        <v>4077</v>
      </c>
      <c r="L148" s="3153">
        <v>41.97</v>
      </c>
      <c r="M148" s="3154">
        <v>9.7100000000000009</v>
      </c>
      <c r="N148" s="3149" t="s">
        <v>4270</v>
      </c>
    </row>
    <row r="149" spans="1:14">
      <c r="A149" s="3149">
        <v>147</v>
      </c>
      <c r="B149" s="3153" t="s">
        <v>3511</v>
      </c>
      <c r="C149" s="3153" t="s">
        <v>3657</v>
      </c>
      <c r="D149" s="3153">
        <v>38.130000000000003</v>
      </c>
      <c r="E149" s="3154">
        <v>11.69</v>
      </c>
      <c r="F149" s="3149" t="s">
        <v>4270</v>
      </c>
      <c r="I149" s="3149">
        <v>147</v>
      </c>
      <c r="J149" s="3153" t="s">
        <v>3932</v>
      </c>
      <c r="K149" s="3153" t="s">
        <v>4078</v>
      </c>
      <c r="L149" s="3153">
        <v>41.97</v>
      </c>
      <c r="M149" s="3154">
        <v>9.7100000000000009</v>
      </c>
      <c r="N149" s="3149" t="s">
        <v>4270</v>
      </c>
    </row>
    <row r="150" spans="1:14">
      <c r="A150" s="3149">
        <v>148</v>
      </c>
      <c r="B150" s="3153" t="s">
        <v>3511</v>
      </c>
      <c r="C150" s="3153" t="s">
        <v>3658</v>
      </c>
      <c r="D150" s="3153">
        <v>36.56</v>
      </c>
      <c r="E150" s="3154">
        <v>11.21</v>
      </c>
      <c r="F150" s="3149" t="s">
        <v>4270</v>
      </c>
      <c r="I150" s="3149">
        <v>148</v>
      </c>
      <c r="J150" s="3153" t="s">
        <v>3932</v>
      </c>
      <c r="K150" s="3153" t="s">
        <v>4079</v>
      </c>
      <c r="L150" s="3153">
        <v>41.97</v>
      </c>
      <c r="M150" s="3154">
        <v>9.7100000000000009</v>
      </c>
      <c r="N150" s="3149" t="s">
        <v>4270</v>
      </c>
    </row>
    <row r="151" spans="1:14">
      <c r="A151" s="3149">
        <v>149</v>
      </c>
      <c r="B151" s="3153" t="s">
        <v>3511</v>
      </c>
      <c r="C151" s="3153" t="s">
        <v>3659</v>
      </c>
      <c r="D151" s="3153">
        <v>36.56</v>
      </c>
      <c r="E151" s="3154">
        <v>11.21</v>
      </c>
      <c r="F151" s="3149" t="s">
        <v>4270</v>
      </c>
      <c r="I151" s="3149">
        <v>149</v>
      </c>
      <c r="J151" s="3153" t="s">
        <v>3932</v>
      </c>
      <c r="K151" s="3153" t="s">
        <v>4080</v>
      </c>
      <c r="L151" s="3153">
        <v>41.97</v>
      </c>
      <c r="M151" s="3154">
        <v>9.7100000000000009</v>
      </c>
      <c r="N151" s="3149" t="s">
        <v>4270</v>
      </c>
    </row>
    <row r="152" spans="1:14">
      <c r="A152" s="3149">
        <v>150</v>
      </c>
      <c r="B152" s="3153" t="s">
        <v>3511</v>
      </c>
      <c r="C152" s="3153" t="s">
        <v>3660</v>
      </c>
      <c r="D152" s="3153">
        <v>38.130000000000003</v>
      </c>
      <c r="E152" s="3154">
        <v>11.69</v>
      </c>
      <c r="F152" s="3149" t="s">
        <v>4270</v>
      </c>
      <c r="I152" s="3149">
        <v>150</v>
      </c>
      <c r="J152" s="3153" t="s">
        <v>3932</v>
      </c>
      <c r="K152" s="3153" t="s">
        <v>4081</v>
      </c>
      <c r="L152" s="3153">
        <v>41.97</v>
      </c>
      <c r="M152" s="3154">
        <v>9.7100000000000009</v>
      </c>
      <c r="N152" s="3149" t="s">
        <v>4270</v>
      </c>
    </row>
    <row r="153" spans="1:14">
      <c r="A153" s="3149">
        <v>151</v>
      </c>
      <c r="B153" s="3153" t="s">
        <v>3511</v>
      </c>
      <c r="C153" s="3153" t="s">
        <v>3661</v>
      </c>
      <c r="D153" s="3153">
        <v>36.56</v>
      </c>
      <c r="E153" s="3154">
        <v>11.21</v>
      </c>
      <c r="F153" s="3149" t="s">
        <v>4270</v>
      </c>
      <c r="I153" s="3149">
        <v>151</v>
      </c>
      <c r="J153" s="3153" t="s">
        <v>3932</v>
      </c>
      <c r="K153" s="3153" t="s">
        <v>4082</v>
      </c>
      <c r="L153" s="3153">
        <v>41.97</v>
      </c>
      <c r="M153" s="3154">
        <v>9.7100000000000009</v>
      </c>
      <c r="N153" s="3149" t="s">
        <v>4270</v>
      </c>
    </row>
    <row r="154" spans="1:14">
      <c r="A154" s="3149">
        <v>152</v>
      </c>
      <c r="B154" s="3153" t="s">
        <v>3511</v>
      </c>
      <c r="C154" s="3153" t="s">
        <v>3662</v>
      </c>
      <c r="D154" s="3153">
        <v>36.56</v>
      </c>
      <c r="E154" s="3154">
        <v>11.21</v>
      </c>
      <c r="F154" s="3149" t="s">
        <v>4270</v>
      </c>
      <c r="I154" s="3149">
        <v>152</v>
      </c>
      <c r="J154" s="3153" t="s">
        <v>3932</v>
      </c>
      <c r="K154" s="3153" t="s">
        <v>4083</v>
      </c>
      <c r="L154" s="3153">
        <v>43.78</v>
      </c>
      <c r="M154" s="3154">
        <v>10.130000000000001</v>
      </c>
      <c r="N154" s="3149" t="s">
        <v>4270</v>
      </c>
    </row>
    <row r="155" spans="1:14">
      <c r="A155" s="3149">
        <v>153</v>
      </c>
      <c r="B155" s="3153" t="s">
        <v>3511</v>
      </c>
      <c r="C155" s="3153" t="s">
        <v>3663</v>
      </c>
      <c r="D155" s="3153">
        <v>38.130000000000003</v>
      </c>
      <c r="E155" s="3154">
        <v>11.69</v>
      </c>
      <c r="F155" s="3149" t="s">
        <v>4270</v>
      </c>
      <c r="I155" s="3149">
        <v>153</v>
      </c>
      <c r="J155" s="3153" t="s">
        <v>3932</v>
      </c>
      <c r="K155" s="3153" t="s">
        <v>4084</v>
      </c>
      <c r="L155" s="3153">
        <v>41.97</v>
      </c>
      <c r="M155" s="3154">
        <v>9.7100000000000009</v>
      </c>
      <c r="N155" s="3149" t="s">
        <v>4270</v>
      </c>
    </row>
    <row r="156" spans="1:14">
      <c r="A156" s="3149">
        <v>154</v>
      </c>
      <c r="B156" s="3153" t="s">
        <v>3511</v>
      </c>
      <c r="C156" s="3153" t="s">
        <v>3664</v>
      </c>
      <c r="D156" s="3153">
        <v>36.56</v>
      </c>
      <c r="E156" s="3154">
        <v>11.21</v>
      </c>
      <c r="F156" s="3149" t="s">
        <v>4270</v>
      </c>
      <c r="I156" s="3149">
        <v>154</v>
      </c>
      <c r="J156" s="3153" t="s">
        <v>3932</v>
      </c>
      <c r="K156" s="3153" t="s">
        <v>4085</v>
      </c>
      <c r="L156" s="3153">
        <v>41.97</v>
      </c>
      <c r="M156" s="3154">
        <v>9.7100000000000009</v>
      </c>
      <c r="N156" s="3149" t="s">
        <v>4270</v>
      </c>
    </row>
    <row r="157" spans="1:14">
      <c r="A157" s="3149">
        <v>155</v>
      </c>
      <c r="B157" s="3153" t="s">
        <v>3511</v>
      </c>
      <c r="C157" s="3153" t="s">
        <v>3665</v>
      </c>
      <c r="D157" s="3153">
        <v>36.56</v>
      </c>
      <c r="E157" s="3154">
        <v>11.21</v>
      </c>
      <c r="F157" s="3149" t="s">
        <v>4270</v>
      </c>
      <c r="I157" s="3149">
        <v>155</v>
      </c>
      <c r="J157" s="3153" t="s">
        <v>3932</v>
      </c>
      <c r="K157" s="3153" t="s">
        <v>4086</v>
      </c>
      <c r="L157" s="3153">
        <v>43.78</v>
      </c>
      <c r="M157" s="3154">
        <v>10.130000000000001</v>
      </c>
      <c r="N157" s="3149" t="s">
        <v>4270</v>
      </c>
    </row>
    <row r="158" spans="1:14">
      <c r="A158" s="3149">
        <v>156</v>
      </c>
      <c r="B158" s="3153" t="s">
        <v>3511</v>
      </c>
      <c r="C158" s="3153" t="s">
        <v>3666</v>
      </c>
      <c r="D158" s="3153">
        <v>38.130000000000003</v>
      </c>
      <c r="E158" s="3154">
        <v>11.69</v>
      </c>
      <c r="F158" s="3149" t="s">
        <v>4270</v>
      </c>
      <c r="I158" s="3149">
        <v>156</v>
      </c>
      <c r="J158" s="3153" t="s">
        <v>3932</v>
      </c>
      <c r="K158" s="3153" t="s">
        <v>4087</v>
      </c>
      <c r="L158" s="3153">
        <v>41.97</v>
      </c>
      <c r="M158" s="3154">
        <v>9.7100000000000009</v>
      </c>
      <c r="N158" s="3149" t="s">
        <v>4270</v>
      </c>
    </row>
    <row r="159" spans="1:14">
      <c r="A159" s="3149">
        <v>157</v>
      </c>
      <c r="B159" s="3153" t="s">
        <v>3511</v>
      </c>
      <c r="C159" s="3153" t="s">
        <v>3667</v>
      </c>
      <c r="D159" s="3153">
        <v>36.56</v>
      </c>
      <c r="E159" s="3154">
        <v>11.21</v>
      </c>
      <c r="F159" s="3149" t="s">
        <v>4270</v>
      </c>
      <c r="I159" s="3149">
        <v>157</v>
      </c>
      <c r="J159" s="3153" t="s">
        <v>3932</v>
      </c>
      <c r="K159" s="3153" t="s">
        <v>4088</v>
      </c>
      <c r="L159" s="3153">
        <v>41.97</v>
      </c>
      <c r="M159" s="3154">
        <v>9.7100000000000009</v>
      </c>
      <c r="N159" s="3149" t="s">
        <v>4270</v>
      </c>
    </row>
    <row r="160" spans="1:14">
      <c r="A160" s="3149">
        <v>158</v>
      </c>
      <c r="B160" s="3153" t="s">
        <v>3511</v>
      </c>
      <c r="C160" s="3153" t="s">
        <v>3668</v>
      </c>
      <c r="D160" s="3153">
        <v>36.56</v>
      </c>
      <c r="E160" s="3154">
        <v>11.21</v>
      </c>
      <c r="F160" s="3149" t="s">
        <v>4270</v>
      </c>
      <c r="I160" s="3149">
        <v>158</v>
      </c>
      <c r="J160" s="3153" t="s">
        <v>3932</v>
      </c>
      <c r="K160" s="3153" t="s">
        <v>4089</v>
      </c>
      <c r="L160" s="3153">
        <v>43.78</v>
      </c>
      <c r="M160" s="3154">
        <v>10.130000000000001</v>
      </c>
      <c r="N160" s="3149" t="s">
        <v>4270</v>
      </c>
    </row>
    <row r="161" spans="1:14">
      <c r="A161" s="3149">
        <v>159</v>
      </c>
      <c r="B161" s="3153" t="s">
        <v>3511</v>
      </c>
      <c r="C161" s="3153" t="s">
        <v>3669</v>
      </c>
      <c r="D161" s="3153">
        <v>38.130000000000003</v>
      </c>
      <c r="E161" s="3154">
        <v>11.69</v>
      </c>
      <c r="F161" s="3149" t="s">
        <v>4270</v>
      </c>
      <c r="I161" s="3149">
        <v>159</v>
      </c>
      <c r="J161" s="3153" t="s">
        <v>3932</v>
      </c>
      <c r="K161" s="3153" t="s">
        <v>4090</v>
      </c>
      <c r="L161" s="3153">
        <v>41.97</v>
      </c>
      <c r="M161" s="3154">
        <v>9.7100000000000009</v>
      </c>
      <c r="N161" s="3149" t="s">
        <v>4270</v>
      </c>
    </row>
    <row r="162" spans="1:14">
      <c r="A162" s="3149">
        <v>160</v>
      </c>
      <c r="B162" s="3153" t="s">
        <v>3511</v>
      </c>
      <c r="C162" s="3153" t="s">
        <v>3670</v>
      </c>
      <c r="D162" s="3153">
        <v>36.56</v>
      </c>
      <c r="E162" s="3154">
        <v>11.21</v>
      </c>
      <c r="F162" s="3149" t="s">
        <v>4270</v>
      </c>
      <c r="I162" s="3149">
        <v>160</v>
      </c>
      <c r="J162" s="3153" t="s">
        <v>3932</v>
      </c>
      <c r="K162" s="3153" t="s">
        <v>4091</v>
      </c>
      <c r="L162" s="3153">
        <v>41.97</v>
      </c>
      <c r="M162" s="3154">
        <v>9.7100000000000009</v>
      </c>
      <c r="N162" s="3149" t="s">
        <v>4270</v>
      </c>
    </row>
    <row r="163" spans="1:14">
      <c r="A163" s="3149">
        <v>161</v>
      </c>
      <c r="B163" s="3153" t="s">
        <v>3511</v>
      </c>
      <c r="C163" s="3153" t="s">
        <v>3671</v>
      </c>
      <c r="D163" s="3153">
        <v>36.56</v>
      </c>
      <c r="E163" s="3154">
        <v>11.21</v>
      </c>
      <c r="F163" s="3149" t="s">
        <v>4270</v>
      </c>
      <c r="I163" s="3149">
        <v>161</v>
      </c>
      <c r="J163" s="3153" t="s">
        <v>3932</v>
      </c>
      <c r="K163" s="3153" t="s">
        <v>4092</v>
      </c>
      <c r="L163" s="3153">
        <v>43.78</v>
      </c>
      <c r="M163" s="3154">
        <v>10.130000000000001</v>
      </c>
      <c r="N163" s="3149" t="s">
        <v>4270</v>
      </c>
    </row>
    <row r="164" spans="1:14">
      <c r="A164" s="3149">
        <v>162</v>
      </c>
      <c r="B164" s="3153" t="s">
        <v>3511</v>
      </c>
      <c r="C164" s="3153" t="s">
        <v>3672</v>
      </c>
      <c r="D164" s="3153">
        <v>38.130000000000003</v>
      </c>
      <c r="E164" s="3154">
        <v>11.69</v>
      </c>
      <c r="F164" s="3149" t="s">
        <v>4270</v>
      </c>
      <c r="I164" s="3149">
        <v>162</v>
      </c>
      <c r="J164" s="3153" t="s">
        <v>3932</v>
      </c>
      <c r="K164" s="3153" t="s">
        <v>4093</v>
      </c>
      <c r="L164" s="3153">
        <v>41.97</v>
      </c>
      <c r="M164" s="3154">
        <v>9.7100000000000009</v>
      </c>
      <c r="N164" s="3149" t="s">
        <v>4270</v>
      </c>
    </row>
    <row r="165" spans="1:14">
      <c r="A165" s="3149">
        <v>163</v>
      </c>
      <c r="B165" s="3153" t="s">
        <v>3511</v>
      </c>
      <c r="C165" s="3153" t="s">
        <v>3673</v>
      </c>
      <c r="D165" s="3153">
        <v>36.56</v>
      </c>
      <c r="E165" s="3154">
        <v>11.21</v>
      </c>
      <c r="F165" s="3149" t="s">
        <v>4270</v>
      </c>
      <c r="I165" s="3149">
        <v>163</v>
      </c>
      <c r="J165" s="3153" t="s">
        <v>3932</v>
      </c>
      <c r="K165" s="3153" t="s">
        <v>4094</v>
      </c>
      <c r="L165" s="3153">
        <v>41.97</v>
      </c>
      <c r="M165" s="3154">
        <v>9.7100000000000009</v>
      </c>
      <c r="N165" s="3149" t="s">
        <v>4270</v>
      </c>
    </row>
    <row r="166" spans="1:14">
      <c r="A166" s="3149">
        <v>164</v>
      </c>
      <c r="B166" s="3153" t="s">
        <v>3511</v>
      </c>
      <c r="C166" s="3153" t="s">
        <v>3674</v>
      </c>
      <c r="D166" s="3153">
        <v>36.56</v>
      </c>
      <c r="E166" s="3154">
        <v>11.21</v>
      </c>
      <c r="F166" s="3149" t="s">
        <v>4270</v>
      </c>
      <c r="I166" s="3149">
        <v>164</v>
      </c>
      <c r="J166" s="3153" t="s">
        <v>3932</v>
      </c>
      <c r="K166" s="3153" t="s">
        <v>4095</v>
      </c>
      <c r="L166" s="3153">
        <v>43.78</v>
      </c>
      <c r="M166" s="3154">
        <v>10.130000000000001</v>
      </c>
      <c r="N166" s="3149" t="s">
        <v>4270</v>
      </c>
    </row>
    <row r="167" spans="1:14">
      <c r="A167" s="3149">
        <v>165</v>
      </c>
      <c r="B167" s="3153" t="s">
        <v>3511</v>
      </c>
      <c r="C167" s="3153" t="s">
        <v>3675</v>
      </c>
      <c r="D167" s="3153">
        <v>38.130000000000003</v>
      </c>
      <c r="E167" s="3154">
        <v>11.69</v>
      </c>
      <c r="F167" s="3149" t="s">
        <v>4270</v>
      </c>
      <c r="I167" s="3149">
        <v>165</v>
      </c>
      <c r="J167" s="3153" t="s">
        <v>3932</v>
      </c>
      <c r="K167" s="3153" t="s">
        <v>4096</v>
      </c>
      <c r="L167" s="3153">
        <v>41.97</v>
      </c>
      <c r="M167" s="3154">
        <v>9.7100000000000009</v>
      </c>
      <c r="N167" s="3149" t="s">
        <v>4270</v>
      </c>
    </row>
    <row r="168" spans="1:14">
      <c r="A168" s="3149">
        <v>166</v>
      </c>
      <c r="B168" s="3153" t="s">
        <v>3511</v>
      </c>
      <c r="C168" s="3153" t="s">
        <v>3676</v>
      </c>
      <c r="D168" s="3153">
        <v>36.56</v>
      </c>
      <c r="E168" s="3154">
        <v>11.21</v>
      </c>
      <c r="F168" s="3149" t="s">
        <v>4270</v>
      </c>
      <c r="I168" s="3149">
        <v>166</v>
      </c>
      <c r="J168" s="3153" t="s">
        <v>3932</v>
      </c>
      <c r="K168" s="3153" t="s">
        <v>4097</v>
      </c>
      <c r="L168" s="3153">
        <v>41.97</v>
      </c>
      <c r="M168" s="3154">
        <v>9.7100000000000009</v>
      </c>
      <c r="N168" s="3149" t="s">
        <v>4270</v>
      </c>
    </row>
    <row r="169" spans="1:14">
      <c r="A169" s="3149">
        <v>167</v>
      </c>
      <c r="B169" s="3153" t="s">
        <v>3511</v>
      </c>
      <c r="C169" s="3153" t="s">
        <v>3677</v>
      </c>
      <c r="D169" s="3153">
        <v>36.56</v>
      </c>
      <c r="E169" s="3154">
        <v>11.21</v>
      </c>
      <c r="F169" s="3149" t="s">
        <v>4270</v>
      </c>
      <c r="I169" s="3149">
        <v>167</v>
      </c>
      <c r="J169" s="3153" t="s">
        <v>3932</v>
      </c>
      <c r="K169" s="3153" t="s">
        <v>4098</v>
      </c>
      <c r="L169" s="3153">
        <v>43.78</v>
      </c>
      <c r="M169" s="3154">
        <v>10.130000000000001</v>
      </c>
      <c r="N169" s="3149" t="s">
        <v>4270</v>
      </c>
    </row>
    <row r="170" spans="1:14">
      <c r="A170" s="3149">
        <v>168</v>
      </c>
      <c r="B170" s="3153" t="s">
        <v>3511</v>
      </c>
      <c r="C170" s="3153" t="s">
        <v>3678</v>
      </c>
      <c r="D170" s="3153">
        <v>38.130000000000003</v>
      </c>
      <c r="E170" s="3154">
        <v>11.69</v>
      </c>
      <c r="F170" s="3149" t="s">
        <v>4270</v>
      </c>
      <c r="I170" s="3149">
        <v>168</v>
      </c>
      <c r="J170" s="3153" t="s">
        <v>3932</v>
      </c>
      <c r="K170" s="3153" t="s">
        <v>4099</v>
      </c>
      <c r="L170" s="3153">
        <v>41.97</v>
      </c>
      <c r="M170" s="3154">
        <v>9.7100000000000009</v>
      </c>
      <c r="N170" s="3149" t="s">
        <v>4270</v>
      </c>
    </row>
    <row r="171" spans="1:14">
      <c r="A171" s="3149">
        <v>169</v>
      </c>
      <c r="B171" s="3153" t="s">
        <v>3511</v>
      </c>
      <c r="C171" s="3153" t="s">
        <v>3679</v>
      </c>
      <c r="D171" s="3153">
        <v>36.56</v>
      </c>
      <c r="E171" s="3154">
        <v>11.21</v>
      </c>
      <c r="F171" s="3149" t="s">
        <v>4270</v>
      </c>
      <c r="I171" s="3149">
        <v>169</v>
      </c>
      <c r="J171" s="3153" t="s">
        <v>3932</v>
      </c>
      <c r="K171" s="3153" t="s">
        <v>4100</v>
      </c>
      <c r="L171" s="3153">
        <v>41.97</v>
      </c>
      <c r="M171" s="3154">
        <v>9.7100000000000009</v>
      </c>
      <c r="N171" s="3149" t="s">
        <v>4270</v>
      </c>
    </row>
    <row r="172" spans="1:14">
      <c r="A172" s="3149">
        <v>170</v>
      </c>
      <c r="B172" s="3153" t="s">
        <v>3511</v>
      </c>
      <c r="C172" s="3153" t="s">
        <v>3680</v>
      </c>
      <c r="D172" s="3153">
        <v>36.56</v>
      </c>
      <c r="E172" s="3154">
        <v>11.21</v>
      </c>
      <c r="F172" s="3149" t="s">
        <v>4270</v>
      </c>
      <c r="I172" s="3149">
        <v>170</v>
      </c>
      <c r="J172" s="3153" t="s">
        <v>3932</v>
      </c>
      <c r="K172" s="3153" t="s">
        <v>4101</v>
      </c>
      <c r="L172" s="3153">
        <v>43.78</v>
      </c>
      <c r="M172" s="3154">
        <v>10.130000000000001</v>
      </c>
      <c r="N172" s="3149" t="s">
        <v>4270</v>
      </c>
    </row>
    <row r="173" spans="1:14">
      <c r="A173" s="3149">
        <v>171</v>
      </c>
      <c r="B173" s="3153" t="s">
        <v>3511</v>
      </c>
      <c r="C173" s="3153" t="s">
        <v>3681</v>
      </c>
      <c r="D173" s="3153">
        <v>38.130000000000003</v>
      </c>
      <c r="E173" s="3154">
        <v>11.69</v>
      </c>
      <c r="F173" s="3149" t="s">
        <v>4270</v>
      </c>
      <c r="I173" s="3149">
        <v>171</v>
      </c>
      <c r="J173" s="3153" t="s">
        <v>3932</v>
      </c>
      <c r="K173" s="3153" t="s">
        <v>4102</v>
      </c>
      <c r="L173" s="3153">
        <v>41.97</v>
      </c>
      <c r="M173" s="3154">
        <v>9.7100000000000009</v>
      </c>
      <c r="N173" s="3149" t="s">
        <v>4270</v>
      </c>
    </row>
    <row r="174" spans="1:14">
      <c r="A174" s="3149">
        <v>172</v>
      </c>
      <c r="B174" s="3153" t="s">
        <v>3511</v>
      </c>
      <c r="C174" s="3153" t="s">
        <v>3682</v>
      </c>
      <c r="D174" s="3153">
        <v>36.56</v>
      </c>
      <c r="E174" s="3154">
        <v>11.21</v>
      </c>
      <c r="F174" s="3149" t="s">
        <v>4270</v>
      </c>
      <c r="I174" s="3149">
        <v>172</v>
      </c>
      <c r="J174" s="3153" t="s">
        <v>3932</v>
      </c>
      <c r="K174" s="3153" t="s">
        <v>4103</v>
      </c>
      <c r="L174" s="3153">
        <v>41.97</v>
      </c>
      <c r="M174" s="3154">
        <v>9.7100000000000009</v>
      </c>
      <c r="N174" s="3149" t="s">
        <v>4270</v>
      </c>
    </row>
    <row r="175" spans="1:14">
      <c r="A175" s="3149">
        <v>173</v>
      </c>
      <c r="B175" s="3153" t="s">
        <v>3511</v>
      </c>
      <c r="C175" s="3153" t="s">
        <v>3683</v>
      </c>
      <c r="D175" s="3153">
        <v>36.56</v>
      </c>
      <c r="E175" s="3154">
        <v>11.21</v>
      </c>
      <c r="F175" s="3149" t="s">
        <v>4270</v>
      </c>
      <c r="I175" s="3149">
        <v>173</v>
      </c>
      <c r="J175" s="3153" t="s">
        <v>3932</v>
      </c>
      <c r="K175" s="3153" t="s">
        <v>4104</v>
      </c>
      <c r="L175" s="3153">
        <v>43.78</v>
      </c>
      <c r="M175" s="3154">
        <v>10.130000000000001</v>
      </c>
      <c r="N175" s="3149" t="s">
        <v>4270</v>
      </c>
    </row>
    <row r="176" spans="1:14">
      <c r="A176" s="3149">
        <v>174</v>
      </c>
      <c r="B176" s="3153" t="s">
        <v>3511</v>
      </c>
      <c r="C176" s="3153" t="s">
        <v>3684</v>
      </c>
      <c r="D176" s="3153">
        <v>38.130000000000003</v>
      </c>
      <c r="E176" s="3154">
        <v>11.69</v>
      </c>
      <c r="F176" s="3149" t="s">
        <v>4270</v>
      </c>
      <c r="I176" s="3149">
        <v>174</v>
      </c>
      <c r="J176" s="3153" t="s">
        <v>3932</v>
      </c>
      <c r="K176" s="3153" t="s">
        <v>4105</v>
      </c>
      <c r="L176" s="3153">
        <v>41.97</v>
      </c>
      <c r="M176" s="3154">
        <v>9.7100000000000009</v>
      </c>
      <c r="N176" s="3149" t="s">
        <v>4270</v>
      </c>
    </row>
    <row r="177" spans="1:14">
      <c r="A177" s="3149">
        <v>175</v>
      </c>
      <c r="B177" s="3153" t="s">
        <v>3511</v>
      </c>
      <c r="C177" s="3153" t="s">
        <v>3685</v>
      </c>
      <c r="D177" s="3153">
        <v>36.56</v>
      </c>
      <c r="E177" s="3154">
        <v>11.21</v>
      </c>
      <c r="F177" s="3149" t="s">
        <v>4270</v>
      </c>
      <c r="I177" s="3149">
        <v>175</v>
      </c>
      <c r="J177" s="3153" t="s">
        <v>3932</v>
      </c>
      <c r="K177" s="3153" t="s">
        <v>4106</v>
      </c>
      <c r="L177" s="3153">
        <v>41.97</v>
      </c>
      <c r="M177" s="3154">
        <v>9.7100000000000009</v>
      </c>
      <c r="N177" s="3149" t="s">
        <v>4270</v>
      </c>
    </row>
    <row r="178" spans="1:14">
      <c r="A178" s="3149">
        <v>176</v>
      </c>
      <c r="B178" s="3153" t="s">
        <v>3511</v>
      </c>
      <c r="C178" s="3153" t="s">
        <v>3686</v>
      </c>
      <c r="D178" s="3153">
        <v>36.56</v>
      </c>
      <c r="E178" s="3154">
        <v>11.21</v>
      </c>
      <c r="F178" s="3149" t="s">
        <v>4270</v>
      </c>
      <c r="I178" s="3149">
        <v>176</v>
      </c>
      <c r="J178" s="3153" t="s">
        <v>3932</v>
      </c>
      <c r="K178" s="3153" t="s">
        <v>4107</v>
      </c>
      <c r="L178" s="3153">
        <v>43.78</v>
      </c>
      <c r="M178" s="3154">
        <v>10.130000000000001</v>
      </c>
      <c r="N178" s="3149" t="s">
        <v>4270</v>
      </c>
    </row>
    <row r="179" spans="1:14">
      <c r="A179" s="3149">
        <v>177</v>
      </c>
      <c r="B179" s="3153" t="s">
        <v>3511</v>
      </c>
      <c r="C179" s="3153" t="s">
        <v>3687</v>
      </c>
      <c r="D179" s="3153">
        <v>38.130000000000003</v>
      </c>
      <c r="E179" s="3154">
        <v>11.69</v>
      </c>
      <c r="F179" s="3149" t="s">
        <v>4270</v>
      </c>
      <c r="I179" s="3149">
        <v>177</v>
      </c>
      <c r="J179" s="3153" t="s">
        <v>3932</v>
      </c>
      <c r="K179" s="3153" t="s">
        <v>4108</v>
      </c>
      <c r="L179" s="3153">
        <v>41.97</v>
      </c>
      <c r="M179" s="3154">
        <v>9.7100000000000009</v>
      </c>
      <c r="N179" s="3149" t="s">
        <v>4270</v>
      </c>
    </row>
    <row r="180" spans="1:14">
      <c r="A180" s="3149">
        <v>178</v>
      </c>
      <c r="B180" s="3153" t="s">
        <v>3511</v>
      </c>
      <c r="C180" s="3153" t="s">
        <v>3688</v>
      </c>
      <c r="D180" s="3153">
        <v>36.56</v>
      </c>
      <c r="E180" s="3154">
        <v>11.21</v>
      </c>
      <c r="F180" s="3149" t="s">
        <v>4270</v>
      </c>
      <c r="I180" s="3149">
        <v>178</v>
      </c>
      <c r="J180" s="3153" t="s">
        <v>3932</v>
      </c>
      <c r="K180" s="3153" t="s">
        <v>4109</v>
      </c>
      <c r="L180" s="3153">
        <v>41.97</v>
      </c>
      <c r="M180" s="3154">
        <v>9.7100000000000009</v>
      </c>
      <c r="N180" s="3149" t="s">
        <v>4270</v>
      </c>
    </row>
    <row r="181" spans="1:14">
      <c r="A181" s="3149">
        <v>179</v>
      </c>
      <c r="B181" s="3153" t="s">
        <v>3511</v>
      </c>
      <c r="C181" s="3153" t="s">
        <v>3689</v>
      </c>
      <c r="D181" s="3153">
        <v>36.56</v>
      </c>
      <c r="E181" s="3154">
        <v>11.21</v>
      </c>
      <c r="F181" s="3149" t="s">
        <v>4270</v>
      </c>
      <c r="I181" s="3149">
        <v>179</v>
      </c>
      <c r="J181" s="3153" t="s">
        <v>3932</v>
      </c>
      <c r="K181" s="3153" t="s">
        <v>4110</v>
      </c>
      <c r="L181" s="3153">
        <v>41.97</v>
      </c>
      <c r="M181" s="3154">
        <v>9.7100000000000009</v>
      </c>
      <c r="N181" s="3149" t="s">
        <v>4270</v>
      </c>
    </row>
    <row r="182" spans="1:14">
      <c r="A182" s="3149">
        <v>180</v>
      </c>
      <c r="B182" s="3153" t="s">
        <v>3511</v>
      </c>
      <c r="C182" s="3153" t="s">
        <v>3690</v>
      </c>
      <c r="D182" s="3153">
        <v>36.56</v>
      </c>
      <c r="E182" s="3154">
        <v>11.21</v>
      </c>
      <c r="F182" s="3149" t="s">
        <v>4270</v>
      </c>
      <c r="I182" s="3149">
        <v>180</v>
      </c>
      <c r="J182" s="3153" t="s">
        <v>3932</v>
      </c>
      <c r="K182" s="3153" t="s">
        <v>4111</v>
      </c>
      <c r="L182" s="3153">
        <v>41.97</v>
      </c>
      <c r="M182" s="3154">
        <v>9.7100000000000009</v>
      </c>
      <c r="N182" s="3149" t="s">
        <v>4270</v>
      </c>
    </row>
    <row r="183" spans="1:14">
      <c r="A183" s="3149">
        <v>181</v>
      </c>
      <c r="B183" s="3153" t="s">
        <v>3511</v>
      </c>
      <c r="C183" s="3153" t="s">
        <v>3691</v>
      </c>
      <c r="D183" s="3153">
        <v>36.56</v>
      </c>
      <c r="E183" s="3154">
        <v>11.21</v>
      </c>
      <c r="F183" s="3149" t="s">
        <v>4270</v>
      </c>
      <c r="I183" s="3149">
        <v>181</v>
      </c>
      <c r="J183" s="3153" t="s">
        <v>3932</v>
      </c>
      <c r="K183" s="3153" t="s">
        <v>4112</v>
      </c>
      <c r="L183" s="3153">
        <v>41.97</v>
      </c>
      <c r="M183" s="3154">
        <v>9.7100000000000009</v>
      </c>
      <c r="N183" s="3149" t="s">
        <v>4270</v>
      </c>
    </row>
    <row r="184" spans="1:14">
      <c r="A184" s="3149">
        <v>182</v>
      </c>
      <c r="B184" s="3153" t="s">
        <v>3511</v>
      </c>
      <c r="C184" s="3153" t="s">
        <v>3692</v>
      </c>
      <c r="D184" s="3153">
        <v>38.130000000000003</v>
      </c>
      <c r="E184" s="3154">
        <v>11.69</v>
      </c>
      <c r="F184" s="3149" t="s">
        <v>4270</v>
      </c>
      <c r="I184" s="3149">
        <v>182</v>
      </c>
      <c r="J184" s="3153" t="s">
        <v>3932</v>
      </c>
      <c r="K184" s="3153" t="s">
        <v>4113</v>
      </c>
      <c r="L184" s="3153">
        <v>43.78</v>
      </c>
      <c r="M184" s="3154">
        <v>10.130000000000001</v>
      </c>
      <c r="N184" s="3149" t="s">
        <v>4270</v>
      </c>
    </row>
    <row r="185" spans="1:14">
      <c r="A185" s="3149">
        <v>183</v>
      </c>
      <c r="B185" s="3153" t="s">
        <v>3511</v>
      </c>
      <c r="C185" s="3153" t="s">
        <v>3693</v>
      </c>
      <c r="D185" s="3153">
        <v>36.56</v>
      </c>
      <c r="E185" s="3154">
        <v>11.21</v>
      </c>
      <c r="F185" s="3149" t="s">
        <v>4270</v>
      </c>
      <c r="I185" s="3149">
        <v>183</v>
      </c>
      <c r="J185" s="3153" t="s">
        <v>3932</v>
      </c>
      <c r="K185" s="3153" t="s">
        <v>4114</v>
      </c>
      <c r="L185" s="3153">
        <v>43.78</v>
      </c>
      <c r="M185" s="3154">
        <v>10.130000000000001</v>
      </c>
      <c r="N185" s="3149" t="s">
        <v>4270</v>
      </c>
    </row>
    <row r="186" spans="1:14">
      <c r="A186" s="3149">
        <v>184</v>
      </c>
      <c r="B186" s="3153" t="s">
        <v>3511</v>
      </c>
      <c r="C186" s="3153" t="s">
        <v>3694</v>
      </c>
      <c r="D186" s="3153">
        <v>36.56</v>
      </c>
      <c r="E186" s="3154">
        <v>11.21</v>
      </c>
      <c r="F186" s="3149" t="s">
        <v>4270</v>
      </c>
      <c r="I186" s="3149">
        <v>184</v>
      </c>
      <c r="J186" s="3153" t="s">
        <v>3932</v>
      </c>
      <c r="K186" s="3153" t="s">
        <v>4115</v>
      </c>
      <c r="L186" s="3153">
        <v>41.97</v>
      </c>
      <c r="M186" s="3154">
        <v>9.7100000000000009</v>
      </c>
      <c r="N186" s="3149" t="s">
        <v>4270</v>
      </c>
    </row>
    <row r="187" spans="1:14">
      <c r="A187" s="3149">
        <v>185</v>
      </c>
      <c r="B187" s="3153" t="s">
        <v>3511</v>
      </c>
      <c r="C187" s="3153" t="s">
        <v>3695</v>
      </c>
      <c r="D187" s="3153">
        <v>36.56</v>
      </c>
      <c r="E187" s="3154">
        <v>11.21</v>
      </c>
      <c r="F187" s="3149" t="s">
        <v>4270</v>
      </c>
      <c r="I187" s="3149">
        <v>185</v>
      </c>
      <c r="J187" s="3153" t="s">
        <v>3932</v>
      </c>
      <c r="K187" s="3153" t="s">
        <v>4116</v>
      </c>
      <c r="L187" s="3153">
        <v>41.97</v>
      </c>
      <c r="M187" s="3154">
        <v>9.7100000000000009</v>
      </c>
      <c r="N187" s="3149" t="s">
        <v>4270</v>
      </c>
    </row>
    <row r="188" spans="1:14">
      <c r="A188" s="3149">
        <v>186</v>
      </c>
      <c r="B188" s="3153" t="s">
        <v>3511</v>
      </c>
      <c r="C188" s="3153" t="s">
        <v>3696</v>
      </c>
      <c r="D188" s="3153">
        <v>36.56</v>
      </c>
      <c r="E188" s="3154">
        <v>11.21</v>
      </c>
      <c r="F188" s="3149" t="s">
        <v>4270</v>
      </c>
      <c r="I188" s="3149">
        <v>186</v>
      </c>
      <c r="J188" s="3153" t="s">
        <v>3932</v>
      </c>
      <c r="K188" s="3153" t="s">
        <v>4117</v>
      </c>
      <c r="L188" s="3153">
        <v>43.78</v>
      </c>
      <c r="M188" s="3154">
        <v>10.130000000000001</v>
      </c>
      <c r="N188" s="3149" t="s">
        <v>4270</v>
      </c>
    </row>
    <row r="189" spans="1:14">
      <c r="A189" s="3149">
        <v>187</v>
      </c>
      <c r="B189" s="3153" t="s">
        <v>3511</v>
      </c>
      <c r="C189" s="3153" t="s">
        <v>3697</v>
      </c>
      <c r="D189" s="3153">
        <v>36.56</v>
      </c>
      <c r="E189" s="3154">
        <v>11.21</v>
      </c>
      <c r="F189" s="3149" t="s">
        <v>4270</v>
      </c>
      <c r="I189" s="3149">
        <v>187</v>
      </c>
      <c r="J189" s="3153" t="s">
        <v>3932</v>
      </c>
      <c r="K189" s="3153" t="s">
        <v>4118</v>
      </c>
      <c r="L189" s="3153">
        <v>43.78</v>
      </c>
      <c r="M189" s="3154">
        <v>10.130000000000001</v>
      </c>
      <c r="N189" s="3149" t="s">
        <v>4270</v>
      </c>
    </row>
    <row r="190" spans="1:14">
      <c r="A190" s="3149">
        <v>188</v>
      </c>
      <c r="B190" s="3153" t="s">
        <v>3511</v>
      </c>
      <c r="C190" s="3153" t="s">
        <v>3698</v>
      </c>
      <c r="D190" s="3153">
        <v>38.130000000000003</v>
      </c>
      <c r="E190" s="3154">
        <v>11.69</v>
      </c>
      <c r="F190" s="3149" t="s">
        <v>4270</v>
      </c>
      <c r="I190" s="3149">
        <v>188</v>
      </c>
      <c r="J190" s="3153" t="s">
        <v>3932</v>
      </c>
      <c r="K190" s="3153" t="s">
        <v>4119</v>
      </c>
      <c r="L190" s="3153">
        <v>41.97</v>
      </c>
      <c r="M190" s="3154">
        <v>9.7100000000000009</v>
      </c>
      <c r="N190" s="3149" t="s">
        <v>4270</v>
      </c>
    </row>
    <row r="191" spans="1:14">
      <c r="A191" s="3149">
        <v>189</v>
      </c>
      <c r="B191" s="3153" t="s">
        <v>3511</v>
      </c>
      <c r="C191" s="3153" t="s">
        <v>3699</v>
      </c>
      <c r="D191" s="3153">
        <v>36.56</v>
      </c>
      <c r="E191" s="3154">
        <v>11.21</v>
      </c>
      <c r="F191" s="3149" t="s">
        <v>4270</v>
      </c>
      <c r="I191" s="3149">
        <v>189</v>
      </c>
      <c r="J191" s="3153" t="s">
        <v>3932</v>
      </c>
      <c r="K191" s="3153" t="s">
        <v>4120</v>
      </c>
      <c r="L191" s="3153">
        <v>41.97</v>
      </c>
      <c r="M191" s="3154">
        <v>9.7100000000000009</v>
      </c>
      <c r="N191" s="3149" t="s">
        <v>4270</v>
      </c>
    </row>
    <row r="192" spans="1:14">
      <c r="A192" s="3149">
        <v>190</v>
      </c>
      <c r="B192" s="3153" t="s">
        <v>3511</v>
      </c>
      <c r="C192" s="3153" t="s">
        <v>3700</v>
      </c>
      <c r="D192" s="3153">
        <v>36.56</v>
      </c>
      <c r="E192" s="3154">
        <v>11.21</v>
      </c>
      <c r="F192" s="3149" t="s">
        <v>4270</v>
      </c>
      <c r="I192" s="3149">
        <v>190</v>
      </c>
      <c r="J192" s="3153" t="s">
        <v>3932</v>
      </c>
      <c r="K192" s="3153" t="s">
        <v>4121</v>
      </c>
      <c r="L192" s="3153">
        <v>41.97</v>
      </c>
      <c r="M192" s="3154">
        <v>9.7100000000000009</v>
      </c>
      <c r="N192" s="3149" t="s">
        <v>4270</v>
      </c>
    </row>
    <row r="193" spans="1:14">
      <c r="A193" s="3149">
        <v>191</v>
      </c>
      <c r="B193" s="3153" t="s">
        <v>3511</v>
      </c>
      <c r="C193" s="3153" t="s">
        <v>3701</v>
      </c>
      <c r="D193" s="3153">
        <v>38.130000000000003</v>
      </c>
      <c r="E193" s="3154">
        <v>11.69</v>
      </c>
      <c r="F193" s="3149" t="s">
        <v>4270</v>
      </c>
      <c r="I193" s="3149">
        <v>191</v>
      </c>
      <c r="J193" s="3153" t="s">
        <v>3932</v>
      </c>
      <c r="K193" s="3153" t="s">
        <v>4122</v>
      </c>
      <c r="L193" s="3153">
        <v>41.97</v>
      </c>
      <c r="M193" s="3154">
        <v>9.7100000000000009</v>
      </c>
      <c r="N193" s="3149" t="s">
        <v>4270</v>
      </c>
    </row>
    <row r="194" spans="1:14">
      <c r="A194" s="3149">
        <v>192</v>
      </c>
      <c r="B194" s="3153" t="s">
        <v>3511</v>
      </c>
      <c r="C194" s="3153" t="s">
        <v>3702</v>
      </c>
      <c r="D194" s="3153">
        <v>36.56</v>
      </c>
      <c r="E194" s="3154">
        <v>11.21</v>
      </c>
      <c r="F194" s="3149" t="s">
        <v>4270</v>
      </c>
      <c r="I194" s="3149">
        <v>192</v>
      </c>
      <c r="J194" s="3153" t="s">
        <v>3932</v>
      </c>
      <c r="K194" s="3153" t="s">
        <v>4123</v>
      </c>
      <c r="L194" s="3153">
        <v>41.97</v>
      </c>
      <c r="M194" s="3154">
        <v>9.7100000000000009</v>
      </c>
      <c r="N194" s="3149" t="s">
        <v>4270</v>
      </c>
    </row>
    <row r="195" spans="1:14">
      <c r="A195" s="3149">
        <v>193</v>
      </c>
      <c r="B195" s="3153" t="s">
        <v>3511</v>
      </c>
      <c r="C195" s="3153" t="s">
        <v>3703</v>
      </c>
      <c r="D195" s="3153">
        <v>36.56</v>
      </c>
      <c r="E195" s="3154">
        <v>11.21</v>
      </c>
      <c r="F195" s="3149" t="s">
        <v>4270</v>
      </c>
      <c r="I195" s="3149">
        <v>193</v>
      </c>
      <c r="J195" s="3153" t="s">
        <v>3932</v>
      </c>
      <c r="K195" s="3153" t="s">
        <v>4124</v>
      </c>
      <c r="L195" s="3153">
        <v>41.97</v>
      </c>
      <c r="M195" s="3154">
        <v>9.7100000000000009</v>
      </c>
      <c r="N195" s="3149" t="s">
        <v>4270</v>
      </c>
    </row>
    <row r="196" spans="1:14">
      <c r="A196" s="3149">
        <v>194</v>
      </c>
      <c r="B196" s="3153" t="s">
        <v>3511</v>
      </c>
      <c r="C196" s="3153" t="s">
        <v>3704</v>
      </c>
      <c r="D196" s="3153">
        <v>36.56</v>
      </c>
      <c r="E196" s="3154">
        <v>11.21</v>
      </c>
      <c r="F196" s="3149" t="s">
        <v>4270</v>
      </c>
      <c r="I196" s="3149">
        <v>194</v>
      </c>
      <c r="J196" s="3153" t="s">
        <v>3932</v>
      </c>
      <c r="K196" s="3153" t="s">
        <v>4125</v>
      </c>
      <c r="L196" s="3153">
        <v>43.78</v>
      </c>
      <c r="M196" s="3154">
        <v>10.130000000000001</v>
      </c>
      <c r="N196" s="3149" t="s">
        <v>4270</v>
      </c>
    </row>
    <row r="197" spans="1:14">
      <c r="A197" s="3149">
        <v>195</v>
      </c>
      <c r="B197" s="3153" t="s">
        <v>3511</v>
      </c>
      <c r="C197" s="3153" t="s">
        <v>3705</v>
      </c>
      <c r="D197" s="3153">
        <v>36.56</v>
      </c>
      <c r="E197" s="3154">
        <v>11.21</v>
      </c>
      <c r="F197" s="3149" t="s">
        <v>4270</v>
      </c>
      <c r="I197" s="3149">
        <v>195</v>
      </c>
      <c r="J197" s="3153" t="s">
        <v>3932</v>
      </c>
      <c r="K197" s="3153" t="s">
        <v>4126</v>
      </c>
      <c r="L197" s="3153">
        <v>41.97</v>
      </c>
      <c r="M197" s="3154">
        <v>9.7100000000000009</v>
      </c>
      <c r="N197" s="3149" t="s">
        <v>4270</v>
      </c>
    </row>
    <row r="198" spans="1:14">
      <c r="A198" s="3149">
        <v>196</v>
      </c>
      <c r="B198" s="3153" t="s">
        <v>3511</v>
      </c>
      <c r="C198" s="3153" t="s">
        <v>3706</v>
      </c>
      <c r="D198" s="3153">
        <v>38.130000000000003</v>
      </c>
      <c r="E198" s="3154">
        <v>11.69</v>
      </c>
      <c r="F198" s="3149" t="s">
        <v>4270</v>
      </c>
      <c r="I198" s="3149">
        <v>196</v>
      </c>
      <c r="J198" s="3153" t="s">
        <v>3932</v>
      </c>
      <c r="K198" s="3153" t="s">
        <v>4127</v>
      </c>
      <c r="L198" s="3153">
        <v>41.97</v>
      </c>
      <c r="M198" s="3154">
        <v>9.7100000000000009</v>
      </c>
      <c r="N198" s="3149" t="s">
        <v>4270</v>
      </c>
    </row>
    <row r="199" spans="1:14">
      <c r="A199" s="3149">
        <v>197</v>
      </c>
      <c r="B199" s="3153" t="s">
        <v>3511</v>
      </c>
      <c r="C199" s="3153" t="s">
        <v>3707</v>
      </c>
      <c r="D199" s="3153">
        <v>36.56</v>
      </c>
      <c r="E199" s="3154">
        <v>11.21</v>
      </c>
      <c r="F199" s="3149" t="s">
        <v>4270</v>
      </c>
      <c r="I199" s="3149">
        <v>197</v>
      </c>
      <c r="J199" s="3153" t="s">
        <v>3932</v>
      </c>
      <c r="K199" s="3153" t="s">
        <v>4128</v>
      </c>
      <c r="L199" s="3153">
        <v>43.78</v>
      </c>
      <c r="M199" s="3154">
        <v>10.130000000000001</v>
      </c>
      <c r="N199" s="3149" t="s">
        <v>4270</v>
      </c>
    </row>
    <row r="200" spans="1:14">
      <c r="A200" s="3149">
        <v>198</v>
      </c>
      <c r="B200" s="3153" t="s">
        <v>3511</v>
      </c>
      <c r="C200" s="3153" t="s">
        <v>3708</v>
      </c>
      <c r="D200" s="3153">
        <v>66.73</v>
      </c>
      <c r="E200" s="3154">
        <v>20.46</v>
      </c>
      <c r="F200" s="3149" t="s">
        <v>4270</v>
      </c>
      <c r="I200" s="3149">
        <v>198</v>
      </c>
      <c r="J200" s="3153" t="s">
        <v>3932</v>
      </c>
      <c r="K200" s="3153" t="s">
        <v>4129</v>
      </c>
      <c r="L200" s="3153">
        <v>41.97</v>
      </c>
      <c r="M200" s="3154">
        <v>9.7100000000000009</v>
      </c>
      <c r="N200" s="3149" t="s">
        <v>4270</v>
      </c>
    </row>
    <row r="201" spans="1:14">
      <c r="A201" s="3149">
        <v>199</v>
      </c>
      <c r="B201" s="3153" t="s">
        <v>3511</v>
      </c>
      <c r="C201" s="3153" t="s">
        <v>3709</v>
      </c>
      <c r="D201" s="3153">
        <v>36.56</v>
      </c>
      <c r="E201" s="3154">
        <v>11.21</v>
      </c>
      <c r="F201" s="3149" t="s">
        <v>4270</v>
      </c>
      <c r="I201" s="3149">
        <v>199</v>
      </c>
      <c r="J201" s="3153" t="s">
        <v>3932</v>
      </c>
      <c r="K201" s="3153" t="s">
        <v>4130</v>
      </c>
      <c r="L201" s="3153">
        <v>41.97</v>
      </c>
      <c r="M201" s="3154">
        <v>9.7100000000000009</v>
      </c>
      <c r="N201" s="3149" t="s">
        <v>4270</v>
      </c>
    </row>
    <row r="202" spans="1:14">
      <c r="A202" s="3149">
        <v>200</v>
      </c>
      <c r="B202" s="3153" t="s">
        <v>3511</v>
      </c>
      <c r="C202" s="3153" t="s">
        <v>3710</v>
      </c>
      <c r="D202" s="3153">
        <v>36.56</v>
      </c>
      <c r="E202" s="3154">
        <v>11.21</v>
      </c>
      <c r="F202" s="3149" t="s">
        <v>4270</v>
      </c>
      <c r="I202" s="3149">
        <v>200</v>
      </c>
      <c r="J202" s="3153" t="s">
        <v>3932</v>
      </c>
      <c r="K202" s="3153" t="s">
        <v>4131</v>
      </c>
      <c r="L202" s="3153">
        <v>43.78</v>
      </c>
      <c r="M202" s="3154">
        <v>10.130000000000001</v>
      </c>
      <c r="N202" s="3149" t="s">
        <v>4270</v>
      </c>
    </row>
    <row r="203" spans="1:14">
      <c r="A203" s="3149">
        <v>201</v>
      </c>
      <c r="B203" s="3153" t="s">
        <v>3511</v>
      </c>
      <c r="C203" s="3153" t="s">
        <v>3711</v>
      </c>
      <c r="D203" s="3153">
        <v>38.130000000000003</v>
      </c>
      <c r="E203" s="3154">
        <v>11.69</v>
      </c>
      <c r="F203" s="3149" t="s">
        <v>4270</v>
      </c>
      <c r="I203" s="3149">
        <v>201</v>
      </c>
      <c r="J203" s="3153" t="s">
        <v>3932</v>
      </c>
      <c r="K203" s="3153" t="s">
        <v>4132</v>
      </c>
      <c r="L203" s="3153">
        <v>41.97</v>
      </c>
      <c r="M203" s="3154">
        <v>9.7100000000000009</v>
      </c>
      <c r="N203" s="3149" t="s">
        <v>4270</v>
      </c>
    </row>
    <row r="204" spans="1:14">
      <c r="A204" s="3149">
        <v>202</v>
      </c>
      <c r="B204" s="3153" t="s">
        <v>3511</v>
      </c>
      <c r="C204" s="3153" t="s">
        <v>3712</v>
      </c>
      <c r="D204" s="3153">
        <v>36.56</v>
      </c>
      <c r="E204" s="3154">
        <v>11.21</v>
      </c>
      <c r="F204" s="3149" t="s">
        <v>4270</v>
      </c>
      <c r="I204" s="3149">
        <v>202</v>
      </c>
      <c r="J204" s="3153" t="s">
        <v>3932</v>
      </c>
      <c r="K204" s="3153" t="s">
        <v>4133</v>
      </c>
      <c r="L204" s="3153">
        <v>41.97</v>
      </c>
      <c r="M204" s="3154">
        <v>9.7100000000000009</v>
      </c>
      <c r="N204" s="3149" t="s">
        <v>4270</v>
      </c>
    </row>
    <row r="205" spans="1:14">
      <c r="A205" s="3149">
        <v>203</v>
      </c>
      <c r="B205" s="3153" t="s">
        <v>3511</v>
      </c>
      <c r="C205" s="3153" t="s">
        <v>3713</v>
      </c>
      <c r="D205" s="3153">
        <v>36.56</v>
      </c>
      <c r="E205" s="3154">
        <v>11.21</v>
      </c>
      <c r="F205" s="3149" t="s">
        <v>4270</v>
      </c>
      <c r="I205" s="3149">
        <v>203</v>
      </c>
      <c r="J205" s="3153" t="s">
        <v>3932</v>
      </c>
      <c r="K205" s="3153" t="s">
        <v>4134</v>
      </c>
      <c r="L205" s="3153">
        <v>43.78</v>
      </c>
      <c r="M205" s="3154">
        <v>10.130000000000001</v>
      </c>
      <c r="N205" s="3149" t="s">
        <v>4270</v>
      </c>
    </row>
    <row r="206" spans="1:14">
      <c r="A206" s="3149">
        <v>204</v>
      </c>
      <c r="B206" s="3153" t="s">
        <v>3511</v>
      </c>
      <c r="C206" s="3153" t="s">
        <v>3714</v>
      </c>
      <c r="D206" s="3153">
        <v>38.130000000000003</v>
      </c>
      <c r="E206" s="3154">
        <v>11.69</v>
      </c>
      <c r="F206" s="3149" t="s">
        <v>4270</v>
      </c>
      <c r="I206" s="3149">
        <v>204</v>
      </c>
      <c r="J206" s="3153" t="s">
        <v>3932</v>
      </c>
      <c r="K206" s="3153" t="s">
        <v>4135</v>
      </c>
      <c r="L206" s="3153">
        <v>41.97</v>
      </c>
      <c r="M206" s="3154">
        <v>9.7100000000000009</v>
      </c>
      <c r="N206" s="3149" t="s">
        <v>4270</v>
      </c>
    </row>
    <row r="207" spans="1:14">
      <c r="A207" s="3149">
        <v>205</v>
      </c>
      <c r="B207" s="3153" t="s">
        <v>3511</v>
      </c>
      <c r="C207" s="3153" t="s">
        <v>3715</v>
      </c>
      <c r="D207" s="3153">
        <v>36.56</v>
      </c>
      <c r="E207" s="3154">
        <v>11.21</v>
      </c>
      <c r="F207" s="3149" t="s">
        <v>4270</v>
      </c>
      <c r="I207" s="3149">
        <v>205</v>
      </c>
      <c r="J207" s="3153" t="s">
        <v>3932</v>
      </c>
      <c r="K207" s="3153" t="s">
        <v>4136</v>
      </c>
      <c r="L207" s="3153">
        <v>41.97</v>
      </c>
      <c r="M207" s="3154">
        <v>9.7100000000000009</v>
      </c>
      <c r="N207" s="3149" t="s">
        <v>4270</v>
      </c>
    </row>
    <row r="208" spans="1:14">
      <c r="A208" s="3149">
        <v>206</v>
      </c>
      <c r="B208" s="3153" t="s">
        <v>3511</v>
      </c>
      <c r="C208" s="3153" t="s">
        <v>3716</v>
      </c>
      <c r="D208" s="3153">
        <v>36.56</v>
      </c>
      <c r="E208" s="3154">
        <v>11.21</v>
      </c>
      <c r="F208" s="3149" t="s">
        <v>4270</v>
      </c>
      <c r="I208" s="3149">
        <v>206</v>
      </c>
      <c r="J208" s="3153" t="s">
        <v>3932</v>
      </c>
      <c r="K208" s="3153" t="s">
        <v>4137</v>
      </c>
      <c r="L208" s="3153">
        <v>43.78</v>
      </c>
      <c r="M208" s="3154">
        <v>10.130000000000001</v>
      </c>
      <c r="N208" s="3149" t="s">
        <v>4270</v>
      </c>
    </row>
    <row r="209" spans="1:14">
      <c r="A209" s="3149">
        <v>207</v>
      </c>
      <c r="B209" s="3153" t="s">
        <v>3511</v>
      </c>
      <c r="C209" s="3153" t="s">
        <v>3717</v>
      </c>
      <c r="D209" s="3153">
        <v>38.130000000000003</v>
      </c>
      <c r="E209" s="3154">
        <v>11.69</v>
      </c>
      <c r="F209" s="3149" t="s">
        <v>4270</v>
      </c>
      <c r="I209" s="3149">
        <v>207</v>
      </c>
      <c r="J209" s="3153" t="s">
        <v>3932</v>
      </c>
      <c r="K209" s="3153" t="s">
        <v>4138</v>
      </c>
      <c r="L209" s="3153">
        <v>41.97</v>
      </c>
      <c r="M209" s="3154">
        <v>9.7100000000000009</v>
      </c>
      <c r="N209" s="3149" t="s">
        <v>4270</v>
      </c>
    </row>
    <row r="210" spans="1:14">
      <c r="A210" s="3149">
        <v>208</v>
      </c>
      <c r="B210" s="3153" t="s">
        <v>3511</v>
      </c>
      <c r="C210" s="3153" t="s">
        <v>3718</v>
      </c>
      <c r="D210" s="3153">
        <v>36.56</v>
      </c>
      <c r="E210" s="3154">
        <v>11.21</v>
      </c>
      <c r="F210" s="3149" t="s">
        <v>4270</v>
      </c>
      <c r="I210" s="3149">
        <v>208</v>
      </c>
      <c r="J210" s="3153" t="s">
        <v>3932</v>
      </c>
      <c r="K210" s="3153" t="s">
        <v>4139</v>
      </c>
      <c r="L210" s="3153">
        <v>41.97</v>
      </c>
      <c r="M210" s="3154">
        <v>9.7100000000000009</v>
      </c>
      <c r="N210" s="3149" t="s">
        <v>4270</v>
      </c>
    </row>
    <row r="211" spans="1:14">
      <c r="A211" s="3149">
        <v>209</v>
      </c>
      <c r="B211" s="3153" t="s">
        <v>3511</v>
      </c>
      <c r="C211" s="3153" t="s">
        <v>3719</v>
      </c>
      <c r="D211" s="3153">
        <v>36.56</v>
      </c>
      <c r="E211" s="3154">
        <v>11.21</v>
      </c>
      <c r="F211" s="3149" t="s">
        <v>4270</v>
      </c>
      <c r="I211" s="3149">
        <v>209</v>
      </c>
      <c r="J211" s="3153" t="s">
        <v>3932</v>
      </c>
      <c r="K211" s="3153" t="s">
        <v>4140</v>
      </c>
      <c r="L211" s="3153">
        <v>43.78</v>
      </c>
      <c r="M211" s="3154">
        <v>10.130000000000001</v>
      </c>
      <c r="N211" s="3149" t="s">
        <v>4270</v>
      </c>
    </row>
    <row r="212" spans="1:14">
      <c r="A212" s="3149">
        <v>210</v>
      </c>
      <c r="B212" s="3153" t="s">
        <v>3511</v>
      </c>
      <c r="C212" s="3153" t="s">
        <v>3720</v>
      </c>
      <c r="D212" s="3153">
        <v>38.130000000000003</v>
      </c>
      <c r="E212" s="3154">
        <v>11.69</v>
      </c>
      <c r="F212" s="3149" t="s">
        <v>4270</v>
      </c>
      <c r="I212" s="3149">
        <v>210</v>
      </c>
      <c r="J212" s="3153" t="s">
        <v>3932</v>
      </c>
      <c r="K212" s="3153" t="s">
        <v>4141</v>
      </c>
      <c r="L212" s="3153">
        <v>41.97</v>
      </c>
      <c r="M212" s="3154">
        <v>9.7100000000000009</v>
      </c>
      <c r="N212" s="3149" t="s">
        <v>4270</v>
      </c>
    </row>
    <row r="213" spans="1:14">
      <c r="A213" s="3149">
        <v>211</v>
      </c>
      <c r="B213" s="3153" t="s">
        <v>3511</v>
      </c>
      <c r="C213" s="3153" t="s">
        <v>3721</v>
      </c>
      <c r="D213" s="3153">
        <v>36.56</v>
      </c>
      <c r="E213" s="3154">
        <v>11.21</v>
      </c>
      <c r="F213" s="3149" t="s">
        <v>4270</v>
      </c>
      <c r="I213" s="3149">
        <v>211</v>
      </c>
      <c r="J213" s="3153" t="s">
        <v>3932</v>
      </c>
      <c r="K213" s="3153" t="s">
        <v>4142</v>
      </c>
      <c r="L213" s="3153">
        <v>41.97</v>
      </c>
      <c r="M213" s="3154">
        <v>9.7100000000000009</v>
      </c>
      <c r="N213" s="3149" t="s">
        <v>4270</v>
      </c>
    </row>
    <row r="214" spans="1:14">
      <c r="A214" s="3149">
        <v>212</v>
      </c>
      <c r="B214" s="3153" t="s">
        <v>3511</v>
      </c>
      <c r="C214" s="3153" t="s">
        <v>3722</v>
      </c>
      <c r="D214" s="3153">
        <v>36.56</v>
      </c>
      <c r="E214" s="3154">
        <v>11.21</v>
      </c>
      <c r="F214" s="3149" t="s">
        <v>4270</v>
      </c>
      <c r="I214" s="3149">
        <v>212</v>
      </c>
      <c r="J214" s="3153" t="s">
        <v>3932</v>
      </c>
      <c r="K214" s="3153" t="s">
        <v>4143</v>
      </c>
      <c r="L214" s="3153">
        <v>43.78</v>
      </c>
      <c r="M214" s="3154">
        <v>10.130000000000001</v>
      </c>
      <c r="N214" s="3149" t="s">
        <v>4270</v>
      </c>
    </row>
    <row r="215" spans="1:14">
      <c r="A215" s="3149">
        <v>213</v>
      </c>
      <c r="B215" s="3153" t="s">
        <v>3511</v>
      </c>
      <c r="C215" s="3153" t="s">
        <v>3723</v>
      </c>
      <c r="D215" s="3153">
        <v>38.130000000000003</v>
      </c>
      <c r="E215" s="3154">
        <v>11.69</v>
      </c>
      <c r="F215" s="3149" t="s">
        <v>4270</v>
      </c>
      <c r="I215" s="3149">
        <v>213</v>
      </c>
      <c r="J215" s="3153" t="s">
        <v>3932</v>
      </c>
      <c r="K215" s="3153" t="s">
        <v>4144</v>
      </c>
      <c r="L215" s="3153">
        <v>41.97</v>
      </c>
      <c r="M215" s="3154">
        <v>9.7100000000000009</v>
      </c>
      <c r="N215" s="3149" t="s">
        <v>4270</v>
      </c>
    </row>
    <row r="216" spans="1:14">
      <c r="A216" s="3149">
        <v>214</v>
      </c>
      <c r="B216" s="3153" t="s">
        <v>3511</v>
      </c>
      <c r="C216" s="3153" t="s">
        <v>3724</v>
      </c>
      <c r="D216" s="3153">
        <v>36.56</v>
      </c>
      <c r="E216" s="3154">
        <v>11.21</v>
      </c>
      <c r="F216" s="3149" t="s">
        <v>4270</v>
      </c>
      <c r="I216" s="3149">
        <v>214</v>
      </c>
      <c r="J216" s="3153" t="s">
        <v>3932</v>
      </c>
      <c r="K216" s="3153" t="s">
        <v>4145</v>
      </c>
      <c r="L216" s="3153">
        <v>41.97</v>
      </c>
      <c r="M216" s="3154">
        <v>9.7100000000000009</v>
      </c>
      <c r="N216" s="3149" t="s">
        <v>4270</v>
      </c>
    </row>
    <row r="217" spans="1:14">
      <c r="A217" s="3149">
        <v>215</v>
      </c>
      <c r="B217" s="3153" t="s">
        <v>3511</v>
      </c>
      <c r="C217" s="3153" t="s">
        <v>3725</v>
      </c>
      <c r="D217" s="3153">
        <v>36.56</v>
      </c>
      <c r="E217" s="3154">
        <v>11.21</v>
      </c>
      <c r="F217" s="3149" t="s">
        <v>4270</v>
      </c>
      <c r="I217" s="3149">
        <v>215</v>
      </c>
      <c r="J217" s="3153" t="s">
        <v>3932</v>
      </c>
      <c r="K217" s="3153" t="s">
        <v>4146</v>
      </c>
      <c r="L217" s="3153">
        <v>43.78</v>
      </c>
      <c r="M217" s="3154">
        <v>10.130000000000001</v>
      </c>
      <c r="N217" s="3149" t="s">
        <v>4270</v>
      </c>
    </row>
    <row r="218" spans="1:14">
      <c r="A218" s="3149">
        <v>216</v>
      </c>
      <c r="B218" s="3153" t="s">
        <v>3511</v>
      </c>
      <c r="C218" s="3153" t="s">
        <v>3726</v>
      </c>
      <c r="D218" s="3153">
        <v>38.130000000000003</v>
      </c>
      <c r="E218" s="3154">
        <v>11.69</v>
      </c>
      <c r="F218" s="3149" t="s">
        <v>4270</v>
      </c>
      <c r="I218" s="3149">
        <v>216</v>
      </c>
      <c r="J218" s="3153" t="s">
        <v>3932</v>
      </c>
      <c r="K218" s="3153" t="s">
        <v>4147</v>
      </c>
      <c r="L218" s="3153">
        <v>41.97</v>
      </c>
      <c r="M218" s="3154">
        <v>9.7100000000000009</v>
      </c>
      <c r="N218" s="3149" t="s">
        <v>4270</v>
      </c>
    </row>
    <row r="219" spans="1:14">
      <c r="A219" s="3149">
        <v>217</v>
      </c>
      <c r="B219" s="3153" t="s">
        <v>3511</v>
      </c>
      <c r="C219" s="3153" t="s">
        <v>3727</v>
      </c>
      <c r="D219" s="3153">
        <v>36.56</v>
      </c>
      <c r="E219" s="3154">
        <v>11.21</v>
      </c>
      <c r="F219" s="3149" t="s">
        <v>4270</v>
      </c>
      <c r="I219" s="3149">
        <v>217</v>
      </c>
      <c r="J219" s="3153" t="s">
        <v>3932</v>
      </c>
      <c r="K219" s="3153" t="s">
        <v>4148</v>
      </c>
      <c r="L219" s="3153">
        <v>41.97</v>
      </c>
      <c r="M219" s="3154">
        <v>9.7100000000000009</v>
      </c>
      <c r="N219" s="3149" t="s">
        <v>4270</v>
      </c>
    </row>
    <row r="220" spans="1:14">
      <c r="A220" s="3149">
        <v>218</v>
      </c>
      <c r="B220" s="3153" t="s">
        <v>3511</v>
      </c>
      <c r="C220" s="3153" t="s">
        <v>3728</v>
      </c>
      <c r="D220" s="3153">
        <v>36.56</v>
      </c>
      <c r="E220" s="3154">
        <v>11.21</v>
      </c>
      <c r="F220" s="3149" t="s">
        <v>4270</v>
      </c>
      <c r="I220" s="3149">
        <v>218</v>
      </c>
      <c r="J220" s="3153" t="s">
        <v>3932</v>
      </c>
      <c r="K220" s="3153" t="s">
        <v>4149</v>
      </c>
      <c r="L220" s="3153">
        <v>43.78</v>
      </c>
      <c r="M220" s="3154">
        <v>10.130000000000001</v>
      </c>
      <c r="N220" s="3149" t="s">
        <v>4270</v>
      </c>
    </row>
    <row r="221" spans="1:14">
      <c r="A221" s="3149">
        <v>219</v>
      </c>
      <c r="B221" s="3153" t="s">
        <v>3511</v>
      </c>
      <c r="C221" s="3153" t="s">
        <v>3729</v>
      </c>
      <c r="D221" s="3153">
        <v>38.130000000000003</v>
      </c>
      <c r="E221" s="3154">
        <v>11.69</v>
      </c>
      <c r="F221" s="3149" t="s">
        <v>4270</v>
      </c>
      <c r="I221" s="3149">
        <v>219</v>
      </c>
      <c r="J221" s="3153" t="s">
        <v>3932</v>
      </c>
      <c r="K221" s="3153" t="s">
        <v>4150</v>
      </c>
      <c r="L221" s="3153">
        <v>41.97</v>
      </c>
      <c r="M221" s="3154">
        <v>9.7100000000000009</v>
      </c>
      <c r="N221" s="3149" t="s">
        <v>4270</v>
      </c>
    </row>
    <row r="222" spans="1:14">
      <c r="A222" s="3149">
        <v>220</v>
      </c>
      <c r="B222" s="3153" t="s">
        <v>3511</v>
      </c>
      <c r="C222" s="3153" t="s">
        <v>3730</v>
      </c>
      <c r="D222" s="3153">
        <v>36.56</v>
      </c>
      <c r="E222" s="3154">
        <v>11.21</v>
      </c>
      <c r="F222" s="3149" t="s">
        <v>4270</v>
      </c>
      <c r="I222" s="3149">
        <v>220</v>
      </c>
      <c r="J222" s="3153" t="s">
        <v>3932</v>
      </c>
      <c r="K222" s="3153" t="s">
        <v>4151</v>
      </c>
      <c r="L222" s="3153">
        <v>41.97</v>
      </c>
      <c r="M222" s="3154">
        <v>9.7100000000000009</v>
      </c>
      <c r="N222" s="3149" t="s">
        <v>4270</v>
      </c>
    </row>
    <row r="223" spans="1:14">
      <c r="A223" s="3149">
        <v>221</v>
      </c>
      <c r="B223" s="3153" t="s">
        <v>3511</v>
      </c>
      <c r="C223" s="3153" t="s">
        <v>3731</v>
      </c>
      <c r="D223" s="3153">
        <v>36.56</v>
      </c>
      <c r="E223" s="3154">
        <v>11.21</v>
      </c>
      <c r="F223" s="3149" t="s">
        <v>4270</v>
      </c>
      <c r="I223" s="3149">
        <v>221</v>
      </c>
      <c r="J223" s="3153" t="s">
        <v>3932</v>
      </c>
      <c r="K223" s="3153" t="s">
        <v>4152</v>
      </c>
      <c r="L223" s="3153">
        <v>41.97</v>
      </c>
      <c r="M223" s="3154">
        <v>9.7100000000000009</v>
      </c>
      <c r="N223" s="3149" t="s">
        <v>4270</v>
      </c>
    </row>
    <row r="224" spans="1:14">
      <c r="A224" s="3149">
        <v>222</v>
      </c>
      <c r="B224" s="3153" t="s">
        <v>3511</v>
      </c>
      <c r="C224" s="3153" t="s">
        <v>3732</v>
      </c>
      <c r="D224" s="3153">
        <v>38.130000000000003</v>
      </c>
      <c r="E224" s="3154">
        <v>11.69</v>
      </c>
      <c r="F224" s="3149" t="s">
        <v>4270</v>
      </c>
      <c r="I224" s="3149">
        <v>222</v>
      </c>
      <c r="J224" s="3153" t="s">
        <v>3932</v>
      </c>
      <c r="K224" s="3153" t="s">
        <v>4153</v>
      </c>
      <c r="L224" s="3153">
        <v>41.97</v>
      </c>
      <c r="M224" s="3154">
        <v>9.7100000000000009</v>
      </c>
      <c r="N224" s="3149" t="s">
        <v>4270</v>
      </c>
    </row>
    <row r="225" spans="1:14">
      <c r="A225" s="3149">
        <v>223</v>
      </c>
      <c r="B225" s="3153" t="s">
        <v>3511</v>
      </c>
      <c r="C225" s="3153" t="s">
        <v>3733</v>
      </c>
      <c r="D225" s="3153">
        <v>38.130000000000003</v>
      </c>
      <c r="E225" s="3154">
        <v>11.69</v>
      </c>
      <c r="F225" s="3149" t="s">
        <v>4270</v>
      </c>
      <c r="I225" s="3149">
        <v>223</v>
      </c>
      <c r="J225" s="3153" t="s">
        <v>3932</v>
      </c>
      <c r="K225" s="3153" t="s">
        <v>4154</v>
      </c>
      <c r="L225" s="3153">
        <v>41.97</v>
      </c>
      <c r="M225" s="3154">
        <v>9.7100000000000009</v>
      </c>
      <c r="N225" s="3149" t="s">
        <v>4270</v>
      </c>
    </row>
    <row r="226" spans="1:14">
      <c r="A226" s="3149">
        <v>224</v>
      </c>
      <c r="B226" s="3153" t="s">
        <v>3511</v>
      </c>
      <c r="C226" s="3153" t="s">
        <v>3734</v>
      </c>
      <c r="D226" s="3153">
        <v>38.130000000000003</v>
      </c>
      <c r="E226" s="3154">
        <v>11.69</v>
      </c>
      <c r="F226" s="3149" t="s">
        <v>4270</v>
      </c>
      <c r="I226" s="3149">
        <v>224</v>
      </c>
      <c r="J226" s="3153" t="s">
        <v>3932</v>
      </c>
      <c r="K226" s="3153" t="s">
        <v>4155</v>
      </c>
      <c r="L226" s="3153">
        <v>41.97</v>
      </c>
      <c r="M226" s="3154">
        <v>9.7100000000000009</v>
      </c>
      <c r="N226" s="3149" t="s">
        <v>4270</v>
      </c>
    </row>
    <row r="227" spans="1:14">
      <c r="A227" s="3149">
        <v>225</v>
      </c>
      <c r="B227" s="3153" t="s">
        <v>3511</v>
      </c>
      <c r="C227" s="3153" t="s">
        <v>3735</v>
      </c>
      <c r="D227" s="3153">
        <v>38.130000000000003</v>
      </c>
      <c r="E227" s="3154">
        <v>11.69</v>
      </c>
      <c r="F227" s="3149" t="s">
        <v>4270</v>
      </c>
      <c r="I227" s="3149">
        <v>225</v>
      </c>
      <c r="J227" s="3153" t="s">
        <v>3932</v>
      </c>
      <c r="K227" s="3153" t="s">
        <v>4156</v>
      </c>
      <c r="L227" s="3153">
        <v>41.97</v>
      </c>
      <c r="M227" s="3154">
        <v>9.7100000000000009</v>
      </c>
      <c r="N227" s="3149" t="s">
        <v>4270</v>
      </c>
    </row>
    <row r="228" spans="1:14">
      <c r="A228" s="3149">
        <v>226</v>
      </c>
      <c r="B228" s="3153" t="s">
        <v>3511</v>
      </c>
      <c r="C228" s="3153" t="s">
        <v>3736</v>
      </c>
      <c r="D228" s="3153">
        <v>36.56</v>
      </c>
      <c r="E228" s="3154">
        <v>11.21</v>
      </c>
      <c r="F228" s="3149" t="s">
        <v>4270</v>
      </c>
      <c r="I228" s="3149">
        <v>226</v>
      </c>
      <c r="J228" s="3153" t="s">
        <v>3932</v>
      </c>
      <c r="K228" s="3153" t="s">
        <v>4157</v>
      </c>
      <c r="L228" s="3153">
        <v>41.97</v>
      </c>
      <c r="M228" s="3154">
        <v>9.7100000000000009</v>
      </c>
      <c r="N228" s="3149" t="s">
        <v>4270</v>
      </c>
    </row>
    <row r="229" spans="1:14">
      <c r="A229" s="3149">
        <v>227</v>
      </c>
      <c r="B229" s="3153" t="s">
        <v>3511</v>
      </c>
      <c r="C229" s="3153" t="s">
        <v>3737</v>
      </c>
      <c r="D229" s="3153">
        <v>36.56</v>
      </c>
      <c r="E229" s="3154">
        <v>11.21</v>
      </c>
      <c r="F229" s="3149" t="s">
        <v>4270</v>
      </c>
      <c r="I229" s="3149">
        <v>227</v>
      </c>
      <c r="J229" s="3153" t="s">
        <v>3932</v>
      </c>
      <c r="K229" s="3153" t="s">
        <v>4158</v>
      </c>
      <c r="L229" s="3153">
        <v>43.78</v>
      </c>
      <c r="M229" s="3154">
        <v>10.130000000000001</v>
      </c>
      <c r="N229" s="3149" t="s">
        <v>4270</v>
      </c>
    </row>
    <row r="230" spans="1:14">
      <c r="A230" s="3149">
        <v>228</v>
      </c>
      <c r="B230" s="3153" t="s">
        <v>3511</v>
      </c>
      <c r="C230" s="3153" t="s">
        <v>3738</v>
      </c>
      <c r="D230" s="3153">
        <v>38.130000000000003</v>
      </c>
      <c r="E230" s="3154">
        <v>11.69</v>
      </c>
      <c r="F230" s="3149" t="s">
        <v>4270</v>
      </c>
      <c r="I230" s="3149">
        <v>228</v>
      </c>
      <c r="J230" s="3153" t="s">
        <v>3932</v>
      </c>
      <c r="K230" s="3153" t="s">
        <v>4159</v>
      </c>
      <c r="L230" s="3153">
        <v>41.97</v>
      </c>
      <c r="M230" s="3154">
        <v>9.7100000000000009</v>
      </c>
      <c r="N230" s="3149" t="s">
        <v>4270</v>
      </c>
    </row>
    <row r="231" spans="1:14">
      <c r="A231" s="3149">
        <v>229</v>
      </c>
      <c r="B231" s="3153" t="s">
        <v>3511</v>
      </c>
      <c r="C231" s="3153" t="s">
        <v>3739</v>
      </c>
      <c r="D231" s="3153">
        <v>36.56</v>
      </c>
      <c r="E231" s="3154">
        <v>11.21</v>
      </c>
      <c r="F231" s="3149" t="s">
        <v>4270</v>
      </c>
      <c r="I231" s="3149">
        <v>229</v>
      </c>
      <c r="J231" s="3153" t="s">
        <v>3932</v>
      </c>
      <c r="K231" s="3153" t="s">
        <v>4160</v>
      </c>
      <c r="L231" s="3153">
        <v>41.97</v>
      </c>
      <c r="M231" s="3154">
        <v>9.7100000000000009</v>
      </c>
      <c r="N231" s="3149" t="s">
        <v>4270</v>
      </c>
    </row>
    <row r="232" spans="1:14">
      <c r="A232" s="3149">
        <v>230</v>
      </c>
      <c r="B232" s="3153" t="s">
        <v>3511</v>
      </c>
      <c r="C232" s="3153" t="s">
        <v>3740</v>
      </c>
      <c r="D232" s="3153">
        <v>36.56</v>
      </c>
      <c r="E232" s="3154">
        <v>11.21</v>
      </c>
      <c r="F232" s="3149" t="s">
        <v>4270</v>
      </c>
      <c r="I232" s="3149">
        <v>230</v>
      </c>
      <c r="J232" s="3153" t="s">
        <v>3932</v>
      </c>
      <c r="K232" s="3153" t="s">
        <v>4161</v>
      </c>
      <c r="L232" s="3153">
        <v>43.78</v>
      </c>
      <c r="M232" s="3154">
        <v>10.130000000000001</v>
      </c>
      <c r="N232" s="3149" t="s">
        <v>4270</v>
      </c>
    </row>
    <row r="233" spans="1:14">
      <c r="A233" s="3149">
        <v>231</v>
      </c>
      <c r="B233" s="3153" t="s">
        <v>3511</v>
      </c>
      <c r="C233" s="3153" t="s">
        <v>3741</v>
      </c>
      <c r="D233" s="3153">
        <v>38.130000000000003</v>
      </c>
      <c r="E233" s="3154">
        <v>11.69</v>
      </c>
      <c r="F233" s="3149" t="s">
        <v>4270</v>
      </c>
      <c r="I233" s="3149">
        <v>231</v>
      </c>
      <c r="J233" s="3153" t="s">
        <v>3932</v>
      </c>
      <c r="K233" s="3153" t="s">
        <v>4162</v>
      </c>
      <c r="L233" s="3153">
        <v>41.97</v>
      </c>
      <c r="M233" s="3154">
        <v>9.7100000000000009</v>
      </c>
      <c r="N233" s="3149" t="s">
        <v>4270</v>
      </c>
    </row>
    <row r="234" spans="1:14">
      <c r="A234" s="3149">
        <v>232</v>
      </c>
      <c r="B234" s="3153" t="s">
        <v>3511</v>
      </c>
      <c r="C234" s="3153" t="s">
        <v>3742</v>
      </c>
      <c r="D234" s="3153">
        <v>36.56</v>
      </c>
      <c r="E234" s="3154">
        <v>11.21</v>
      </c>
      <c r="F234" s="3149" t="s">
        <v>4270</v>
      </c>
      <c r="I234" s="3149">
        <v>232</v>
      </c>
      <c r="J234" s="3153" t="s">
        <v>3932</v>
      </c>
      <c r="K234" s="3153" t="s">
        <v>4163</v>
      </c>
      <c r="L234" s="3153">
        <v>41.97</v>
      </c>
      <c r="M234" s="3154">
        <v>9.7100000000000009</v>
      </c>
      <c r="N234" s="3149" t="s">
        <v>4270</v>
      </c>
    </row>
    <row r="235" spans="1:14">
      <c r="A235" s="3149">
        <v>233</v>
      </c>
      <c r="B235" s="3153" t="s">
        <v>3511</v>
      </c>
      <c r="C235" s="3153" t="s">
        <v>3743</v>
      </c>
      <c r="D235" s="3153">
        <v>36.56</v>
      </c>
      <c r="E235" s="3154">
        <v>11.21</v>
      </c>
      <c r="F235" s="3149" t="s">
        <v>4270</v>
      </c>
      <c r="I235" s="3149">
        <v>233</v>
      </c>
      <c r="J235" s="3153" t="s">
        <v>3932</v>
      </c>
      <c r="K235" s="3153" t="s">
        <v>4164</v>
      </c>
      <c r="L235" s="3153">
        <v>43.78</v>
      </c>
      <c r="M235" s="3154">
        <v>10.130000000000001</v>
      </c>
      <c r="N235" s="3149" t="s">
        <v>4270</v>
      </c>
    </row>
    <row r="236" spans="1:14">
      <c r="A236" s="3149">
        <v>234</v>
      </c>
      <c r="B236" s="3153" t="s">
        <v>3511</v>
      </c>
      <c r="C236" s="3153" t="s">
        <v>3744</v>
      </c>
      <c r="D236" s="3153">
        <v>38.130000000000003</v>
      </c>
      <c r="E236" s="3154">
        <v>11.69</v>
      </c>
      <c r="F236" s="3149" t="s">
        <v>4270</v>
      </c>
      <c r="I236" s="3149">
        <v>234</v>
      </c>
      <c r="J236" s="3153" t="s">
        <v>3932</v>
      </c>
      <c r="K236" s="3153" t="s">
        <v>4165</v>
      </c>
      <c r="L236" s="3153">
        <v>41.97</v>
      </c>
      <c r="M236" s="3154">
        <v>9.7100000000000009</v>
      </c>
      <c r="N236" s="3149" t="s">
        <v>4270</v>
      </c>
    </row>
    <row r="237" spans="1:14">
      <c r="A237" s="3149">
        <v>235</v>
      </c>
      <c r="B237" s="3153" t="s">
        <v>3511</v>
      </c>
      <c r="C237" s="3153" t="s">
        <v>3745</v>
      </c>
      <c r="D237" s="3153">
        <v>36.56</v>
      </c>
      <c r="E237" s="3154">
        <v>11.21</v>
      </c>
      <c r="F237" s="3149" t="s">
        <v>4270</v>
      </c>
      <c r="I237" s="3149">
        <v>235</v>
      </c>
      <c r="J237" s="3153" t="s">
        <v>3932</v>
      </c>
      <c r="K237" s="3153" t="s">
        <v>4166</v>
      </c>
      <c r="L237" s="3153">
        <v>41.97</v>
      </c>
      <c r="M237" s="3154">
        <v>9.7100000000000009</v>
      </c>
      <c r="N237" s="3149" t="s">
        <v>4270</v>
      </c>
    </row>
    <row r="238" spans="1:14">
      <c r="A238" s="3149">
        <v>236</v>
      </c>
      <c r="B238" s="3153" t="s">
        <v>3511</v>
      </c>
      <c r="C238" s="3153" t="s">
        <v>3746</v>
      </c>
      <c r="D238" s="3153">
        <v>36.56</v>
      </c>
      <c r="E238" s="3154">
        <v>11.21</v>
      </c>
      <c r="F238" s="3149" t="s">
        <v>4270</v>
      </c>
      <c r="I238" s="3149">
        <v>236</v>
      </c>
      <c r="J238" s="3153" t="s">
        <v>3932</v>
      </c>
      <c r="K238" s="3153" t="s">
        <v>4167</v>
      </c>
      <c r="L238" s="3153">
        <v>43.78</v>
      </c>
      <c r="M238" s="3154">
        <v>10.130000000000001</v>
      </c>
      <c r="N238" s="3149" t="s">
        <v>4270</v>
      </c>
    </row>
    <row r="239" spans="1:14">
      <c r="A239" s="3149">
        <v>237</v>
      </c>
      <c r="B239" s="3153" t="s">
        <v>3511</v>
      </c>
      <c r="C239" s="3153" t="s">
        <v>3747</v>
      </c>
      <c r="D239" s="3153">
        <v>38.130000000000003</v>
      </c>
      <c r="E239" s="3154">
        <v>11.69</v>
      </c>
      <c r="F239" s="3149" t="s">
        <v>4270</v>
      </c>
      <c r="I239" s="3149">
        <v>237</v>
      </c>
      <c r="J239" s="3153" t="s">
        <v>3932</v>
      </c>
      <c r="K239" s="3153" t="s">
        <v>4168</v>
      </c>
      <c r="L239" s="3153">
        <v>41.97</v>
      </c>
      <c r="M239" s="3154">
        <v>9.7100000000000009</v>
      </c>
      <c r="N239" s="3149" t="s">
        <v>4270</v>
      </c>
    </row>
    <row r="240" spans="1:14">
      <c r="A240" s="3149">
        <v>238</v>
      </c>
      <c r="B240" s="3153" t="s">
        <v>3511</v>
      </c>
      <c r="C240" s="3153" t="s">
        <v>3748</v>
      </c>
      <c r="D240" s="3153">
        <v>36.56</v>
      </c>
      <c r="E240" s="3154">
        <v>11.21</v>
      </c>
      <c r="F240" s="3149" t="s">
        <v>4270</v>
      </c>
      <c r="I240" s="3149">
        <v>238</v>
      </c>
      <c r="J240" s="3153" t="s">
        <v>3932</v>
      </c>
      <c r="K240" s="3153" t="s">
        <v>4169</v>
      </c>
      <c r="L240" s="3153">
        <v>41.97</v>
      </c>
      <c r="M240" s="3154">
        <v>9.7100000000000009</v>
      </c>
      <c r="N240" s="3149" t="s">
        <v>4270</v>
      </c>
    </row>
    <row r="241" spans="1:14">
      <c r="A241" s="3149">
        <v>239</v>
      </c>
      <c r="B241" s="3153" t="s">
        <v>3511</v>
      </c>
      <c r="C241" s="3153" t="s">
        <v>3749</v>
      </c>
      <c r="D241" s="3153">
        <v>36.56</v>
      </c>
      <c r="E241" s="3154">
        <v>11.21</v>
      </c>
      <c r="F241" s="3149" t="s">
        <v>4270</v>
      </c>
      <c r="I241" s="3149">
        <v>239</v>
      </c>
      <c r="J241" s="3153" t="s">
        <v>3932</v>
      </c>
      <c r="K241" s="3153" t="s">
        <v>4170</v>
      </c>
      <c r="L241" s="3153">
        <v>41.97</v>
      </c>
      <c r="M241" s="3154">
        <v>9.7100000000000009</v>
      </c>
      <c r="N241" s="3149" t="s">
        <v>4270</v>
      </c>
    </row>
    <row r="242" spans="1:14">
      <c r="A242" s="3149">
        <v>240</v>
      </c>
      <c r="B242" s="3153" t="s">
        <v>3511</v>
      </c>
      <c r="C242" s="3153" t="s">
        <v>3750</v>
      </c>
      <c r="D242" s="3153">
        <v>38.130000000000003</v>
      </c>
      <c r="E242" s="3154">
        <v>11.69</v>
      </c>
      <c r="F242" s="3149" t="s">
        <v>4270</v>
      </c>
      <c r="I242" s="3149">
        <v>240</v>
      </c>
      <c r="J242" s="3153" t="s">
        <v>3932</v>
      </c>
      <c r="K242" s="3153" t="s">
        <v>4171</v>
      </c>
      <c r="L242" s="3153">
        <v>43.78</v>
      </c>
      <c r="M242" s="3154">
        <v>10.130000000000001</v>
      </c>
      <c r="N242" s="3149" t="s">
        <v>4270</v>
      </c>
    </row>
    <row r="243" spans="1:14">
      <c r="A243" s="3149">
        <v>241</v>
      </c>
      <c r="B243" s="3153" t="s">
        <v>3511</v>
      </c>
      <c r="C243" s="3153" t="s">
        <v>3751</v>
      </c>
      <c r="D243" s="3153">
        <v>36.56</v>
      </c>
      <c r="E243" s="3154">
        <v>11.21</v>
      </c>
      <c r="F243" s="3149" t="s">
        <v>4270</v>
      </c>
      <c r="I243" s="3149">
        <v>241</v>
      </c>
      <c r="J243" s="3153" t="s">
        <v>3932</v>
      </c>
      <c r="K243" s="3153" t="s">
        <v>4172</v>
      </c>
      <c r="L243" s="3153">
        <v>41.97</v>
      </c>
      <c r="M243" s="3154">
        <v>9.7100000000000009</v>
      </c>
      <c r="N243" s="3149" t="s">
        <v>4270</v>
      </c>
    </row>
    <row r="244" spans="1:14">
      <c r="A244" s="3149">
        <v>242</v>
      </c>
      <c r="B244" s="3153" t="s">
        <v>3511</v>
      </c>
      <c r="C244" s="3153" t="s">
        <v>3752</v>
      </c>
      <c r="D244" s="3153">
        <v>36.56</v>
      </c>
      <c r="E244" s="3154">
        <v>11.21</v>
      </c>
      <c r="F244" s="3149" t="s">
        <v>4270</v>
      </c>
      <c r="I244" s="3149">
        <v>242</v>
      </c>
      <c r="J244" s="3153" t="s">
        <v>3932</v>
      </c>
      <c r="K244" s="3153" t="s">
        <v>4173</v>
      </c>
      <c r="L244" s="3153">
        <v>41.97</v>
      </c>
      <c r="M244" s="3154">
        <v>9.7100000000000009</v>
      </c>
      <c r="N244" s="3149" t="s">
        <v>4270</v>
      </c>
    </row>
    <row r="245" spans="1:14">
      <c r="A245" s="3149">
        <v>243</v>
      </c>
      <c r="B245" s="3153" t="s">
        <v>3511</v>
      </c>
      <c r="C245" s="3153" t="s">
        <v>3753</v>
      </c>
      <c r="D245" s="3153">
        <v>36.56</v>
      </c>
      <c r="E245" s="3154">
        <v>11.21</v>
      </c>
      <c r="F245" s="3149" t="s">
        <v>4270</v>
      </c>
      <c r="I245" s="3149">
        <v>243</v>
      </c>
      <c r="J245" s="3153" t="s">
        <v>3932</v>
      </c>
      <c r="K245" s="3153" t="s">
        <v>4174</v>
      </c>
      <c r="L245" s="3153">
        <v>43.78</v>
      </c>
      <c r="M245" s="3154">
        <v>10.130000000000001</v>
      </c>
      <c r="N245" s="3149" t="s">
        <v>4270</v>
      </c>
    </row>
    <row r="246" spans="1:14">
      <c r="A246" s="3149">
        <v>244</v>
      </c>
      <c r="B246" s="3153" t="s">
        <v>3511</v>
      </c>
      <c r="C246" s="3153" t="s">
        <v>3754</v>
      </c>
      <c r="D246" s="3153">
        <v>38.130000000000003</v>
      </c>
      <c r="E246" s="3154">
        <v>11.69</v>
      </c>
      <c r="F246" s="3149" t="s">
        <v>4270</v>
      </c>
      <c r="I246" s="3149">
        <v>244</v>
      </c>
      <c r="J246" s="3153" t="s">
        <v>3932</v>
      </c>
      <c r="K246" s="3153" t="s">
        <v>4175</v>
      </c>
      <c r="L246" s="3153">
        <v>41.97</v>
      </c>
      <c r="M246" s="3154">
        <v>9.7100000000000009</v>
      </c>
      <c r="N246" s="3149" t="s">
        <v>4270</v>
      </c>
    </row>
    <row r="247" spans="1:14">
      <c r="A247" s="3149">
        <v>245</v>
      </c>
      <c r="B247" s="3153" t="s">
        <v>3511</v>
      </c>
      <c r="C247" s="3153" t="s">
        <v>3755</v>
      </c>
      <c r="D247" s="3153">
        <v>36.56</v>
      </c>
      <c r="E247" s="3154">
        <v>11.21</v>
      </c>
      <c r="F247" s="3149" t="s">
        <v>4270</v>
      </c>
      <c r="I247" s="3149">
        <v>245</v>
      </c>
      <c r="J247" s="3153" t="s">
        <v>3932</v>
      </c>
      <c r="K247" s="3153" t="s">
        <v>4176</v>
      </c>
      <c r="L247" s="3153">
        <v>54.72</v>
      </c>
      <c r="M247" s="3154">
        <v>12.66</v>
      </c>
      <c r="N247" s="3149" t="s">
        <v>4270</v>
      </c>
    </row>
    <row r="248" spans="1:14">
      <c r="A248" s="3149">
        <v>246</v>
      </c>
      <c r="B248" s="3153" t="s">
        <v>3511</v>
      </c>
      <c r="C248" s="3153" t="s">
        <v>3756</v>
      </c>
      <c r="D248" s="3153">
        <v>36.56</v>
      </c>
      <c r="E248" s="3154">
        <v>11.21</v>
      </c>
      <c r="F248" s="3149" t="s">
        <v>4270</v>
      </c>
      <c r="I248" s="3149">
        <v>246</v>
      </c>
      <c r="J248" s="3153" t="s">
        <v>3932</v>
      </c>
      <c r="K248" s="3153" t="s">
        <v>4177</v>
      </c>
      <c r="L248" s="3153">
        <v>54.72</v>
      </c>
      <c r="M248" s="3154">
        <v>12.66</v>
      </c>
      <c r="N248" s="3149" t="s">
        <v>4270</v>
      </c>
    </row>
    <row r="249" spans="1:14">
      <c r="A249" s="3149">
        <v>247</v>
      </c>
      <c r="B249" s="3153" t="s">
        <v>3511</v>
      </c>
      <c r="C249" s="3153" t="s">
        <v>3757</v>
      </c>
      <c r="D249" s="3153">
        <v>36.56</v>
      </c>
      <c r="E249" s="3154">
        <v>11.21</v>
      </c>
      <c r="F249" s="3149" t="s">
        <v>4270</v>
      </c>
      <c r="I249" s="3149">
        <v>247</v>
      </c>
      <c r="J249" s="3153" t="s">
        <v>3932</v>
      </c>
      <c r="K249" s="3153" t="s">
        <v>4178</v>
      </c>
      <c r="L249" s="3153">
        <v>41.97</v>
      </c>
      <c r="M249" s="3154">
        <v>9.7100000000000009</v>
      </c>
      <c r="N249" s="3149" t="s">
        <v>4270</v>
      </c>
    </row>
    <row r="250" spans="1:14">
      <c r="A250" s="3149">
        <v>248</v>
      </c>
      <c r="B250" s="3153" t="s">
        <v>3511</v>
      </c>
      <c r="C250" s="3153" t="s">
        <v>3758</v>
      </c>
      <c r="D250" s="3153">
        <v>36.56</v>
      </c>
      <c r="E250" s="3154">
        <v>11.21</v>
      </c>
      <c r="F250" s="3149" t="s">
        <v>4270</v>
      </c>
      <c r="I250" s="3149">
        <v>248</v>
      </c>
      <c r="J250" s="3153" t="s">
        <v>3932</v>
      </c>
      <c r="K250" s="3153" t="s">
        <v>4179</v>
      </c>
      <c r="L250" s="3153">
        <v>43.78</v>
      </c>
      <c r="M250" s="3154">
        <v>10.130000000000001</v>
      </c>
      <c r="N250" s="3149" t="s">
        <v>4270</v>
      </c>
    </row>
    <row r="251" spans="1:14">
      <c r="A251" s="3149">
        <v>249</v>
      </c>
      <c r="B251" s="3153" t="s">
        <v>3511</v>
      </c>
      <c r="C251" s="3153" t="s">
        <v>3759</v>
      </c>
      <c r="D251" s="3153">
        <v>38.130000000000003</v>
      </c>
      <c r="E251" s="3154">
        <v>11.69</v>
      </c>
      <c r="F251" s="3149" t="s">
        <v>4270</v>
      </c>
      <c r="I251" s="3149">
        <v>249</v>
      </c>
      <c r="J251" s="3153" t="s">
        <v>3932</v>
      </c>
      <c r="K251" s="3153" t="s">
        <v>4180</v>
      </c>
      <c r="L251" s="3153">
        <v>41.97</v>
      </c>
      <c r="M251" s="3154">
        <v>9.7100000000000009</v>
      </c>
      <c r="N251" s="3149" t="s">
        <v>4270</v>
      </c>
    </row>
    <row r="252" spans="1:14">
      <c r="A252" s="3149">
        <v>250</v>
      </c>
      <c r="B252" s="3153" t="s">
        <v>3511</v>
      </c>
      <c r="C252" s="3153" t="s">
        <v>3760</v>
      </c>
      <c r="D252" s="3153">
        <v>36.56</v>
      </c>
      <c r="E252" s="3154">
        <v>11.21</v>
      </c>
      <c r="F252" s="3149" t="s">
        <v>4270</v>
      </c>
      <c r="I252" s="3149">
        <v>250</v>
      </c>
      <c r="J252" s="3153" t="s">
        <v>3932</v>
      </c>
      <c r="K252" s="3153" t="s">
        <v>4181</v>
      </c>
      <c r="L252" s="3153">
        <v>41.97</v>
      </c>
      <c r="M252" s="3154">
        <v>9.7100000000000009</v>
      </c>
      <c r="N252" s="3149" t="s">
        <v>4270</v>
      </c>
    </row>
    <row r="253" spans="1:14">
      <c r="A253" s="3149">
        <v>251</v>
      </c>
      <c r="B253" s="3153" t="s">
        <v>3511</v>
      </c>
      <c r="C253" s="3153" t="s">
        <v>3761</v>
      </c>
      <c r="D253" s="3153">
        <v>36.56</v>
      </c>
      <c r="E253" s="3154">
        <v>11.21</v>
      </c>
      <c r="F253" s="3149" t="s">
        <v>4270</v>
      </c>
      <c r="I253" s="3149">
        <v>251</v>
      </c>
      <c r="J253" s="3153" t="s">
        <v>3932</v>
      </c>
      <c r="K253" s="3153" t="s">
        <v>4182</v>
      </c>
      <c r="L253" s="3153">
        <v>43.78</v>
      </c>
      <c r="M253" s="3154">
        <v>10.130000000000001</v>
      </c>
      <c r="N253" s="3149" t="s">
        <v>4270</v>
      </c>
    </row>
    <row r="254" spans="1:14">
      <c r="A254" s="3149">
        <v>252</v>
      </c>
      <c r="B254" s="3153" t="s">
        <v>3511</v>
      </c>
      <c r="C254" s="3153" t="s">
        <v>3762</v>
      </c>
      <c r="D254" s="3153">
        <v>38.130000000000003</v>
      </c>
      <c r="E254" s="3154">
        <v>11.69</v>
      </c>
      <c r="F254" s="3149" t="s">
        <v>4270</v>
      </c>
      <c r="I254" s="3149">
        <v>252</v>
      </c>
      <c r="J254" s="3153" t="s">
        <v>3932</v>
      </c>
      <c r="K254" s="3153" t="s">
        <v>4183</v>
      </c>
      <c r="L254" s="3153">
        <v>41.97</v>
      </c>
      <c r="M254" s="3154">
        <v>9.7100000000000009</v>
      </c>
      <c r="N254" s="3149" t="s">
        <v>4270</v>
      </c>
    </row>
    <row r="255" spans="1:14">
      <c r="A255" s="3149">
        <v>253</v>
      </c>
      <c r="B255" s="3153" t="s">
        <v>3511</v>
      </c>
      <c r="C255" s="3153" t="s">
        <v>3763</v>
      </c>
      <c r="D255" s="3153">
        <v>38.130000000000003</v>
      </c>
      <c r="E255" s="3154">
        <v>11.69</v>
      </c>
      <c r="F255" s="3149" t="s">
        <v>4270</v>
      </c>
      <c r="I255" s="3149">
        <v>253</v>
      </c>
      <c r="J255" s="3153" t="s">
        <v>3932</v>
      </c>
      <c r="K255" s="3153" t="s">
        <v>4184</v>
      </c>
      <c r="L255" s="3153">
        <v>41.97</v>
      </c>
      <c r="M255" s="3154">
        <v>9.7100000000000009</v>
      </c>
      <c r="N255" s="3149" t="s">
        <v>4270</v>
      </c>
    </row>
    <row r="256" spans="1:14">
      <c r="A256" s="3149">
        <v>254</v>
      </c>
      <c r="B256" s="3153" t="s">
        <v>3511</v>
      </c>
      <c r="C256" s="3153" t="s">
        <v>3764</v>
      </c>
      <c r="D256" s="3153">
        <v>36.56</v>
      </c>
      <c r="E256" s="3154">
        <v>11.21</v>
      </c>
      <c r="F256" s="3149" t="s">
        <v>4270</v>
      </c>
      <c r="I256" s="3149">
        <v>254</v>
      </c>
      <c r="J256" s="3153" t="s">
        <v>3932</v>
      </c>
      <c r="K256" s="3153" t="s">
        <v>4185</v>
      </c>
      <c r="L256" s="3153">
        <v>43.78</v>
      </c>
      <c r="M256" s="3154">
        <v>10.130000000000001</v>
      </c>
      <c r="N256" s="3149" t="s">
        <v>4270</v>
      </c>
    </row>
    <row r="257" spans="1:14">
      <c r="A257" s="3149">
        <v>255</v>
      </c>
      <c r="B257" s="3153" t="s">
        <v>3511</v>
      </c>
      <c r="C257" s="3153" t="s">
        <v>3765</v>
      </c>
      <c r="D257" s="3153">
        <v>36.56</v>
      </c>
      <c r="E257" s="3154">
        <v>11.21</v>
      </c>
      <c r="F257" s="3149" t="s">
        <v>4270</v>
      </c>
      <c r="I257" s="3149">
        <v>255</v>
      </c>
      <c r="J257" s="3153" t="s">
        <v>3932</v>
      </c>
      <c r="K257" s="3153" t="s">
        <v>4186</v>
      </c>
      <c r="L257" s="3153">
        <v>41.97</v>
      </c>
      <c r="M257" s="3154">
        <v>9.7100000000000009</v>
      </c>
      <c r="N257" s="3149" t="s">
        <v>4270</v>
      </c>
    </row>
    <row r="258" spans="1:14">
      <c r="A258" s="3149">
        <v>256</v>
      </c>
      <c r="B258" s="3153" t="s">
        <v>3511</v>
      </c>
      <c r="C258" s="3153" t="s">
        <v>3766</v>
      </c>
      <c r="D258" s="3153">
        <v>36.56</v>
      </c>
      <c r="E258" s="3154">
        <v>11.21</v>
      </c>
      <c r="F258" s="3149" t="s">
        <v>4270</v>
      </c>
      <c r="I258" s="3149">
        <v>256</v>
      </c>
      <c r="J258" s="3153" t="s">
        <v>3932</v>
      </c>
      <c r="K258" s="3153" t="s">
        <v>4187</v>
      </c>
      <c r="L258" s="3153">
        <v>41.97</v>
      </c>
      <c r="M258" s="3154">
        <v>9.7100000000000009</v>
      </c>
      <c r="N258" s="3149" t="s">
        <v>4270</v>
      </c>
    </row>
    <row r="259" spans="1:14">
      <c r="A259" s="3149">
        <v>257</v>
      </c>
      <c r="B259" s="3153" t="s">
        <v>3511</v>
      </c>
      <c r="C259" s="3153" t="s">
        <v>3767</v>
      </c>
      <c r="D259" s="3153">
        <v>36.56</v>
      </c>
      <c r="E259" s="3154">
        <v>11.21</v>
      </c>
      <c r="F259" s="3149" t="s">
        <v>4270</v>
      </c>
      <c r="I259" s="3149">
        <v>257</v>
      </c>
      <c r="J259" s="3153" t="s">
        <v>3932</v>
      </c>
      <c r="K259" s="3153" t="s">
        <v>4188</v>
      </c>
      <c r="L259" s="3153">
        <v>43.78</v>
      </c>
      <c r="M259" s="3154">
        <v>10.130000000000001</v>
      </c>
      <c r="N259" s="3149" t="s">
        <v>4270</v>
      </c>
    </row>
    <row r="260" spans="1:14">
      <c r="A260" s="3149">
        <v>258</v>
      </c>
      <c r="B260" s="3153" t="s">
        <v>3511</v>
      </c>
      <c r="C260" s="3153" t="s">
        <v>3768</v>
      </c>
      <c r="D260" s="3153">
        <v>38.130000000000003</v>
      </c>
      <c r="E260" s="3154">
        <v>11.69</v>
      </c>
      <c r="F260" s="3149" t="s">
        <v>4270</v>
      </c>
      <c r="I260" s="3149">
        <v>258</v>
      </c>
      <c r="J260" s="3153" t="s">
        <v>3932</v>
      </c>
      <c r="K260" s="3153" t="s">
        <v>4189</v>
      </c>
      <c r="L260" s="3153">
        <v>41.97</v>
      </c>
      <c r="M260" s="3154">
        <v>9.7100000000000009</v>
      </c>
      <c r="N260" s="3149" t="s">
        <v>4270</v>
      </c>
    </row>
    <row r="261" spans="1:14">
      <c r="A261" s="3149">
        <v>259</v>
      </c>
      <c r="B261" s="3153" t="s">
        <v>3511</v>
      </c>
      <c r="C261" s="3153" t="s">
        <v>3769</v>
      </c>
      <c r="D261" s="3153">
        <v>36.56</v>
      </c>
      <c r="E261" s="3154">
        <v>11.21</v>
      </c>
      <c r="F261" s="3149" t="s">
        <v>4270</v>
      </c>
      <c r="I261" s="3149">
        <v>259</v>
      </c>
      <c r="J261" s="3153" t="s">
        <v>3932</v>
      </c>
      <c r="K261" s="3153" t="s">
        <v>4190</v>
      </c>
      <c r="L261" s="3153">
        <v>41.97</v>
      </c>
      <c r="M261" s="3154">
        <v>9.7100000000000009</v>
      </c>
      <c r="N261" s="3149" t="s">
        <v>4270</v>
      </c>
    </row>
    <row r="262" spans="1:14">
      <c r="A262" s="3149">
        <v>260</v>
      </c>
      <c r="B262" s="3153" t="s">
        <v>3511</v>
      </c>
      <c r="C262" s="3153" t="s">
        <v>3770</v>
      </c>
      <c r="D262" s="3153">
        <v>36.56</v>
      </c>
      <c r="E262" s="3154">
        <v>11.21</v>
      </c>
      <c r="F262" s="3149" t="s">
        <v>4270</v>
      </c>
      <c r="I262" s="3149">
        <v>260</v>
      </c>
      <c r="J262" s="3153" t="s">
        <v>3932</v>
      </c>
      <c r="K262" s="3153" t="s">
        <v>4191</v>
      </c>
      <c r="L262" s="3153">
        <v>43.78</v>
      </c>
      <c r="M262" s="3154">
        <v>10.130000000000001</v>
      </c>
      <c r="N262" s="3149" t="s">
        <v>4270</v>
      </c>
    </row>
    <row r="263" spans="1:14">
      <c r="A263" s="3149">
        <v>261</v>
      </c>
      <c r="B263" s="3153" t="s">
        <v>3511</v>
      </c>
      <c r="C263" s="3153" t="s">
        <v>3771</v>
      </c>
      <c r="D263" s="3153">
        <v>38.130000000000003</v>
      </c>
      <c r="E263" s="3154">
        <v>11.69</v>
      </c>
      <c r="F263" s="3149" t="s">
        <v>4270</v>
      </c>
      <c r="I263" s="3149">
        <v>261</v>
      </c>
      <c r="J263" s="3153" t="s">
        <v>3932</v>
      </c>
      <c r="K263" s="3153" t="s">
        <v>4192</v>
      </c>
      <c r="L263" s="3153">
        <v>41.97</v>
      </c>
      <c r="M263" s="3154">
        <v>9.7100000000000009</v>
      </c>
      <c r="N263" s="3149" t="s">
        <v>4270</v>
      </c>
    </row>
    <row r="264" spans="1:14">
      <c r="A264" s="3149">
        <v>262</v>
      </c>
      <c r="B264" s="3153" t="s">
        <v>3511</v>
      </c>
      <c r="C264" s="3153" t="s">
        <v>3772</v>
      </c>
      <c r="D264" s="3153">
        <v>36.56</v>
      </c>
      <c r="E264" s="3154">
        <v>11.21</v>
      </c>
      <c r="F264" s="3149" t="s">
        <v>4270</v>
      </c>
      <c r="I264" s="3149">
        <v>262</v>
      </c>
      <c r="J264" s="3153" t="s">
        <v>3932</v>
      </c>
      <c r="K264" s="3153" t="s">
        <v>4193</v>
      </c>
      <c r="L264" s="3153">
        <v>41.97</v>
      </c>
      <c r="M264" s="3154">
        <v>9.7100000000000009</v>
      </c>
      <c r="N264" s="3149" t="s">
        <v>4270</v>
      </c>
    </row>
    <row r="265" spans="1:14">
      <c r="A265" s="3149">
        <v>263</v>
      </c>
      <c r="B265" s="3153" t="s">
        <v>3511</v>
      </c>
      <c r="C265" s="3153" t="s">
        <v>3773</v>
      </c>
      <c r="D265" s="3153">
        <v>36.56</v>
      </c>
      <c r="E265" s="3154">
        <v>11.21</v>
      </c>
      <c r="F265" s="3149" t="s">
        <v>4270</v>
      </c>
      <c r="I265" s="3149">
        <v>263</v>
      </c>
      <c r="J265" s="3153" t="s">
        <v>3932</v>
      </c>
      <c r="K265" s="3153" t="s">
        <v>4194</v>
      </c>
      <c r="L265" s="3153">
        <v>43.78</v>
      </c>
      <c r="M265" s="3154">
        <v>10.130000000000001</v>
      </c>
      <c r="N265" s="3149" t="s">
        <v>4270</v>
      </c>
    </row>
    <row r="266" spans="1:14">
      <c r="A266" s="3149">
        <v>264</v>
      </c>
      <c r="B266" s="3153" t="s">
        <v>3511</v>
      </c>
      <c r="C266" s="3153" t="s">
        <v>3774</v>
      </c>
      <c r="D266" s="3153">
        <v>38.130000000000003</v>
      </c>
      <c r="E266" s="3154">
        <v>11.69</v>
      </c>
      <c r="F266" s="3149" t="s">
        <v>4270</v>
      </c>
      <c r="I266" s="3149">
        <v>264</v>
      </c>
      <c r="J266" s="3153" t="s">
        <v>3932</v>
      </c>
      <c r="K266" s="3153" t="s">
        <v>4195</v>
      </c>
      <c r="L266" s="3153">
        <v>41.97</v>
      </c>
      <c r="M266" s="3154">
        <v>9.7100000000000009</v>
      </c>
      <c r="N266" s="3149" t="s">
        <v>4270</v>
      </c>
    </row>
    <row r="267" spans="1:14">
      <c r="A267" s="3149">
        <v>265</v>
      </c>
      <c r="B267" s="3153" t="s">
        <v>3511</v>
      </c>
      <c r="C267" s="3153" t="s">
        <v>3775</v>
      </c>
      <c r="D267" s="3153">
        <v>36.56</v>
      </c>
      <c r="E267" s="3154">
        <v>11.21</v>
      </c>
      <c r="F267" s="3149" t="s">
        <v>4270</v>
      </c>
      <c r="I267" s="3149">
        <v>265</v>
      </c>
      <c r="J267" s="3153" t="s">
        <v>3932</v>
      </c>
      <c r="K267" s="3153" t="s">
        <v>4196</v>
      </c>
      <c r="L267" s="3153">
        <v>41.97</v>
      </c>
      <c r="M267" s="3154">
        <v>9.7100000000000009</v>
      </c>
      <c r="N267" s="3149" t="s">
        <v>4270</v>
      </c>
    </row>
    <row r="268" spans="1:14">
      <c r="A268" s="3149">
        <v>266</v>
      </c>
      <c r="B268" s="3153" t="s">
        <v>3511</v>
      </c>
      <c r="C268" s="3153" t="s">
        <v>3776</v>
      </c>
      <c r="D268" s="3153">
        <v>36.56</v>
      </c>
      <c r="E268" s="3154">
        <v>11.21</v>
      </c>
      <c r="F268" s="3149" t="s">
        <v>4270</v>
      </c>
      <c r="I268" s="3149">
        <v>266</v>
      </c>
      <c r="J268" s="3153" t="s">
        <v>3932</v>
      </c>
      <c r="K268" s="3153" t="s">
        <v>4197</v>
      </c>
      <c r="L268" s="3153">
        <v>43.78</v>
      </c>
      <c r="M268" s="3154">
        <v>10.130000000000001</v>
      </c>
      <c r="N268" s="3149" t="s">
        <v>4270</v>
      </c>
    </row>
    <row r="269" spans="1:14">
      <c r="A269" s="3149">
        <v>267</v>
      </c>
      <c r="B269" s="3153" t="s">
        <v>3511</v>
      </c>
      <c r="C269" s="3153" t="s">
        <v>3777</v>
      </c>
      <c r="D269" s="3153">
        <v>38.130000000000003</v>
      </c>
      <c r="E269" s="3154">
        <v>11.69</v>
      </c>
      <c r="F269" s="3149" t="s">
        <v>4270</v>
      </c>
      <c r="I269" s="3149">
        <v>267</v>
      </c>
      <c r="J269" s="3153" t="s">
        <v>3932</v>
      </c>
      <c r="K269" s="3153" t="s">
        <v>4198</v>
      </c>
      <c r="L269" s="3153">
        <v>41.97</v>
      </c>
      <c r="M269" s="3154">
        <v>9.7100000000000009</v>
      </c>
      <c r="N269" s="3149" t="s">
        <v>4270</v>
      </c>
    </row>
    <row r="270" spans="1:14">
      <c r="A270" s="3149">
        <v>268</v>
      </c>
      <c r="B270" s="3153" t="s">
        <v>3511</v>
      </c>
      <c r="C270" s="3153" t="s">
        <v>3778</v>
      </c>
      <c r="D270" s="3153">
        <v>36.56</v>
      </c>
      <c r="E270" s="3154">
        <v>11.21</v>
      </c>
      <c r="F270" s="3149" t="s">
        <v>4270</v>
      </c>
      <c r="I270" s="3149">
        <v>268</v>
      </c>
      <c r="J270" s="3153" t="s">
        <v>3932</v>
      </c>
      <c r="K270" s="3153" t="s">
        <v>4199</v>
      </c>
      <c r="L270" s="3153">
        <v>41.97</v>
      </c>
      <c r="M270" s="3154">
        <v>9.7100000000000009</v>
      </c>
      <c r="N270" s="3149" t="s">
        <v>4270</v>
      </c>
    </row>
    <row r="271" spans="1:14">
      <c r="A271" s="3149">
        <v>269</v>
      </c>
      <c r="B271" s="3153" t="s">
        <v>3511</v>
      </c>
      <c r="C271" s="3153" t="s">
        <v>3779</v>
      </c>
      <c r="D271" s="3153">
        <v>36.56</v>
      </c>
      <c r="E271" s="3154">
        <v>11.21</v>
      </c>
      <c r="F271" s="3149" t="s">
        <v>4270</v>
      </c>
      <c r="I271" s="3149">
        <v>269</v>
      </c>
      <c r="J271" s="3153" t="s">
        <v>3932</v>
      </c>
      <c r="K271" s="3153" t="s">
        <v>4200</v>
      </c>
      <c r="L271" s="3153">
        <v>43.78</v>
      </c>
      <c r="M271" s="3154">
        <v>10.130000000000001</v>
      </c>
      <c r="N271" s="3149" t="s">
        <v>4270</v>
      </c>
    </row>
    <row r="272" spans="1:14">
      <c r="A272" s="3149">
        <v>270</v>
      </c>
      <c r="B272" s="3153" t="s">
        <v>3511</v>
      </c>
      <c r="C272" s="3153" t="s">
        <v>3780</v>
      </c>
      <c r="D272" s="3153">
        <v>38.130000000000003</v>
      </c>
      <c r="E272" s="3154">
        <v>11.69</v>
      </c>
      <c r="F272" s="3149" t="s">
        <v>4270</v>
      </c>
      <c r="I272" s="3149">
        <v>270</v>
      </c>
      <c r="J272" s="3153" t="s">
        <v>3932</v>
      </c>
      <c r="K272" s="3153" t="s">
        <v>4201</v>
      </c>
      <c r="L272" s="3153">
        <v>41.97</v>
      </c>
      <c r="M272" s="3154">
        <v>9.7100000000000009</v>
      </c>
      <c r="N272" s="3149" t="s">
        <v>4270</v>
      </c>
    </row>
    <row r="273" spans="1:14">
      <c r="A273" s="3149">
        <v>271</v>
      </c>
      <c r="B273" s="3153" t="s">
        <v>3511</v>
      </c>
      <c r="C273" s="3153" t="s">
        <v>3781</v>
      </c>
      <c r="D273" s="3153">
        <v>36.56</v>
      </c>
      <c r="E273" s="3154">
        <v>11.21</v>
      </c>
      <c r="F273" s="3149" t="s">
        <v>4270</v>
      </c>
      <c r="I273" s="3149">
        <v>271</v>
      </c>
      <c r="J273" s="3153" t="s">
        <v>3932</v>
      </c>
      <c r="K273" s="3153" t="s">
        <v>4202</v>
      </c>
      <c r="L273" s="3153">
        <v>41.97</v>
      </c>
      <c r="M273" s="3154">
        <v>9.7100000000000009</v>
      </c>
      <c r="N273" s="3149" t="s">
        <v>4270</v>
      </c>
    </row>
    <row r="274" spans="1:14">
      <c r="A274" s="3149">
        <v>272</v>
      </c>
      <c r="B274" s="3153" t="s">
        <v>3511</v>
      </c>
      <c r="C274" s="3153" t="s">
        <v>3782</v>
      </c>
      <c r="D274" s="3153">
        <v>36.56</v>
      </c>
      <c r="E274" s="3154">
        <v>11.21</v>
      </c>
      <c r="F274" s="3149" t="s">
        <v>4270</v>
      </c>
      <c r="I274" s="3149">
        <v>272</v>
      </c>
      <c r="J274" s="3153" t="s">
        <v>3932</v>
      </c>
      <c r="K274" s="3153" t="s">
        <v>4203</v>
      </c>
      <c r="L274" s="3153">
        <v>41.97</v>
      </c>
      <c r="M274" s="3154">
        <v>9.7100000000000009</v>
      </c>
      <c r="N274" s="3149" t="s">
        <v>4270</v>
      </c>
    </row>
    <row r="275" spans="1:14">
      <c r="A275" s="3149">
        <v>273</v>
      </c>
      <c r="B275" s="3153" t="s">
        <v>3511</v>
      </c>
      <c r="C275" s="3153" t="s">
        <v>3783</v>
      </c>
      <c r="D275" s="3153">
        <v>38.130000000000003</v>
      </c>
      <c r="E275" s="3154">
        <v>11.69</v>
      </c>
      <c r="F275" s="3149" t="s">
        <v>4270</v>
      </c>
      <c r="I275" s="3149">
        <v>273</v>
      </c>
      <c r="J275" s="3153" t="s">
        <v>3932</v>
      </c>
      <c r="K275" s="3153" t="s">
        <v>4204</v>
      </c>
      <c r="L275" s="3153">
        <v>41.97</v>
      </c>
      <c r="M275" s="3154">
        <v>9.7100000000000009</v>
      </c>
      <c r="N275" s="3149" t="s">
        <v>4270</v>
      </c>
    </row>
    <row r="276" spans="1:14">
      <c r="A276" s="3149">
        <v>274</v>
      </c>
      <c r="B276" s="3153" t="s">
        <v>3511</v>
      </c>
      <c r="C276" s="3153" t="s">
        <v>3784</v>
      </c>
      <c r="D276" s="3153">
        <v>36.56</v>
      </c>
      <c r="E276" s="3154">
        <v>11.21</v>
      </c>
      <c r="F276" s="3149" t="s">
        <v>4270</v>
      </c>
      <c r="I276" s="3149">
        <v>274</v>
      </c>
      <c r="J276" s="3153" t="s">
        <v>3932</v>
      </c>
      <c r="K276" s="3153" t="s">
        <v>4205</v>
      </c>
      <c r="L276" s="3153">
        <v>41.97</v>
      </c>
      <c r="M276" s="3154">
        <v>9.7100000000000009</v>
      </c>
      <c r="N276" s="3149" t="s">
        <v>4270</v>
      </c>
    </row>
    <row r="277" spans="1:14">
      <c r="A277" s="3149">
        <v>275</v>
      </c>
      <c r="B277" s="3153" t="s">
        <v>3511</v>
      </c>
      <c r="C277" s="3153" t="s">
        <v>3785</v>
      </c>
      <c r="D277" s="3153">
        <v>36.56</v>
      </c>
      <c r="E277" s="3154">
        <v>11.21</v>
      </c>
      <c r="F277" s="3149" t="s">
        <v>4270</v>
      </c>
      <c r="I277" s="3149">
        <v>275</v>
      </c>
      <c r="J277" s="3153" t="s">
        <v>3932</v>
      </c>
      <c r="K277" s="3153" t="s">
        <v>4206</v>
      </c>
      <c r="L277" s="3153">
        <v>41.97</v>
      </c>
      <c r="M277" s="3154">
        <v>9.7100000000000009</v>
      </c>
      <c r="N277" s="3149" t="s">
        <v>4270</v>
      </c>
    </row>
    <row r="278" spans="1:14">
      <c r="A278" s="3149">
        <v>276</v>
      </c>
      <c r="B278" s="3153" t="s">
        <v>3511</v>
      </c>
      <c r="C278" s="3153" t="s">
        <v>3786</v>
      </c>
      <c r="D278" s="3153">
        <v>38.130000000000003</v>
      </c>
      <c r="E278" s="3154">
        <v>11.69</v>
      </c>
      <c r="F278" s="3149" t="s">
        <v>4270</v>
      </c>
      <c r="I278" s="3149">
        <v>276</v>
      </c>
      <c r="J278" s="3153" t="s">
        <v>3932</v>
      </c>
      <c r="K278" s="3153" t="s">
        <v>4207</v>
      </c>
      <c r="L278" s="3153">
        <v>41.97</v>
      </c>
      <c r="M278" s="3154">
        <v>9.7100000000000009</v>
      </c>
      <c r="N278" s="3149" t="s">
        <v>4270</v>
      </c>
    </row>
    <row r="279" spans="1:14">
      <c r="A279" s="3149">
        <v>277</v>
      </c>
      <c r="B279" s="3153" t="s">
        <v>3511</v>
      </c>
      <c r="C279" s="3153" t="s">
        <v>3787</v>
      </c>
      <c r="D279" s="3153">
        <v>36.56</v>
      </c>
      <c r="E279" s="3154">
        <v>11.21</v>
      </c>
      <c r="F279" s="3149" t="s">
        <v>4270</v>
      </c>
      <c r="I279" s="3149">
        <v>277</v>
      </c>
      <c r="J279" s="3153" t="s">
        <v>3932</v>
      </c>
      <c r="K279" s="3153" t="s">
        <v>4208</v>
      </c>
      <c r="L279" s="3153">
        <v>41.97</v>
      </c>
      <c r="M279" s="3154">
        <v>9.7100000000000009</v>
      </c>
      <c r="N279" s="3149" t="s">
        <v>4270</v>
      </c>
    </row>
    <row r="280" spans="1:14">
      <c r="A280" s="3149">
        <v>278</v>
      </c>
      <c r="B280" s="3153" t="s">
        <v>3511</v>
      </c>
      <c r="C280" s="3153" t="s">
        <v>3788</v>
      </c>
      <c r="D280" s="3153">
        <v>36.56</v>
      </c>
      <c r="E280" s="3154">
        <v>11.21</v>
      </c>
      <c r="F280" s="3149" t="s">
        <v>4270</v>
      </c>
      <c r="I280" s="3149">
        <v>278</v>
      </c>
      <c r="J280" s="3153" t="s">
        <v>3932</v>
      </c>
      <c r="K280" s="3153" t="s">
        <v>4209</v>
      </c>
      <c r="L280" s="3153">
        <v>43.78</v>
      </c>
      <c r="M280" s="3154">
        <v>10.130000000000001</v>
      </c>
      <c r="N280" s="3149" t="s">
        <v>4270</v>
      </c>
    </row>
    <row r="281" spans="1:14">
      <c r="A281" s="3149">
        <v>279</v>
      </c>
      <c r="B281" s="3153" t="s">
        <v>3511</v>
      </c>
      <c r="C281" s="3153" t="s">
        <v>3789</v>
      </c>
      <c r="D281" s="3153">
        <v>38.130000000000003</v>
      </c>
      <c r="E281" s="3154">
        <v>11.69</v>
      </c>
      <c r="F281" s="3149" t="s">
        <v>4270</v>
      </c>
      <c r="I281" s="3149">
        <v>279</v>
      </c>
      <c r="J281" s="3153" t="s">
        <v>3932</v>
      </c>
      <c r="K281" s="3153" t="s">
        <v>4210</v>
      </c>
      <c r="L281" s="3153">
        <v>41.97</v>
      </c>
      <c r="M281" s="3154">
        <v>9.7100000000000009</v>
      </c>
      <c r="N281" s="3149" t="s">
        <v>4270</v>
      </c>
    </row>
    <row r="282" spans="1:14">
      <c r="A282" s="3149">
        <v>280</v>
      </c>
      <c r="B282" s="3153" t="s">
        <v>3511</v>
      </c>
      <c r="C282" s="3153" t="s">
        <v>3790</v>
      </c>
      <c r="D282" s="3153">
        <v>36.56</v>
      </c>
      <c r="E282" s="3154">
        <v>11.21</v>
      </c>
      <c r="F282" s="3149" t="s">
        <v>4270</v>
      </c>
      <c r="I282" s="3149">
        <v>280</v>
      </c>
      <c r="J282" s="3153" t="s">
        <v>3932</v>
      </c>
      <c r="K282" s="3153" t="s">
        <v>4211</v>
      </c>
      <c r="L282" s="3153">
        <v>41.97</v>
      </c>
      <c r="M282" s="3154">
        <v>9.7100000000000009</v>
      </c>
      <c r="N282" s="3149" t="s">
        <v>4270</v>
      </c>
    </row>
    <row r="283" spans="1:14">
      <c r="A283" s="3149">
        <v>281</v>
      </c>
      <c r="B283" s="3153" t="s">
        <v>3511</v>
      </c>
      <c r="C283" s="3153" t="s">
        <v>3791</v>
      </c>
      <c r="D283" s="3153">
        <v>36.56</v>
      </c>
      <c r="E283" s="3154">
        <v>11.21</v>
      </c>
      <c r="F283" s="3149" t="s">
        <v>4270</v>
      </c>
      <c r="I283" s="3149">
        <v>281</v>
      </c>
      <c r="J283" s="3153" t="s">
        <v>3932</v>
      </c>
      <c r="K283" s="3153" t="s">
        <v>4212</v>
      </c>
      <c r="L283" s="3153">
        <v>41.97</v>
      </c>
      <c r="M283" s="3154">
        <v>9.7100000000000009</v>
      </c>
      <c r="N283" s="3149" t="s">
        <v>4270</v>
      </c>
    </row>
    <row r="284" spans="1:14">
      <c r="A284" s="3149">
        <v>282</v>
      </c>
      <c r="B284" s="3153" t="s">
        <v>3511</v>
      </c>
      <c r="C284" s="3153" t="s">
        <v>3792</v>
      </c>
      <c r="D284" s="3153">
        <v>38.130000000000003</v>
      </c>
      <c r="E284" s="3154">
        <v>11.69</v>
      </c>
      <c r="F284" s="3149" t="s">
        <v>4270</v>
      </c>
      <c r="I284" s="3149">
        <v>282</v>
      </c>
      <c r="J284" s="3153" t="s">
        <v>3932</v>
      </c>
      <c r="K284" s="3153" t="s">
        <v>4213</v>
      </c>
      <c r="L284" s="3153">
        <v>43.78</v>
      </c>
      <c r="M284" s="3154">
        <v>10.130000000000001</v>
      </c>
      <c r="N284" s="3149" t="s">
        <v>4270</v>
      </c>
    </row>
    <row r="285" spans="1:14">
      <c r="A285" s="3149">
        <v>283</v>
      </c>
      <c r="B285" s="3153" t="s">
        <v>3511</v>
      </c>
      <c r="C285" s="3153" t="s">
        <v>3793</v>
      </c>
      <c r="D285" s="3153">
        <v>36.56</v>
      </c>
      <c r="E285" s="3154">
        <v>11.21</v>
      </c>
      <c r="F285" s="3149" t="s">
        <v>4270</v>
      </c>
      <c r="I285" s="3149">
        <v>283</v>
      </c>
      <c r="J285" s="3153" t="s">
        <v>3932</v>
      </c>
      <c r="K285" s="3153" t="s">
        <v>4214</v>
      </c>
      <c r="L285" s="3153">
        <v>41.97</v>
      </c>
      <c r="M285" s="3154">
        <v>9.7100000000000009</v>
      </c>
      <c r="N285" s="3149" t="s">
        <v>4270</v>
      </c>
    </row>
    <row r="286" spans="1:14">
      <c r="A286" s="3149">
        <v>284</v>
      </c>
      <c r="B286" s="3153" t="s">
        <v>3511</v>
      </c>
      <c r="C286" s="3153" t="s">
        <v>3794</v>
      </c>
      <c r="D286" s="3153">
        <v>36.56</v>
      </c>
      <c r="E286" s="3154">
        <v>11.21</v>
      </c>
      <c r="F286" s="3149" t="s">
        <v>4270</v>
      </c>
      <c r="I286" s="3149">
        <v>284</v>
      </c>
      <c r="J286" s="3153" t="s">
        <v>3932</v>
      </c>
      <c r="K286" s="3153" t="s">
        <v>4215</v>
      </c>
      <c r="L286" s="3153">
        <v>41.97</v>
      </c>
      <c r="M286" s="3154">
        <v>9.7100000000000009</v>
      </c>
      <c r="N286" s="3149" t="s">
        <v>4270</v>
      </c>
    </row>
    <row r="287" spans="1:14">
      <c r="A287" s="3149">
        <v>285</v>
      </c>
      <c r="B287" s="3153" t="s">
        <v>3511</v>
      </c>
      <c r="C287" s="3153" t="s">
        <v>3795</v>
      </c>
      <c r="D287" s="3153">
        <v>38.130000000000003</v>
      </c>
      <c r="E287" s="3154">
        <v>11.69</v>
      </c>
      <c r="F287" s="3149" t="s">
        <v>4270</v>
      </c>
      <c r="I287" s="3149">
        <v>285</v>
      </c>
      <c r="J287" s="3153" t="s">
        <v>3932</v>
      </c>
      <c r="K287" s="3153" t="s">
        <v>4216</v>
      </c>
      <c r="L287" s="3153">
        <v>43.78</v>
      </c>
      <c r="M287" s="3154">
        <v>10.130000000000001</v>
      </c>
      <c r="N287" s="3149" t="s">
        <v>4270</v>
      </c>
    </row>
    <row r="288" spans="1:14">
      <c r="A288" s="3149">
        <v>286</v>
      </c>
      <c r="B288" s="3153" t="s">
        <v>3511</v>
      </c>
      <c r="C288" s="3153" t="s">
        <v>3796</v>
      </c>
      <c r="D288" s="3153">
        <v>36.56</v>
      </c>
      <c r="E288" s="3154">
        <v>11.21</v>
      </c>
      <c r="F288" s="3149" t="s">
        <v>4270</v>
      </c>
      <c r="I288" s="3149">
        <v>286</v>
      </c>
      <c r="J288" s="3153" t="s">
        <v>3932</v>
      </c>
      <c r="K288" s="3153" t="s">
        <v>4217</v>
      </c>
      <c r="L288" s="3153">
        <v>41.97</v>
      </c>
      <c r="M288" s="3154">
        <v>9.7100000000000009</v>
      </c>
      <c r="N288" s="3149" t="s">
        <v>4270</v>
      </c>
    </row>
    <row r="289" spans="1:14">
      <c r="A289" s="3149">
        <v>287</v>
      </c>
      <c r="B289" s="3153" t="s">
        <v>3511</v>
      </c>
      <c r="C289" s="3153" t="s">
        <v>3797</v>
      </c>
      <c r="D289" s="3153">
        <v>36.56</v>
      </c>
      <c r="E289" s="3154">
        <v>11.21</v>
      </c>
      <c r="F289" s="3149" t="s">
        <v>4270</v>
      </c>
      <c r="I289" s="3149">
        <v>287</v>
      </c>
      <c r="J289" s="3153" t="s">
        <v>3932</v>
      </c>
      <c r="K289" s="3153" t="s">
        <v>4218</v>
      </c>
      <c r="L289" s="3153">
        <v>41.97</v>
      </c>
      <c r="M289" s="3154">
        <v>9.7100000000000009</v>
      </c>
      <c r="N289" s="3149" t="s">
        <v>4270</v>
      </c>
    </row>
    <row r="290" spans="1:14">
      <c r="A290" s="3149">
        <v>288</v>
      </c>
      <c r="B290" s="3153" t="s">
        <v>3511</v>
      </c>
      <c r="C290" s="3153" t="s">
        <v>3798</v>
      </c>
      <c r="D290" s="3153">
        <v>36.56</v>
      </c>
      <c r="E290" s="3154">
        <v>11.21</v>
      </c>
      <c r="F290" s="3149" t="s">
        <v>4270</v>
      </c>
      <c r="I290" s="3149">
        <v>288</v>
      </c>
      <c r="J290" s="3153" t="s">
        <v>3932</v>
      </c>
      <c r="K290" s="3153" t="s">
        <v>4219</v>
      </c>
      <c r="L290" s="3153">
        <v>43.78</v>
      </c>
      <c r="M290" s="3154">
        <v>10.130000000000001</v>
      </c>
      <c r="N290" s="3149" t="s">
        <v>4270</v>
      </c>
    </row>
    <row r="291" spans="1:14">
      <c r="A291" s="3149">
        <v>289</v>
      </c>
      <c r="B291" s="3153" t="s">
        <v>3511</v>
      </c>
      <c r="C291" s="3153" t="s">
        <v>3799</v>
      </c>
      <c r="D291" s="3153">
        <v>36.56</v>
      </c>
      <c r="E291" s="3154">
        <v>11.21</v>
      </c>
      <c r="F291" s="3149" t="s">
        <v>4270</v>
      </c>
      <c r="I291" s="3149">
        <v>289</v>
      </c>
      <c r="J291" s="3153" t="s">
        <v>3932</v>
      </c>
      <c r="K291" s="3153" t="s">
        <v>4220</v>
      </c>
      <c r="L291" s="3153">
        <v>41.97</v>
      </c>
      <c r="M291" s="3154">
        <v>9.7100000000000009</v>
      </c>
      <c r="N291" s="3149" t="s">
        <v>4270</v>
      </c>
    </row>
    <row r="292" spans="1:14">
      <c r="A292" s="3149">
        <v>290</v>
      </c>
      <c r="B292" s="3153" t="s">
        <v>3511</v>
      </c>
      <c r="C292" s="3153" t="s">
        <v>3800</v>
      </c>
      <c r="D292" s="3153">
        <v>36.56</v>
      </c>
      <c r="E292" s="3154">
        <v>11.21</v>
      </c>
      <c r="F292" s="3149" t="s">
        <v>4270</v>
      </c>
      <c r="I292" s="3149">
        <v>290</v>
      </c>
      <c r="J292" s="3153" t="s">
        <v>3932</v>
      </c>
      <c r="K292" s="3153" t="s">
        <v>4221</v>
      </c>
      <c r="L292" s="3153">
        <v>41.97</v>
      </c>
      <c r="M292" s="3154">
        <v>9.7100000000000009</v>
      </c>
      <c r="N292" s="3149" t="s">
        <v>4270</v>
      </c>
    </row>
    <row r="293" spans="1:14">
      <c r="A293" s="3149">
        <v>291</v>
      </c>
      <c r="B293" s="3153" t="s">
        <v>3511</v>
      </c>
      <c r="C293" s="3153" t="s">
        <v>3801</v>
      </c>
      <c r="D293" s="3153">
        <v>36.56</v>
      </c>
      <c r="E293" s="3154">
        <v>11.21</v>
      </c>
      <c r="F293" s="3149" t="s">
        <v>4270</v>
      </c>
      <c r="I293" s="3149">
        <v>291</v>
      </c>
      <c r="J293" s="3153" t="s">
        <v>3932</v>
      </c>
      <c r="K293" s="3153" t="s">
        <v>4222</v>
      </c>
      <c r="L293" s="3153">
        <v>43.78</v>
      </c>
      <c r="M293" s="3154">
        <v>10.130000000000001</v>
      </c>
      <c r="N293" s="3149" t="s">
        <v>4270</v>
      </c>
    </row>
    <row r="294" spans="1:14">
      <c r="A294" s="3149">
        <v>292</v>
      </c>
      <c r="B294" s="3153" t="s">
        <v>3511</v>
      </c>
      <c r="C294" s="3153" t="s">
        <v>3802</v>
      </c>
      <c r="D294" s="3153">
        <v>36.56</v>
      </c>
      <c r="E294" s="3154">
        <v>11.21</v>
      </c>
      <c r="F294" s="3149" t="s">
        <v>4270</v>
      </c>
      <c r="I294" s="3149">
        <v>292</v>
      </c>
      <c r="J294" s="3153" t="s">
        <v>3932</v>
      </c>
      <c r="K294" s="3153" t="s">
        <v>4223</v>
      </c>
      <c r="L294" s="3153">
        <v>41.97</v>
      </c>
      <c r="M294" s="3154">
        <v>9.7100000000000009</v>
      </c>
      <c r="N294" s="3149" t="s">
        <v>4270</v>
      </c>
    </row>
    <row r="295" spans="1:14">
      <c r="A295" s="3149">
        <v>293</v>
      </c>
      <c r="B295" s="3153" t="s">
        <v>3511</v>
      </c>
      <c r="C295" s="3153" t="s">
        <v>3803</v>
      </c>
      <c r="D295" s="3153">
        <v>36.56</v>
      </c>
      <c r="E295" s="3154">
        <v>11.21</v>
      </c>
      <c r="F295" s="3149" t="s">
        <v>4270</v>
      </c>
      <c r="I295" s="3149">
        <v>293</v>
      </c>
      <c r="J295" s="3153" t="s">
        <v>3932</v>
      </c>
      <c r="K295" s="3153" t="s">
        <v>4224</v>
      </c>
      <c r="L295" s="3153">
        <v>41.97</v>
      </c>
      <c r="M295" s="3154">
        <v>9.7100000000000009</v>
      </c>
      <c r="N295" s="3149" t="s">
        <v>4270</v>
      </c>
    </row>
    <row r="296" spans="1:14">
      <c r="A296" s="3149">
        <v>294</v>
      </c>
      <c r="B296" s="3153" t="s">
        <v>3511</v>
      </c>
      <c r="C296" s="3153" t="s">
        <v>3804</v>
      </c>
      <c r="D296" s="3153">
        <v>36.56</v>
      </c>
      <c r="E296" s="3154">
        <v>11.21</v>
      </c>
      <c r="F296" s="3149" t="s">
        <v>4270</v>
      </c>
      <c r="I296" s="3149">
        <v>294</v>
      </c>
      <c r="J296" s="3153" t="s">
        <v>3932</v>
      </c>
      <c r="K296" s="3153" t="s">
        <v>4225</v>
      </c>
      <c r="L296" s="3153">
        <v>43.78</v>
      </c>
      <c r="M296" s="3154">
        <v>10.130000000000001</v>
      </c>
      <c r="N296" s="3149" t="s">
        <v>4270</v>
      </c>
    </row>
    <row r="297" spans="1:14">
      <c r="A297" s="3149">
        <v>295</v>
      </c>
      <c r="B297" s="3153" t="s">
        <v>3511</v>
      </c>
      <c r="C297" s="3153" t="s">
        <v>3805</v>
      </c>
      <c r="D297" s="3153">
        <v>36.56</v>
      </c>
      <c r="E297" s="3154">
        <v>11.21</v>
      </c>
      <c r="F297" s="3149" t="s">
        <v>4270</v>
      </c>
      <c r="I297" s="3149">
        <v>295</v>
      </c>
      <c r="J297" s="3153" t="s">
        <v>3932</v>
      </c>
      <c r="K297" s="3153" t="s">
        <v>4226</v>
      </c>
      <c r="L297" s="3153">
        <v>41.97</v>
      </c>
      <c r="M297" s="3154">
        <v>9.7100000000000009</v>
      </c>
      <c r="N297" s="3149" t="s">
        <v>4270</v>
      </c>
    </row>
    <row r="298" spans="1:14">
      <c r="A298" s="3149">
        <v>296</v>
      </c>
      <c r="B298" s="3153" t="s">
        <v>3511</v>
      </c>
      <c r="C298" s="3153" t="s">
        <v>3806</v>
      </c>
      <c r="D298" s="3153">
        <v>36.56</v>
      </c>
      <c r="E298" s="3154">
        <v>11.21</v>
      </c>
      <c r="F298" s="3149" t="s">
        <v>4270</v>
      </c>
      <c r="I298" s="3149">
        <v>296</v>
      </c>
      <c r="J298" s="3153" t="s">
        <v>3932</v>
      </c>
      <c r="K298" s="3153" t="s">
        <v>4227</v>
      </c>
      <c r="L298" s="3153">
        <v>41.97</v>
      </c>
      <c r="M298" s="3154">
        <v>9.7100000000000009</v>
      </c>
      <c r="N298" s="3149" t="s">
        <v>4270</v>
      </c>
    </row>
    <row r="299" spans="1:14">
      <c r="A299" s="3149">
        <v>297</v>
      </c>
      <c r="B299" s="3153" t="s">
        <v>3511</v>
      </c>
      <c r="C299" s="3153" t="s">
        <v>3807</v>
      </c>
      <c r="D299" s="3153">
        <v>38.130000000000003</v>
      </c>
      <c r="E299" s="3154">
        <v>11.69</v>
      </c>
      <c r="F299" s="3149" t="s">
        <v>4270</v>
      </c>
      <c r="I299" s="3149">
        <v>297</v>
      </c>
      <c r="J299" s="3153" t="s">
        <v>3932</v>
      </c>
      <c r="K299" s="3153" t="s">
        <v>4228</v>
      </c>
      <c r="L299" s="3153">
        <v>43.78</v>
      </c>
      <c r="M299" s="3154">
        <v>10.130000000000001</v>
      </c>
      <c r="N299" s="3149" t="s">
        <v>4270</v>
      </c>
    </row>
    <row r="300" spans="1:14">
      <c r="A300" s="3149">
        <v>298</v>
      </c>
      <c r="B300" s="3153" t="s">
        <v>3511</v>
      </c>
      <c r="C300" s="3153" t="s">
        <v>3808</v>
      </c>
      <c r="D300" s="3153">
        <v>36.56</v>
      </c>
      <c r="E300" s="3154">
        <v>11.21</v>
      </c>
      <c r="F300" s="3149" t="s">
        <v>4270</v>
      </c>
      <c r="I300" s="3149">
        <v>298</v>
      </c>
      <c r="J300" s="3153" t="s">
        <v>3932</v>
      </c>
      <c r="K300" s="3153" t="s">
        <v>4229</v>
      </c>
      <c r="L300" s="3153">
        <v>41.97</v>
      </c>
      <c r="M300" s="3154">
        <v>9.7100000000000009</v>
      </c>
      <c r="N300" s="3149" t="s">
        <v>4270</v>
      </c>
    </row>
    <row r="301" spans="1:14">
      <c r="A301" s="3149">
        <v>299</v>
      </c>
      <c r="B301" s="3153" t="s">
        <v>3511</v>
      </c>
      <c r="C301" s="3153" t="s">
        <v>3809</v>
      </c>
      <c r="D301" s="3153">
        <v>36.56</v>
      </c>
      <c r="E301" s="3154">
        <v>11.21</v>
      </c>
      <c r="F301" s="3149" t="s">
        <v>4270</v>
      </c>
      <c r="I301" s="3149">
        <v>299</v>
      </c>
      <c r="J301" s="3153" t="s">
        <v>3932</v>
      </c>
      <c r="K301" s="3153" t="s">
        <v>4230</v>
      </c>
      <c r="L301" s="3153">
        <v>41.97</v>
      </c>
      <c r="M301" s="3154">
        <v>9.7100000000000009</v>
      </c>
      <c r="N301" s="3149" t="s">
        <v>4270</v>
      </c>
    </row>
    <row r="302" spans="1:14">
      <c r="A302" s="3149">
        <v>300</v>
      </c>
      <c r="B302" s="3153" t="s">
        <v>3511</v>
      </c>
      <c r="C302" s="3153" t="s">
        <v>3810</v>
      </c>
      <c r="D302" s="3153">
        <v>38.130000000000003</v>
      </c>
      <c r="E302" s="3154">
        <v>11.69</v>
      </c>
      <c r="F302" s="3149" t="s">
        <v>4270</v>
      </c>
      <c r="I302" s="3149">
        <v>300</v>
      </c>
      <c r="J302" s="3153" t="s">
        <v>3932</v>
      </c>
      <c r="K302" s="3153" t="s">
        <v>4231</v>
      </c>
      <c r="L302" s="3153">
        <v>43.78</v>
      </c>
      <c r="M302" s="3154">
        <v>10.130000000000001</v>
      </c>
      <c r="N302" s="3149" t="s">
        <v>4270</v>
      </c>
    </row>
    <row r="303" spans="1:14">
      <c r="A303" s="3149">
        <v>301</v>
      </c>
      <c r="B303" s="3153" t="s">
        <v>3511</v>
      </c>
      <c r="C303" s="3153" t="s">
        <v>3811</v>
      </c>
      <c r="D303" s="3153">
        <v>36.56</v>
      </c>
      <c r="E303" s="3154">
        <v>11.21</v>
      </c>
      <c r="F303" s="3149" t="s">
        <v>4270</v>
      </c>
      <c r="I303" s="3149">
        <v>301</v>
      </c>
      <c r="J303" s="3153" t="s">
        <v>3932</v>
      </c>
      <c r="K303" s="3153" t="s">
        <v>4232</v>
      </c>
      <c r="L303" s="3153">
        <v>41.97</v>
      </c>
      <c r="M303" s="3154">
        <v>9.7100000000000009</v>
      </c>
      <c r="N303" s="3149" t="s">
        <v>4270</v>
      </c>
    </row>
    <row r="304" spans="1:14">
      <c r="A304" s="3149">
        <v>302</v>
      </c>
      <c r="B304" s="3153" t="s">
        <v>3511</v>
      </c>
      <c r="C304" s="3153" t="s">
        <v>3812</v>
      </c>
      <c r="D304" s="3153">
        <v>36.56</v>
      </c>
      <c r="E304" s="3154">
        <v>11.21</v>
      </c>
      <c r="F304" s="3149" t="s">
        <v>4270</v>
      </c>
      <c r="I304" s="3149">
        <v>302</v>
      </c>
      <c r="J304" s="3153" t="s">
        <v>3932</v>
      </c>
      <c r="K304" s="3153" t="s">
        <v>4233</v>
      </c>
      <c r="L304" s="3153">
        <v>41.97</v>
      </c>
      <c r="M304" s="3154">
        <v>9.7100000000000009</v>
      </c>
      <c r="N304" s="3149" t="s">
        <v>4270</v>
      </c>
    </row>
    <row r="305" spans="1:14">
      <c r="A305" s="3149">
        <v>303</v>
      </c>
      <c r="B305" s="3153" t="s">
        <v>3511</v>
      </c>
      <c r="C305" s="3153" t="s">
        <v>3813</v>
      </c>
      <c r="D305" s="3153">
        <v>36.56</v>
      </c>
      <c r="E305" s="3154">
        <v>11.21</v>
      </c>
      <c r="F305" s="3149" t="s">
        <v>4270</v>
      </c>
      <c r="I305" s="3149">
        <v>303</v>
      </c>
      <c r="J305" s="3153" t="s">
        <v>3932</v>
      </c>
      <c r="K305" s="3153" t="s">
        <v>4234</v>
      </c>
      <c r="L305" s="3153">
        <v>43.78</v>
      </c>
      <c r="M305" s="3154">
        <v>10.130000000000001</v>
      </c>
      <c r="N305" s="3149" t="s">
        <v>4270</v>
      </c>
    </row>
    <row r="306" spans="1:14">
      <c r="A306" s="3149">
        <v>304</v>
      </c>
      <c r="B306" s="3153" t="s">
        <v>3511</v>
      </c>
      <c r="C306" s="3153" t="s">
        <v>3814</v>
      </c>
      <c r="D306" s="3153">
        <v>36.56</v>
      </c>
      <c r="E306" s="3154">
        <v>11.21</v>
      </c>
      <c r="F306" s="3149" t="s">
        <v>4270</v>
      </c>
      <c r="I306" s="3149">
        <v>304</v>
      </c>
      <c r="J306" s="3153" t="s">
        <v>3932</v>
      </c>
      <c r="K306" s="3153" t="s">
        <v>4235</v>
      </c>
      <c r="L306" s="3153">
        <v>41.97</v>
      </c>
      <c r="M306" s="3154">
        <v>9.7100000000000009</v>
      </c>
      <c r="N306" s="3149" t="s">
        <v>4270</v>
      </c>
    </row>
    <row r="307" spans="1:14">
      <c r="A307" s="3149">
        <v>305</v>
      </c>
      <c r="B307" s="3153" t="s">
        <v>3511</v>
      </c>
      <c r="C307" s="3153" t="s">
        <v>3815</v>
      </c>
      <c r="D307" s="3153">
        <v>38.130000000000003</v>
      </c>
      <c r="E307" s="3154">
        <v>11.69</v>
      </c>
      <c r="F307" s="3149" t="s">
        <v>4270</v>
      </c>
      <c r="I307" s="3149">
        <v>305</v>
      </c>
      <c r="J307" s="3153" t="s">
        <v>3932</v>
      </c>
      <c r="K307" s="3153" t="s">
        <v>4236</v>
      </c>
      <c r="L307" s="3153">
        <v>43.78</v>
      </c>
      <c r="M307" s="3154">
        <v>10.130000000000001</v>
      </c>
      <c r="N307" s="3149" t="s">
        <v>4270</v>
      </c>
    </row>
    <row r="308" spans="1:14">
      <c r="A308" s="3149">
        <v>306</v>
      </c>
      <c r="B308" s="3153" t="s">
        <v>3511</v>
      </c>
      <c r="C308" s="3153" t="s">
        <v>3816</v>
      </c>
      <c r="D308" s="3153">
        <v>36.56</v>
      </c>
      <c r="E308" s="3154">
        <v>11.21</v>
      </c>
      <c r="F308" s="3149" t="s">
        <v>4270</v>
      </c>
      <c r="I308" s="3149">
        <v>306</v>
      </c>
      <c r="J308" s="3153" t="s">
        <v>3932</v>
      </c>
      <c r="K308" s="3153" t="s">
        <v>4237</v>
      </c>
      <c r="L308" s="3153">
        <v>41.97</v>
      </c>
      <c r="M308" s="3154">
        <v>9.7100000000000009</v>
      </c>
      <c r="N308" s="3149" t="s">
        <v>4270</v>
      </c>
    </row>
    <row r="309" spans="1:14">
      <c r="A309" s="3149">
        <v>307</v>
      </c>
      <c r="B309" s="3153" t="s">
        <v>3511</v>
      </c>
      <c r="C309" s="3153" t="s">
        <v>3817</v>
      </c>
      <c r="D309" s="3153">
        <v>36.56</v>
      </c>
      <c r="E309" s="3154">
        <v>11.21</v>
      </c>
      <c r="F309" s="3149" t="s">
        <v>4270</v>
      </c>
      <c r="I309" s="3149">
        <v>307</v>
      </c>
      <c r="J309" s="3153" t="s">
        <v>3932</v>
      </c>
      <c r="K309" s="3153" t="s">
        <v>4238</v>
      </c>
      <c r="L309" s="3153">
        <v>41.97</v>
      </c>
      <c r="M309" s="3154">
        <v>9.7100000000000009</v>
      </c>
      <c r="N309" s="3149" t="s">
        <v>4270</v>
      </c>
    </row>
    <row r="310" spans="1:14">
      <c r="A310" s="3149">
        <v>308</v>
      </c>
      <c r="B310" s="3153" t="s">
        <v>3511</v>
      </c>
      <c r="C310" s="3153" t="s">
        <v>3818</v>
      </c>
      <c r="D310" s="3153">
        <v>38.130000000000003</v>
      </c>
      <c r="E310" s="3154">
        <v>11.69</v>
      </c>
      <c r="F310" s="3149" t="s">
        <v>4270</v>
      </c>
      <c r="I310" s="3149">
        <v>308</v>
      </c>
      <c r="J310" s="3153" t="s">
        <v>3932</v>
      </c>
      <c r="K310" s="3153" t="s">
        <v>4239</v>
      </c>
      <c r="L310" s="3153">
        <v>43.78</v>
      </c>
      <c r="M310" s="3154">
        <v>10.130000000000001</v>
      </c>
      <c r="N310" s="3149" t="s">
        <v>4270</v>
      </c>
    </row>
    <row r="311" spans="1:14">
      <c r="A311" s="3149">
        <v>309</v>
      </c>
      <c r="B311" s="3153" t="s">
        <v>3511</v>
      </c>
      <c r="C311" s="3153" t="s">
        <v>3819</v>
      </c>
      <c r="D311" s="3153">
        <v>36.56</v>
      </c>
      <c r="E311" s="3154">
        <v>11.21</v>
      </c>
      <c r="F311" s="3149" t="s">
        <v>4270</v>
      </c>
      <c r="I311" s="3149">
        <v>309</v>
      </c>
      <c r="J311" s="3153" t="s">
        <v>3932</v>
      </c>
      <c r="K311" s="3153" t="s">
        <v>4240</v>
      </c>
      <c r="L311" s="3153">
        <v>41.97</v>
      </c>
      <c r="M311" s="3154">
        <v>9.7100000000000009</v>
      </c>
      <c r="N311" s="3149" t="s">
        <v>4270</v>
      </c>
    </row>
    <row r="312" spans="1:14">
      <c r="A312" s="3149">
        <v>310</v>
      </c>
      <c r="B312" s="3153" t="s">
        <v>3511</v>
      </c>
      <c r="C312" s="3153" t="s">
        <v>3820</v>
      </c>
      <c r="D312" s="3153">
        <v>36.56</v>
      </c>
      <c r="E312" s="3154">
        <v>11.21</v>
      </c>
      <c r="F312" s="3149" t="s">
        <v>4270</v>
      </c>
      <c r="I312" s="3149">
        <v>310</v>
      </c>
      <c r="J312" s="3153" t="s">
        <v>3932</v>
      </c>
      <c r="K312" s="3153" t="s">
        <v>4241</v>
      </c>
      <c r="L312" s="3153">
        <v>41.97</v>
      </c>
      <c r="M312" s="3154">
        <v>9.7100000000000009</v>
      </c>
      <c r="N312" s="3149" t="s">
        <v>4270</v>
      </c>
    </row>
    <row r="313" spans="1:14">
      <c r="A313" s="3149">
        <v>311</v>
      </c>
      <c r="B313" s="3153" t="s">
        <v>3511</v>
      </c>
      <c r="C313" s="3153" t="s">
        <v>3821</v>
      </c>
      <c r="D313" s="3153">
        <v>38.130000000000003</v>
      </c>
      <c r="E313" s="3154">
        <v>11.69</v>
      </c>
      <c r="F313" s="3149" t="s">
        <v>4270</v>
      </c>
      <c r="I313" s="3149">
        <v>311</v>
      </c>
      <c r="J313" s="3153" t="s">
        <v>3932</v>
      </c>
      <c r="K313" s="3153" t="s">
        <v>4242</v>
      </c>
      <c r="L313" s="3153">
        <v>43.78</v>
      </c>
      <c r="M313" s="3154">
        <v>10.130000000000001</v>
      </c>
      <c r="N313" s="3149" t="s">
        <v>4270</v>
      </c>
    </row>
    <row r="314" spans="1:14">
      <c r="A314" s="3149">
        <v>312</v>
      </c>
      <c r="B314" s="3153" t="s">
        <v>3511</v>
      </c>
      <c r="C314" s="3153" t="s">
        <v>3822</v>
      </c>
      <c r="D314" s="3153">
        <v>36.56</v>
      </c>
      <c r="E314" s="3154">
        <v>11.21</v>
      </c>
      <c r="F314" s="3149" t="s">
        <v>4270</v>
      </c>
      <c r="I314" s="3149">
        <v>312</v>
      </c>
      <c r="J314" s="3153" t="s">
        <v>3932</v>
      </c>
      <c r="K314" s="3153" t="s">
        <v>4243</v>
      </c>
      <c r="L314" s="3153">
        <v>41.97</v>
      </c>
      <c r="M314" s="3154">
        <v>9.7100000000000009</v>
      </c>
      <c r="N314" s="3149" t="s">
        <v>4270</v>
      </c>
    </row>
    <row r="315" spans="1:14">
      <c r="A315" s="3149">
        <v>313</v>
      </c>
      <c r="B315" s="3153" t="s">
        <v>3511</v>
      </c>
      <c r="C315" s="3153" t="s">
        <v>3823</v>
      </c>
      <c r="D315" s="3153">
        <v>36.56</v>
      </c>
      <c r="E315" s="3154">
        <v>11.21</v>
      </c>
      <c r="F315" s="3149" t="s">
        <v>4270</v>
      </c>
      <c r="I315" s="3149">
        <v>313</v>
      </c>
      <c r="J315" s="3153" t="s">
        <v>3932</v>
      </c>
      <c r="K315" s="3153" t="s">
        <v>4244</v>
      </c>
      <c r="L315" s="3153">
        <v>41.97</v>
      </c>
      <c r="M315" s="3154">
        <v>9.7100000000000009</v>
      </c>
      <c r="N315" s="3149" t="s">
        <v>4270</v>
      </c>
    </row>
    <row r="316" spans="1:14">
      <c r="A316" s="3149">
        <v>314</v>
      </c>
      <c r="B316" s="3153" t="s">
        <v>3511</v>
      </c>
      <c r="C316" s="3153" t="s">
        <v>3824</v>
      </c>
      <c r="D316" s="3153">
        <v>38.130000000000003</v>
      </c>
      <c r="E316" s="3154">
        <v>11.69</v>
      </c>
      <c r="F316" s="3149" t="s">
        <v>4270</v>
      </c>
      <c r="I316" s="3149">
        <v>314</v>
      </c>
      <c r="J316" s="3153" t="s">
        <v>3932</v>
      </c>
      <c r="K316" s="3153" t="s">
        <v>4245</v>
      </c>
      <c r="L316" s="3153">
        <v>43.78</v>
      </c>
      <c r="M316" s="3154">
        <v>10.130000000000001</v>
      </c>
      <c r="N316" s="3149" t="s">
        <v>4270</v>
      </c>
    </row>
    <row r="317" spans="1:14">
      <c r="A317" s="3149">
        <v>315</v>
      </c>
      <c r="B317" s="3153" t="s">
        <v>3511</v>
      </c>
      <c r="C317" s="3153" t="s">
        <v>3825</v>
      </c>
      <c r="D317" s="3153">
        <v>36.56</v>
      </c>
      <c r="E317" s="3154">
        <v>11.21</v>
      </c>
      <c r="F317" s="3149" t="s">
        <v>4270</v>
      </c>
      <c r="I317" s="3149">
        <v>315</v>
      </c>
      <c r="J317" s="3153" t="s">
        <v>3932</v>
      </c>
      <c r="K317" s="3153" t="s">
        <v>4246</v>
      </c>
      <c r="L317" s="3153">
        <v>41.97</v>
      </c>
      <c r="M317" s="3154">
        <v>9.7100000000000009</v>
      </c>
      <c r="N317" s="3149" t="s">
        <v>4270</v>
      </c>
    </row>
    <row r="318" spans="1:14">
      <c r="A318" s="3149">
        <v>316</v>
      </c>
      <c r="B318" s="3153" t="s">
        <v>3511</v>
      </c>
      <c r="C318" s="3153" t="s">
        <v>3826</v>
      </c>
      <c r="D318" s="3153">
        <v>36.56</v>
      </c>
      <c r="E318" s="3154">
        <v>11.21</v>
      </c>
      <c r="F318" s="3149" t="s">
        <v>4270</v>
      </c>
      <c r="I318" s="3149">
        <v>316</v>
      </c>
      <c r="J318" s="3153" t="s">
        <v>3932</v>
      </c>
      <c r="K318" s="3153" t="s">
        <v>4247</v>
      </c>
      <c r="L318" s="3153">
        <v>41.97</v>
      </c>
      <c r="M318" s="3154">
        <v>9.7100000000000009</v>
      </c>
      <c r="N318" s="3149" t="s">
        <v>4270</v>
      </c>
    </row>
    <row r="319" spans="1:14">
      <c r="A319" s="3149">
        <v>317</v>
      </c>
      <c r="B319" s="3153" t="s">
        <v>3511</v>
      </c>
      <c r="C319" s="3153" t="s">
        <v>3827</v>
      </c>
      <c r="D319" s="3153">
        <v>36.56</v>
      </c>
      <c r="E319" s="3154">
        <v>11.21</v>
      </c>
      <c r="F319" s="3149" t="s">
        <v>4270</v>
      </c>
      <c r="I319" s="3149">
        <v>317</v>
      </c>
      <c r="J319" s="3153" t="s">
        <v>3932</v>
      </c>
      <c r="K319" s="3153" t="s">
        <v>4248</v>
      </c>
      <c r="L319" s="3153">
        <v>43.78</v>
      </c>
      <c r="M319" s="3154">
        <v>10.130000000000001</v>
      </c>
      <c r="N319" s="3149" t="s">
        <v>4270</v>
      </c>
    </row>
    <row r="320" spans="1:14">
      <c r="A320" s="3149">
        <v>318</v>
      </c>
      <c r="B320" s="3153" t="s">
        <v>3511</v>
      </c>
      <c r="C320" s="3153" t="s">
        <v>3828</v>
      </c>
      <c r="D320" s="3153">
        <v>36.56</v>
      </c>
      <c r="E320" s="3154">
        <v>11.21</v>
      </c>
      <c r="F320" s="3149" t="s">
        <v>4270</v>
      </c>
      <c r="I320" s="3149">
        <v>318</v>
      </c>
      <c r="J320" s="3153" t="s">
        <v>3932</v>
      </c>
      <c r="K320" s="3153" t="s">
        <v>4249</v>
      </c>
      <c r="L320" s="3153">
        <v>41.97</v>
      </c>
      <c r="M320" s="3154">
        <v>9.7100000000000009</v>
      </c>
      <c r="N320" s="3149" t="s">
        <v>4270</v>
      </c>
    </row>
    <row r="321" spans="1:14">
      <c r="A321" s="3149">
        <v>319</v>
      </c>
      <c r="B321" s="3153" t="s">
        <v>3511</v>
      </c>
      <c r="C321" s="3153" t="s">
        <v>3829</v>
      </c>
      <c r="D321" s="3153">
        <v>36.56</v>
      </c>
      <c r="E321" s="3154">
        <v>11.21</v>
      </c>
      <c r="F321" s="3149" t="s">
        <v>4270</v>
      </c>
      <c r="I321" s="3149">
        <v>319</v>
      </c>
      <c r="J321" s="3153" t="s">
        <v>3932</v>
      </c>
      <c r="K321" s="3153" t="s">
        <v>4250</v>
      </c>
      <c r="L321" s="3153">
        <v>41.97</v>
      </c>
      <c r="M321" s="3154">
        <v>9.7100000000000009</v>
      </c>
      <c r="N321" s="3149" t="s">
        <v>4270</v>
      </c>
    </row>
    <row r="322" spans="1:14">
      <c r="A322" s="3149">
        <v>320</v>
      </c>
      <c r="B322" s="3153" t="s">
        <v>3511</v>
      </c>
      <c r="C322" s="3153" t="s">
        <v>3830</v>
      </c>
      <c r="D322" s="3153">
        <v>36.56</v>
      </c>
      <c r="E322" s="3154">
        <v>11.21</v>
      </c>
      <c r="F322" s="3149" t="s">
        <v>4270</v>
      </c>
      <c r="I322" s="3149">
        <v>320</v>
      </c>
      <c r="J322" s="3153" t="s">
        <v>3932</v>
      </c>
      <c r="K322" s="3153" t="s">
        <v>4251</v>
      </c>
      <c r="L322" s="3153">
        <v>43.78</v>
      </c>
      <c r="M322" s="3154">
        <v>10.130000000000001</v>
      </c>
      <c r="N322" s="3149" t="s">
        <v>4270</v>
      </c>
    </row>
    <row r="323" spans="1:14">
      <c r="A323" s="3149">
        <v>321</v>
      </c>
      <c r="B323" s="3153" t="s">
        <v>3511</v>
      </c>
      <c r="C323" s="3153" t="s">
        <v>3831</v>
      </c>
      <c r="D323" s="3153">
        <v>36.56</v>
      </c>
      <c r="E323" s="3154">
        <v>11.21</v>
      </c>
      <c r="F323" s="3149" t="s">
        <v>4270</v>
      </c>
      <c r="I323" s="3149">
        <v>321</v>
      </c>
      <c r="J323" s="3153" t="s">
        <v>3932</v>
      </c>
      <c r="K323" s="3153" t="s">
        <v>4252</v>
      </c>
      <c r="L323" s="3153">
        <v>41.97</v>
      </c>
      <c r="M323" s="3154">
        <v>9.7100000000000009</v>
      </c>
      <c r="N323" s="3149" t="s">
        <v>4270</v>
      </c>
    </row>
    <row r="324" spans="1:14">
      <c r="A324" s="3149">
        <v>322</v>
      </c>
      <c r="B324" s="3153" t="s">
        <v>3511</v>
      </c>
      <c r="C324" s="3153" t="s">
        <v>3832</v>
      </c>
      <c r="D324" s="3153">
        <v>38.130000000000003</v>
      </c>
      <c r="E324" s="3154">
        <v>11.69</v>
      </c>
      <c r="F324" s="3149" t="s">
        <v>4270</v>
      </c>
      <c r="I324" s="3149">
        <v>322</v>
      </c>
      <c r="J324" s="3153" t="s">
        <v>3932</v>
      </c>
      <c r="K324" s="3153" t="s">
        <v>4253</v>
      </c>
      <c r="L324" s="3153">
        <v>41.97</v>
      </c>
      <c r="M324" s="3154">
        <v>9.7100000000000009</v>
      </c>
      <c r="N324" s="3149" t="s">
        <v>4270</v>
      </c>
    </row>
    <row r="325" spans="1:14">
      <c r="A325" s="3149">
        <v>323</v>
      </c>
      <c r="B325" s="3153" t="s">
        <v>3511</v>
      </c>
      <c r="C325" s="3153" t="s">
        <v>3833</v>
      </c>
      <c r="D325" s="3153">
        <v>36.56</v>
      </c>
      <c r="E325" s="3154">
        <v>11.21</v>
      </c>
      <c r="F325" s="3149" t="s">
        <v>4270</v>
      </c>
      <c r="I325" s="3149">
        <v>323</v>
      </c>
      <c r="J325" s="3153" t="s">
        <v>3932</v>
      </c>
      <c r="K325" s="3153" t="s">
        <v>4254</v>
      </c>
      <c r="L325" s="3153">
        <v>43.78</v>
      </c>
      <c r="M325" s="3154">
        <v>10.130000000000001</v>
      </c>
      <c r="N325" s="3149" t="s">
        <v>4270</v>
      </c>
    </row>
    <row r="326" spans="1:14">
      <c r="A326" s="3149">
        <v>324</v>
      </c>
      <c r="B326" s="3153" t="s">
        <v>3511</v>
      </c>
      <c r="C326" s="3153" t="s">
        <v>3834</v>
      </c>
      <c r="D326" s="3153">
        <v>36.56</v>
      </c>
      <c r="E326" s="3154">
        <v>11.21</v>
      </c>
      <c r="F326" s="3149" t="s">
        <v>4270</v>
      </c>
      <c r="I326" s="3149">
        <v>324</v>
      </c>
      <c r="J326" s="3153" t="s">
        <v>3932</v>
      </c>
      <c r="K326" s="3153" t="s">
        <v>4255</v>
      </c>
      <c r="L326" s="3153">
        <v>41.97</v>
      </c>
      <c r="M326" s="3154">
        <v>9.7100000000000009</v>
      </c>
      <c r="N326" s="3149" t="s">
        <v>4270</v>
      </c>
    </row>
    <row r="327" spans="1:14">
      <c r="A327" s="3149">
        <v>325</v>
      </c>
      <c r="B327" s="3153" t="s">
        <v>3511</v>
      </c>
      <c r="C327" s="3153" t="s">
        <v>3835</v>
      </c>
      <c r="D327" s="3153">
        <v>38.130000000000003</v>
      </c>
      <c r="E327" s="3154">
        <v>11.69</v>
      </c>
      <c r="F327" s="3149" t="s">
        <v>4270</v>
      </c>
      <c r="I327" s="3149">
        <v>325</v>
      </c>
      <c r="J327" s="3153" t="s">
        <v>3932</v>
      </c>
      <c r="K327" s="3153" t="s">
        <v>4256</v>
      </c>
      <c r="L327" s="3153">
        <v>41.97</v>
      </c>
      <c r="M327" s="3154">
        <v>9.7100000000000009</v>
      </c>
      <c r="N327" s="3149" t="s">
        <v>4270</v>
      </c>
    </row>
    <row r="328" spans="1:14">
      <c r="A328" s="3149">
        <v>326</v>
      </c>
      <c r="B328" s="3153" t="s">
        <v>3511</v>
      </c>
      <c r="C328" s="3153" t="s">
        <v>3836</v>
      </c>
      <c r="D328" s="3153">
        <v>36.56</v>
      </c>
      <c r="E328" s="3154">
        <v>11.21</v>
      </c>
      <c r="F328" s="3149" t="s">
        <v>4270</v>
      </c>
      <c r="I328" s="3149">
        <v>326</v>
      </c>
      <c r="J328" s="3153" t="s">
        <v>3932</v>
      </c>
      <c r="K328" s="3153" t="s">
        <v>4257</v>
      </c>
      <c r="L328" s="3153">
        <v>43.78</v>
      </c>
      <c r="M328" s="3154">
        <v>10.130000000000001</v>
      </c>
      <c r="N328" s="3149" t="s">
        <v>4270</v>
      </c>
    </row>
    <row r="329" spans="1:14">
      <c r="A329" s="3149">
        <v>327</v>
      </c>
      <c r="B329" s="3153" t="s">
        <v>3511</v>
      </c>
      <c r="C329" s="3153" t="s">
        <v>3837</v>
      </c>
      <c r="D329" s="3153">
        <v>36.56</v>
      </c>
      <c r="E329" s="3154">
        <v>11.21</v>
      </c>
      <c r="F329" s="3149" t="s">
        <v>4270</v>
      </c>
      <c r="I329" s="3149">
        <v>327</v>
      </c>
      <c r="J329" s="3153" t="s">
        <v>3932</v>
      </c>
      <c r="K329" s="3153" t="s">
        <v>4258</v>
      </c>
      <c r="L329" s="3153">
        <v>41.97</v>
      </c>
      <c r="M329" s="3154">
        <v>9.7100000000000009</v>
      </c>
      <c r="N329" s="3149" t="s">
        <v>4270</v>
      </c>
    </row>
    <row r="330" spans="1:14">
      <c r="A330" s="3149">
        <v>328</v>
      </c>
      <c r="B330" s="3153" t="s">
        <v>3511</v>
      </c>
      <c r="C330" s="3153" t="s">
        <v>3838</v>
      </c>
      <c r="D330" s="3153">
        <v>38.130000000000003</v>
      </c>
      <c r="E330" s="3154">
        <v>11.69</v>
      </c>
      <c r="F330" s="3149" t="s">
        <v>4270</v>
      </c>
      <c r="I330" s="3149">
        <v>328</v>
      </c>
      <c r="J330" s="3153" t="s">
        <v>3932</v>
      </c>
      <c r="K330" s="3153" t="s">
        <v>4259</v>
      </c>
      <c r="L330" s="3153">
        <v>41.97</v>
      </c>
      <c r="M330" s="3154">
        <v>9.7100000000000009</v>
      </c>
      <c r="N330" s="3149" t="s">
        <v>4270</v>
      </c>
    </row>
    <row r="331" spans="1:14">
      <c r="A331" s="3149">
        <v>329</v>
      </c>
      <c r="B331" s="3153" t="s">
        <v>3511</v>
      </c>
      <c r="C331" s="3153" t="s">
        <v>3839</v>
      </c>
      <c r="D331" s="3153">
        <v>36.56</v>
      </c>
      <c r="E331" s="3154">
        <v>11.21</v>
      </c>
      <c r="F331" s="3149" t="s">
        <v>4270</v>
      </c>
      <c r="I331" s="3149">
        <v>329</v>
      </c>
      <c r="J331" s="3153" t="s">
        <v>3932</v>
      </c>
      <c r="K331" s="3153" t="s">
        <v>4260</v>
      </c>
      <c r="L331" s="3153">
        <v>43.78</v>
      </c>
      <c r="M331" s="3154">
        <v>10.130000000000001</v>
      </c>
      <c r="N331" s="3149" t="s">
        <v>4270</v>
      </c>
    </row>
    <row r="332" spans="1:14">
      <c r="A332" s="3149">
        <v>330</v>
      </c>
      <c r="B332" s="3153" t="s">
        <v>3511</v>
      </c>
      <c r="C332" s="3153" t="s">
        <v>3840</v>
      </c>
      <c r="D332" s="3153">
        <v>36.56</v>
      </c>
      <c r="E332" s="3154">
        <v>11.21</v>
      </c>
      <c r="F332" s="3149" t="s">
        <v>4270</v>
      </c>
      <c r="I332" s="3149">
        <v>330</v>
      </c>
      <c r="J332" s="3153" t="s">
        <v>3932</v>
      </c>
      <c r="K332" s="3153" t="s">
        <v>4261</v>
      </c>
      <c r="L332" s="3153">
        <v>41.97</v>
      </c>
      <c r="M332" s="3154">
        <v>9.7100000000000009</v>
      </c>
      <c r="N332" s="3149" t="s">
        <v>4270</v>
      </c>
    </row>
    <row r="333" spans="1:14">
      <c r="A333" s="3149">
        <v>331</v>
      </c>
      <c r="B333" s="3153" t="s">
        <v>3511</v>
      </c>
      <c r="C333" s="3153" t="s">
        <v>3841</v>
      </c>
      <c r="D333" s="3153">
        <v>38.130000000000003</v>
      </c>
      <c r="E333" s="3154">
        <v>11.69</v>
      </c>
      <c r="F333" s="3149" t="s">
        <v>4270</v>
      </c>
      <c r="I333" s="3149">
        <v>331</v>
      </c>
      <c r="J333" s="3153" t="s">
        <v>3932</v>
      </c>
      <c r="K333" s="3153" t="s">
        <v>4262</v>
      </c>
      <c r="L333" s="3153">
        <v>41.97</v>
      </c>
      <c r="M333" s="3154">
        <v>9.7100000000000009</v>
      </c>
      <c r="N333" s="3149" t="s">
        <v>4270</v>
      </c>
    </row>
    <row r="334" spans="1:14">
      <c r="A334" s="3149">
        <v>332</v>
      </c>
      <c r="B334" s="3153" t="s">
        <v>3511</v>
      </c>
      <c r="C334" s="3153" t="s">
        <v>3842</v>
      </c>
      <c r="D334" s="3153">
        <v>36.56</v>
      </c>
      <c r="E334" s="3154">
        <v>11.21</v>
      </c>
      <c r="F334" s="3149" t="s">
        <v>4270</v>
      </c>
      <c r="I334" s="3149">
        <v>332</v>
      </c>
      <c r="J334" s="3153" t="s">
        <v>3932</v>
      </c>
      <c r="K334" s="3153" t="s">
        <v>4263</v>
      </c>
      <c r="L334" s="3153">
        <v>41.97</v>
      </c>
      <c r="M334" s="3154">
        <v>9.7100000000000009</v>
      </c>
      <c r="N334" s="3149" t="s">
        <v>4270</v>
      </c>
    </row>
    <row r="335" spans="1:14">
      <c r="A335" s="3149">
        <v>333</v>
      </c>
      <c r="B335" s="3153" t="s">
        <v>3511</v>
      </c>
      <c r="C335" s="3153" t="s">
        <v>3843</v>
      </c>
      <c r="D335" s="3153">
        <v>36.56</v>
      </c>
      <c r="E335" s="3154">
        <v>11.21</v>
      </c>
      <c r="F335" s="3149" t="s">
        <v>4270</v>
      </c>
      <c r="I335" s="3149">
        <v>333</v>
      </c>
      <c r="J335" s="3153" t="s">
        <v>3932</v>
      </c>
      <c r="K335" s="3153" t="s">
        <v>4264</v>
      </c>
      <c r="L335" s="3153">
        <v>41.97</v>
      </c>
      <c r="M335" s="3154">
        <v>9.7100000000000009</v>
      </c>
      <c r="N335" s="3149" t="s">
        <v>4270</v>
      </c>
    </row>
    <row r="336" spans="1:14">
      <c r="A336" s="3149">
        <v>334</v>
      </c>
      <c r="B336" s="3153" t="s">
        <v>3511</v>
      </c>
      <c r="C336" s="3153" t="s">
        <v>3844</v>
      </c>
      <c r="D336" s="3153">
        <v>38.130000000000003</v>
      </c>
      <c r="E336" s="3154">
        <v>11.69</v>
      </c>
      <c r="F336" s="3149" t="s">
        <v>4270</v>
      </c>
      <c r="I336" s="3149">
        <v>334</v>
      </c>
      <c r="J336" s="3153" t="s">
        <v>3932</v>
      </c>
      <c r="K336" s="3153" t="s">
        <v>4265</v>
      </c>
      <c r="L336" s="3153">
        <v>43.78</v>
      </c>
      <c r="M336" s="3154">
        <v>10.130000000000001</v>
      </c>
      <c r="N336" s="3149" t="s">
        <v>4270</v>
      </c>
    </row>
    <row r="337" spans="1:14">
      <c r="A337" s="3149">
        <v>335</v>
      </c>
      <c r="B337" s="3153" t="s">
        <v>3511</v>
      </c>
      <c r="C337" s="3153" t="s">
        <v>3845</v>
      </c>
      <c r="D337" s="3153">
        <v>36.56</v>
      </c>
      <c r="E337" s="3154">
        <v>11.21</v>
      </c>
      <c r="F337" s="3149" t="s">
        <v>4270</v>
      </c>
      <c r="I337" s="3149">
        <v>335</v>
      </c>
      <c r="J337" s="3153" t="s">
        <v>3932</v>
      </c>
      <c r="K337" s="3153" t="s">
        <v>4266</v>
      </c>
      <c r="L337" s="3153">
        <v>43.78</v>
      </c>
      <c r="M337" s="3154">
        <v>10.130000000000001</v>
      </c>
      <c r="N337" s="3149" t="s">
        <v>4270</v>
      </c>
    </row>
    <row r="338" spans="1:14">
      <c r="A338" s="3149">
        <v>336</v>
      </c>
      <c r="B338" s="3153" t="s">
        <v>3511</v>
      </c>
      <c r="C338" s="3153" t="s">
        <v>3846</v>
      </c>
      <c r="D338" s="3153">
        <v>36.56</v>
      </c>
      <c r="E338" s="3154">
        <v>11.21</v>
      </c>
      <c r="F338" s="3149" t="s">
        <v>4270</v>
      </c>
      <c r="I338" s="3149">
        <v>336</v>
      </c>
      <c r="J338" s="3153" t="s">
        <v>3932</v>
      </c>
      <c r="K338" s="3153" t="s">
        <v>4267</v>
      </c>
      <c r="L338" s="3153">
        <v>41.97</v>
      </c>
      <c r="M338" s="3154">
        <v>9.7100000000000009</v>
      </c>
      <c r="N338" s="3149" t="s">
        <v>4270</v>
      </c>
    </row>
    <row r="339" spans="1:14">
      <c r="A339" s="3149">
        <v>337</v>
      </c>
      <c r="B339" s="3153" t="s">
        <v>3511</v>
      </c>
      <c r="C339" s="3153" t="s">
        <v>3847</v>
      </c>
      <c r="D339" s="3153">
        <v>38.130000000000003</v>
      </c>
      <c r="E339" s="3154">
        <v>11.69</v>
      </c>
      <c r="F339" s="3149" t="s">
        <v>4270</v>
      </c>
      <c r="I339" s="3149">
        <v>337</v>
      </c>
      <c r="J339" s="3153" t="s">
        <v>3932</v>
      </c>
      <c r="K339" s="3153" t="s">
        <v>4268</v>
      </c>
      <c r="L339" s="3153">
        <v>41.97</v>
      </c>
      <c r="M339" s="3154">
        <v>9.7100000000000009</v>
      </c>
      <c r="N339" s="3149" t="s">
        <v>4270</v>
      </c>
    </row>
    <row r="340" spans="1:14">
      <c r="A340" s="3149">
        <v>338</v>
      </c>
      <c r="B340" s="3153" t="s">
        <v>3511</v>
      </c>
      <c r="C340" s="3153" t="s">
        <v>3848</v>
      </c>
      <c r="D340" s="3153">
        <v>36.56</v>
      </c>
      <c r="E340" s="3154">
        <v>11.21</v>
      </c>
      <c r="F340" s="3149" t="s">
        <v>4270</v>
      </c>
      <c r="I340" s="3149">
        <v>338</v>
      </c>
      <c r="J340" s="3153" t="s">
        <v>3932</v>
      </c>
      <c r="K340" s="3153" t="s">
        <v>4269</v>
      </c>
      <c r="L340" s="3153">
        <v>40.130000000000003</v>
      </c>
      <c r="M340" s="3154">
        <v>9.2799999999999994</v>
      </c>
      <c r="N340" s="3149" t="s">
        <v>4270</v>
      </c>
    </row>
    <row r="341" spans="1:14">
      <c r="A341" s="3149">
        <v>339</v>
      </c>
      <c r="B341" s="3153" t="s">
        <v>3511</v>
      </c>
      <c r="C341" s="3153" t="s">
        <v>3849</v>
      </c>
      <c r="D341" s="3153">
        <v>36.56</v>
      </c>
      <c r="E341" s="3154">
        <v>11.21</v>
      </c>
      <c r="F341" s="3149" t="s">
        <v>4270</v>
      </c>
      <c r="I341" s="3149">
        <v>339</v>
      </c>
      <c r="J341" s="3153" t="s">
        <v>3932</v>
      </c>
      <c r="K341" s="3153">
        <v>-101</v>
      </c>
      <c r="L341" s="3153">
        <v>9581.2999999999993</v>
      </c>
      <c r="M341" s="3154">
        <v>2216.37</v>
      </c>
      <c r="N341" s="3149" t="s">
        <v>4273</v>
      </c>
    </row>
    <row r="342" spans="1:14">
      <c r="A342" s="3149">
        <v>340</v>
      </c>
      <c r="B342" s="3153" t="s">
        <v>3511</v>
      </c>
      <c r="C342" s="3153" t="s">
        <v>3850</v>
      </c>
      <c r="D342" s="3153">
        <v>38.130000000000003</v>
      </c>
      <c r="E342" s="3154">
        <v>11.69</v>
      </c>
      <c r="F342" s="3149" t="s">
        <v>4270</v>
      </c>
      <c r="I342" s="3149" t="s">
        <v>4301</v>
      </c>
      <c r="J342" s="3153"/>
      <c r="K342" s="3153"/>
      <c r="L342" s="3153">
        <f>SUM(L3:L341)</f>
        <v>68049.780000000173</v>
      </c>
      <c r="M342" s="3153">
        <f>ROUND(SUM(M3:M341),2)</f>
        <v>15742.02</v>
      </c>
      <c r="N342" s="3149"/>
    </row>
    <row r="343" spans="1:14">
      <c r="A343" s="3149">
        <v>341</v>
      </c>
      <c r="B343" s="3153" t="s">
        <v>3511</v>
      </c>
      <c r="C343" s="3153" t="s">
        <v>3851</v>
      </c>
      <c r="D343" s="3153">
        <v>36.56</v>
      </c>
      <c r="E343" s="3154">
        <v>11.21</v>
      </c>
      <c r="F343" s="3149" t="s">
        <v>4270</v>
      </c>
      <c r="I343" s="3155" t="s">
        <v>4303</v>
      </c>
      <c r="J343" s="3151"/>
      <c r="K343" s="3151"/>
      <c r="L343" s="3152">
        <f>L3+L341</f>
        <v>53721.66</v>
      </c>
      <c r="M343" s="3152">
        <f>M3+M341</f>
        <v>12427.02</v>
      </c>
    </row>
    <row r="344" spans="1:14">
      <c r="A344" s="3149">
        <v>342</v>
      </c>
      <c r="B344" s="3153" t="s">
        <v>3511</v>
      </c>
      <c r="C344" s="3153" t="s">
        <v>3852</v>
      </c>
      <c r="D344" s="3153">
        <v>36.56</v>
      </c>
      <c r="E344" s="3154">
        <v>11.21</v>
      </c>
      <c r="F344" s="3149" t="s">
        <v>4270</v>
      </c>
      <c r="I344" s="3155" t="s">
        <v>4304</v>
      </c>
      <c r="L344" s="3155">
        <f>SUM(L4:L340)</f>
        <v>14328.11999999997</v>
      </c>
      <c r="M344" s="3155">
        <f>SUM(M4:M340)</f>
        <v>3315.0000000000136</v>
      </c>
    </row>
    <row r="345" spans="1:14">
      <c r="A345" s="3149">
        <v>343</v>
      </c>
      <c r="B345" s="3153" t="s">
        <v>3511</v>
      </c>
      <c r="C345" s="3153" t="s">
        <v>3853</v>
      </c>
      <c r="D345" s="3153">
        <v>38.130000000000003</v>
      </c>
      <c r="E345" s="3154">
        <v>11.69</v>
      </c>
      <c r="F345" s="3149" t="s">
        <v>4270</v>
      </c>
      <c r="I345" s="3155" t="s">
        <v>4305</v>
      </c>
      <c r="L345" s="3155">
        <f>L341+L344</f>
        <v>23909.419999999969</v>
      </c>
      <c r="M345" s="3155">
        <f>M341+M344</f>
        <v>5531.3700000000135</v>
      </c>
    </row>
    <row r="346" spans="1:14">
      <c r="A346" s="3149">
        <v>344</v>
      </c>
      <c r="B346" s="3153" t="s">
        <v>3511</v>
      </c>
      <c r="C346" s="3153" t="s">
        <v>3854</v>
      </c>
      <c r="D346" s="3153">
        <v>36.56</v>
      </c>
      <c r="E346" s="3154">
        <v>11.21</v>
      </c>
      <c r="F346" s="3149" t="s">
        <v>4270</v>
      </c>
    </row>
    <row r="347" spans="1:14">
      <c r="A347" s="3149">
        <v>345</v>
      </c>
      <c r="B347" s="3153" t="s">
        <v>3511</v>
      </c>
      <c r="C347" s="3153" t="s">
        <v>3855</v>
      </c>
      <c r="D347" s="3153">
        <v>36.56</v>
      </c>
      <c r="E347" s="3154">
        <v>11.21</v>
      </c>
      <c r="F347" s="3149" t="s">
        <v>4270</v>
      </c>
    </row>
    <row r="348" spans="1:14">
      <c r="A348" s="3149">
        <v>346</v>
      </c>
      <c r="B348" s="3153" t="s">
        <v>3511</v>
      </c>
      <c r="C348" s="3153" t="s">
        <v>3856</v>
      </c>
      <c r="D348" s="3153">
        <v>38.130000000000003</v>
      </c>
      <c r="E348" s="3154">
        <v>11.69</v>
      </c>
      <c r="F348" s="3149" t="s">
        <v>4270</v>
      </c>
    </row>
    <row r="349" spans="1:14">
      <c r="A349" s="3149">
        <v>347</v>
      </c>
      <c r="B349" s="3153" t="s">
        <v>3511</v>
      </c>
      <c r="C349" s="3153" t="s">
        <v>3857</v>
      </c>
      <c r="D349" s="3153">
        <v>36.56</v>
      </c>
      <c r="E349" s="3154">
        <v>11.21</v>
      </c>
      <c r="F349" s="3149" t="s">
        <v>4270</v>
      </c>
    </row>
    <row r="350" spans="1:14">
      <c r="A350" s="3149">
        <v>348</v>
      </c>
      <c r="B350" s="3153" t="s">
        <v>3511</v>
      </c>
      <c r="C350" s="3153" t="s">
        <v>3858</v>
      </c>
      <c r="D350" s="3153">
        <v>36.56</v>
      </c>
      <c r="E350" s="3154">
        <v>11.21</v>
      </c>
      <c r="F350" s="3149" t="s">
        <v>4270</v>
      </c>
    </row>
    <row r="351" spans="1:14">
      <c r="A351" s="3149">
        <v>349</v>
      </c>
      <c r="B351" s="3153" t="s">
        <v>3511</v>
      </c>
      <c r="C351" s="3153" t="s">
        <v>3859</v>
      </c>
      <c r="D351" s="3153">
        <v>38.130000000000003</v>
      </c>
      <c r="E351" s="3154">
        <v>11.69</v>
      </c>
      <c r="F351" s="3149" t="s">
        <v>4270</v>
      </c>
    </row>
    <row r="352" spans="1:14">
      <c r="A352" s="3149">
        <v>350</v>
      </c>
      <c r="B352" s="3153" t="s">
        <v>3511</v>
      </c>
      <c r="C352" s="3153" t="s">
        <v>3860</v>
      </c>
      <c r="D352" s="3153">
        <v>36.56</v>
      </c>
      <c r="E352" s="3154">
        <v>11.21</v>
      </c>
      <c r="F352" s="3149" t="s">
        <v>4270</v>
      </c>
    </row>
    <row r="353" spans="1:6">
      <c r="A353" s="3149">
        <v>351</v>
      </c>
      <c r="B353" s="3153" t="s">
        <v>3511</v>
      </c>
      <c r="C353" s="3153" t="s">
        <v>3861</v>
      </c>
      <c r="D353" s="3153">
        <v>36.56</v>
      </c>
      <c r="E353" s="3154">
        <v>11.21</v>
      </c>
      <c r="F353" s="3149" t="s">
        <v>4270</v>
      </c>
    </row>
    <row r="354" spans="1:6">
      <c r="A354" s="3149">
        <v>352</v>
      </c>
      <c r="B354" s="3153" t="s">
        <v>3511</v>
      </c>
      <c r="C354" s="3153" t="s">
        <v>3862</v>
      </c>
      <c r="D354" s="3153">
        <v>38.130000000000003</v>
      </c>
      <c r="E354" s="3154">
        <v>11.69</v>
      </c>
      <c r="F354" s="3149" t="s">
        <v>4270</v>
      </c>
    </row>
    <row r="355" spans="1:6">
      <c r="A355" s="3149">
        <v>353</v>
      </c>
      <c r="B355" s="3153" t="s">
        <v>3511</v>
      </c>
      <c r="C355" s="3153" t="s">
        <v>3863</v>
      </c>
      <c r="D355" s="3153">
        <v>36.56</v>
      </c>
      <c r="E355" s="3154">
        <v>11.21</v>
      </c>
      <c r="F355" s="3149" t="s">
        <v>4270</v>
      </c>
    </row>
    <row r="356" spans="1:6">
      <c r="A356" s="3149">
        <v>354</v>
      </c>
      <c r="B356" s="3153" t="s">
        <v>3511</v>
      </c>
      <c r="C356" s="3153" t="s">
        <v>3864</v>
      </c>
      <c r="D356" s="3153">
        <v>36.56</v>
      </c>
      <c r="E356" s="3154">
        <v>11.21</v>
      </c>
      <c r="F356" s="3149" t="s">
        <v>4270</v>
      </c>
    </row>
    <row r="357" spans="1:6">
      <c r="A357" s="3149">
        <v>355</v>
      </c>
      <c r="B357" s="3153" t="s">
        <v>3511</v>
      </c>
      <c r="C357" s="3153" t="s">
        <v>3865</v>
      </c>
      <c r="D357" s="3153">
        <v>38.130000000000003</v>
      </c>
      <c r="E357" s="3154">
        <v>11.69</v>
      </c>
      <c r="F357" s="3149" t="s">
        <v>4270</v>
      </c>
    </row>
    <row r="358" spans="1:6">
      <c r="A358" s="3149">
        <v>356</v>
      </c>
      <c r="B358" s="3153" t="s">
        <v>3511</v>
      </c>
      <c r="C358" s="3153" t="s">
        <v>3866</v>
      </c>
      <c r="D358" s="3153">
        <v>36.56</v>
      </c>
      <c r="E358" s="3154">
        <v>11.21</v>
      </c>
      <c r="F358" s="3149" t="s">
        <v>4270</v>
      </c>
    </row>
    <row r="359" spans="1:6">
      <c r="A359" s="3149">
        <v>357</v>
      </c>
      <c r="B359" s="3153" t="s">
        <v>3511</v>
      </c>
      <c r="C359" s="3153" t="s">
        <v>3867</v>
      </c>
      <c r="D359" s="3153">
        <v>36.56</v>
      </c>
      <c r="E359" s="3154">
        <v>11.21</v>
      </c>
      <c r="F359" s="3149" t="s">
        <v>4270</v>
      </c>
    </row>
    <row r="360" spans="1:6">
      <c r="A360" s="3149">
        <v>358</v>
      </c>
      <c r="B360" s="3153" t="s">
        <v>3511</v>
      </c>
      <c r="C360" s="3153" t="s">
        <v>3868</v>
      </c>
      <c r="D360" s="3153">
        <v>38.130000000000003</v>
      </c>
      <c r="E360" s="3154">
        <v>11.69</v>
      </c>
      <c r="F360" s="3149" t="s">
        <v>4270</v>
      </c>
    </row>
    <row r="361" spans="1:6">
      <c r="A361" s="3149">
        <v>359</v>
      </c>
      <c r="B361" s="3153" t="s">
        <v>3511</v>
      </c>
      <c r="C361" s="3153" t="s">
        <v>3869</v>
      </c>
      <c r="D361" s="3153">
        <v>36.56</v>
      </c>
      <c r="E361" s="3154">
        <v>11.21</v>
      </c>
      <c r="F361" s="3149" t="s">
        <v>4270</v>
      </c>
    </row>
    <row r="362" spans="1:6">
      <c r="A362" s="3149">
        <v>360</v>
      </c>
      <c r="B362" s="3153" t="s">
        <v>3511</v>
      </c>
      <c r="C362" s="3153" t="s">
        <v>3870</v>
      </c>
      <c r="D362" s="3153">
        <v>36.56</v>
      </c>
      <c r="E362" s="3154">
        <v>11.21</v>
      </c>
      <c r="F362" s="3149" t="s">
        <v>4270</v>
      </c>
    </row>
    <row r="363" spans="1:6">
      <c r="A363" s="3149">
        <v>361</v>
      </c>
      <c r="B363" s="3153" t="s">
        <v>3511</v>
      </c>
      <c r="C363" s="3153" t="s">
        <v>3871</v>
      </c>
      <c r="D363" s="3153">
        <v>38.130000000000003</v>
      </c>
      <c r="E363" s="3154">
        <v>11.69</v>
      </c>
      <c r="F363" s="3149" t="s">
        <v>4270</v>
      </c>
    </row>
    <row r="364" spans="1:6">
      <c r="A364" s="3149">
        <v>362</v>
      </c>
      <c r="B364" s="3153" t="s">
        <v>3511</v>
      </c>
      <c r="C364" s="3153" t="s">
        <v>3872</v>
      </c>
      <c r="D364" s="3153">
        <v>36.56</v>
      </c>
      <c r="E364" s="3154">
        <v>11.21</v>
      </c>
      <c r="F364" s="3149" t="s">
        <v>4270</v>
      </c>
    </row>
    <row r="365" spans="1:6">
      <c r="A365" s="3149">
        <v>363</v>
      </c>
      <c r="B365" s="3153" t="s">
        <v>3511</v>
      </c>
      <c r="C365" s="3153" t="s">
        <v>3873</v>
      </c>
      <c r="D365" s="3153">
        <v>36.56</v>
      </c>
      <c r="E365" s="3154">
        <v>11.21</v>
      </c>
      <c r="F365" s="3149" t="s">
        <v>4270</v>
      </c>
    </row>
    <row r="366" spans="1:6">
      <c r="A366" s="3149">
        <v>364</v>
      </c>
      <c r="B366" s="3153" t="s">
        <v>3511</v>
      </c>
      <c r="C366" s="3153" t="s">
        <v>3874</v>
      </c>
      <c r="D366" s="3153">
        <v>38.130000000000003</v>
      </c>
      <c r="E366" s="3154">
        <v>11.69</v>
      </c>
      <c r="F366" s="3149" t="s">
        <v>4270</v>
      </c>
    </row>
    <row r="367" spans="1:6">
      <c r="A367" s="3149">
        <v>365</v>
      </c>
      <c r="B367" s="3153" t="s">
        <v>3511</v>
      </c>
      <c r="C367" s="3153" t="s">
        <v>3875</v>
      </c>
      <c r="D367" s="3153">
        <v>36.56</v>
      </c>
      <c r="E367" s="3154">
        <v>11.21</v>
      </c>
      <c r="F367" s="3149" t="s">
        <v>4270</v>
      </c>
    </row>
    <row r="368" spans="1:6">
      <c r="A368" s="3149">
        <v>366</v>
      </c>
      <c r="B368" s="3153" t="s">
        <v>3511</v>
      </c>
      <c r="C368" s="3153" t="s">
        <v>3876</v>
      </c>
      <c r="D368" s="3153">
        <v>36.56</v>
      </c>
      <c r="E368" s="3154">
        <v>11.21</v>
      </c>
      <c r="F368" s="3149" t="s">
        <v>4270</v>
      </c>
    </row>
    <row r="369" spans="1:6">
      <c r="A369" s="3149">
        <v>367</v>
      </c>
      <c r="B369" s="3153" t="s">
        <v>3511</v>
      </c>
      <c r="C369" s="3153" t="s">
        <v>3877</v>
      </c>
      <c r="D369" s="3153">
        <v>38.130000000000003</v>
      </c>
      <c r="E369" s="3154">
        <v>11.69</v>
      </c>
      <c r="F369" s="3149" t="s">
        <v>4270</v>
      </c>
    </row>
    <row r="370" spans="1:6">
      <c r="A370" s="3149">
        <v>368</v>
      </c>
      <c r="B370" s="3153" t="s">
        <v>3511</v>
      </c>
      <c r="C370" s="3153" t="s">
        <v>3878</v>
      </c>
      <c r="D370" s="3153">
        <v>36.56</v>
      </c>
      <c r="E370" s="3154">
        <v>11.21</v>
      </c>
      <c r="F370" s="3149" t="s">
        <v>4270</v>
      </c>
    </row>
    <row r="371" spans="1:6">
      <c r="A371" s="3149">
        <v>369</v>
      </c>
      <c r="B371" s="3153" t="s">
        <v>3511</v>
      </c>
      <c r="C371" s="3153" t="s">
        <v>3879</v>
      </c>
      <c r="D371" s="3153">
        <v>36.56</v>
      </c>
      <c r="E371" s="3154">
        <v>11.21</v>
      </c>
      <c r="F371" s="3149" t="s">
        <v>4270</v>
      </c>
    </row>
    <row r="372" spans="1:6">
      <c r="A372" s="3149">
        <v>370</v>
      </c>
      <c r="B372" s="3153" t="s">
        <v>3511</v>
      </c>
      <c r="C372" s="3153" t="s">
        <v>3880</v>
      </c>
      <c r="D372" s="3153">
        <v>38.130000000000003</v>
      </c>
      <c r="E372" s="3154">
        <v>11.69</v>
      </c>
      <c r="F372" s="3149" t="s">
        <v>4270</v>
      </c>
    </row>
    <row r="373" spans="1:6">
      <c r="A373" s="3149">
        <v>371</v>
      </c>
      <c r="B373" s="3153" t="s">
        <v>3511</v>
      </c>
      <c r="C373" s="3153" t="s">
        <v>3881</v>
      </c>
      <c r="D373" s="3153">
        <v>36.56</v>
      </c>
      <c r="E373" s="3154">
        <v>11.21</v>
      </c>
      <c r="F373" s="3149" t="s">
        <v>4270</v>
      </c>
    </row>
    <row r="374" spans="1:6">
      <c r="A374" s="3149">
        <v>372</v>
      </c>
      <c r="B374" s="3153" t="s">
        <v>3511</v>
      </c>
      <c r="C374" s="3153" t="s">
        <v>3882</v>
      </c>
      <c r="D374" s="3153">
        <v>36.56</v>
      </c>
      <c r="E374" s="3154">
        <v>11.21</v>
      </c>
      <c r="F374" s="3149" t="s">
        <v>4270</v>
      </c>
    </row>
    <row r="375" spans="1:6">
      <c r="A375" s="3149">
        <v>373</v>
      </c>
      <c r="B375" s="3153" t="s">
        <v>3511</v>
      </c>
      <c r="C375" s="3153" t="s">
        <v>3883</v>
      </c>
      <c r="D375" s="3153">
        <v>38.130000000000003</v>
      </c>
      <c r="E375" s="3154">
        <v>11.69</v>
      </c>
      <c r="F375" s="3149" t="s">
        <v>4270</v>
      </c>
    </row>
    <row r="376" spans="1:6">
      <c r="A376" s="3149">
        <v>374</v>
      </c>
      <c r="B376" s="3153" t="s">
        <v>3511</v>
      </c>
      <c r="C376" s="3153" t="s">
        <v>3884</v>
      </c>
      <c r="D376" s="3153">
        <v>36.56</v>
      </c>
      <c r="E376" s="3154">
        <v>11.21</v>
      </c>
      <c r="F376" s="3149" t="s">
        <v>4270</v>
      </c>
    </row>
    <row r="377" spans="1:6">
      <c r="A377" s="3149">
        <v>375</v>
      </c>
      <c r="B377" s="3153" t="s">
        <v>3511</v>
      </c>
      <c r="C377" s="3153" t="s">
        <v>3885</v>
      </c>
      <c r="D377" s="3153">
        <v>36.56</v>
      </c>
      <c r="E377" s="3154">
        <v>11.21</v>
      </c>
      <c r="F377" s="3149" t="s">
        <v>4270</v>
      </c>
    </row>
    <row r="378" spans="1:6">
      <c r="A378" s="3149">
        <v>376</v>
      </c>
      <c r="B378" s="3153" t="s">
        <v>3511</v>
      </c>
      <c r="C378" s="3153" t="s">
        <v>3886</v>
      </c>
      <c r="D378" s="3153">
        <v>38.130000000000003</v>
      </c>
      <c r="E378" s="3154">
        <v>11.69</v>
      </c>
      <c r="F378" s="3149" t="s">
        <v>4270</v>
      </c>
    </row>
    <row r="379" spans="1:6">
      <c r="A379" s="3149">
        <v>377</v>
      </c>
      <c r="B379" s="3153" t="s">
        <v>3511</v>
      </c>
      <c r="C379" s="3153" t="s">
        <v>3887</v>
      </c>
      <c r="D379" s="3153">
        <v>36.56</v>
      </c>
      <c r="E379" s="3154">
        <v>11.21</v>
      </c>
      <c r="F379" s="3149" t="s">
        <v>4270</v>
      </c>
    </row>
    <row r="380" spans="1:6">
      <c r="A380" s="3149">
        <v>378</v>
      </c>
      <c r="B380" s="3153" t="s">
        <v>3511</v>
      </c>
      <c r="C380" s="3153" t="s">
        <v>3888</v>
      </c>
      <c r="D380" s="3153">
        <v>36.56</v>
      </c>
      <c r="E380" s="3154">
        <v>11.21</v>
      </c>
      <c r="F380" s="3149" t="s">
        <v>4270</v>
      </c>
    </row>
    <row r="381" spans="1:6">
      <c r="A381" s="3149">
        <v>379</v>
      </c>
      <c r="B381" s="3153" t="s">
        <v>3511</v>
      </c>
      <c r="C381" s="3153" t="s">
        <v>3889</v>
      </c>
      <c r="D381" s="3153">
        <v>38.130000000000003</v>
      </c>
      <c r="E381" s="3154">
        <v>11.69</v>
      </c>
      <c r="F381" s="3149" t="s">
        <v>4270</v>
      </c>
    </row>
    <row r="382" spans="1:6">
      <c r="A382" s="3149">
        <v>380</v>
      </c>
      <c r="B382" s="3153" t="s">
        <v>3511</v>
      </c>
      <c r="C382" s="3153" t="s">
        <v>3890</v>
      </c>
      <c r="D382" s="3153">
        <v>36.56</v>
      </c>
      <c r="E382" s="3154">
        <v>11.21</v>
      </c>
      <c r="F382" s="3149" t="s">
        <v>4270</v>
      </c>
    </row>
    <row r="383" spans="1:6">
      <c r="A383" s="3149">
        <v>381</v>
      </c>
      <c r="B383" s="3153" t="s">
        <v>3511</v>
      </c>
      <c r="C383" s="3153" t="s">
        <v>3891</v>
      </c>
      <c r="D383" s="3153">
        <v>36.56</v>
      </c>
      <c r="E383" s="3154">
        <v>11.21</v>
      </c>
      <c r="F383" s="3149" t="s">
        <v>4270</v>
      </c>
    </row>
    <row r="384" spans="1:6">
      <c r="A384" s="3149">
        <v>382</v>
      </c>
      <c r="B384" s="3153" t="s">
        <v>3511</v>
      </c>
      <c r="C384" s="3153" t="s">
        <v>3892</v>
      </c>
      <c r="D384" s="3153">
        <v>36.56</v>
      </c>
      <c r="E384" s="3154">
        <v>11.21</v>
      </c>
      <c r="F384" s="3149" t="s">
        <v>4270</v>
      </c>
    </row>
    <row r="385" spans="1:6">
      <c r="A385" s="3149">
        <v>383</v>
      </c>
      <c r="B385" s="3153" t="s">
        <v>3511</v>
      </c>
      <c r="C385" s="3153" t="s">
        <v>3893</v>
      </c>
      <c r="D385" s="3153">
        <v>36.56</v>
      </c>
      <c r="E385" s="3154">
        <v>11.21</v>
      </c>
      <c r="F385" s="3149" t="s">
        <v>4270</v>
      </c>
    </row>
    <row r="386" spans="1:6">
      <c r="A386" s="3149">
        <v>384</v>
      </c>
      <c r="B386" s="3153" t="s">
        <v>3511</v>
      </c>
      <c r="C386" s="3153" t="s">
        <v>3894</v>
      </c>
      <c r="D386" s="3153">
        <v>38.130000000000003</v>
      </c>
      <c r="E386" s="3154">
        <v>11.69</v>
      </c>
      <c r="F386" s="3149" t="s">
        <v>4270</v>
      </c>
    </row>
    <row r="387" spans="1:6">
      <c r="A387" s="3149">
        <v>385</v>
      </c>
      <c r="B387" s="3153" t="s">
        <v>3511</v>
      </c>
      <c r="C387" s="3153" t="s">
        <v>3895</v>
      </c>
      <c r="D387" s="3153">
        <v>36.56</v>
      </c>
      <c r="E387" s="3154">
        <v>11.21</v>
      </c>
      <c r="F387" s="3149" t="s">
        <v>4270</v>
      </c>
    </row>
    <row r="388" spans="1:6">
      <c r="A388" s="3149">
        <v>386</v>
      </c>
      <c r="B388" s="3153" t="s">
        <v>3511</v>
      </c>
      <c r="C388" s="3153" t="s">
        <v>3896</v>
      </c>
      <c r="D388" s="3153">
        <v>36.56</v>
      </c>
      <c r="E388" s="3154">
        <v>11.21</v>
      </c>
      <c r="F388" s="3149" t="s">
        <v>4270</v>
      </c>
    </row>
    <row r="389" spans="1:6">
      <c r="A389" s="3149">
        <v>387</v>
      </c>
      <c r="B389" s="3153" t="s">
        <v>3511</v>
      </c>
      <c r="C389" s="3153" t="s">
        <v>3897</v>
      </c>
      <c r="D389" s="3153">
        <v>38.130000000000003</v>
      </c>
      <c r="E389" s="3154">
        <v>11.69</v>
      </c>
      <c r="F389" s="3149" t="s">
        <v>4270</v>
      </c>
    </row>
    <row r="390" spans="1:6">
      <c r="A390" s="3149">
        <v>388</v>
      </c>
      <c r="B390" s="3153" t="s">
        <v>3511</v>
      </c>
      <c r="C390" s="3153" t="s">
        <v>3898</v>
      </c>
      <c r="D390" s="3153">
        <v>36.56</v>
      </c>
      <c r="E390" s="3154">
        <v>11.21</v>
      </c>
      <c r="F390" s="3149" t="s">
        <v>4270</v>
      </c>
    </row>
    <row r="391" spans="1:6">
      <c r="A391" s="3149">
        <v>389</v>
      </c>
      <c r="B391" s="3153" t="s">
        <v>3511</v>
      </c>
      <c r="C391" s="3153" t="s">
        <v>3899</v>
      </c>
      <c r="D391" s="3153">
        <v>36.56</v>
      </c>
      <c r="E391" s="3154">
        <v>11.21</v>
      </c>
      <c r="F391" s="3149" t="s">
        <v>4270</v>
      </c>
    </row>
    <row r="392" spans="1:6">
      <c r="A392" s="3149">
        <v>390</v>
      </c>
      <c r="B392" s="3153" t="s">
        <v>3511</v>
      </c>
      <c r="C392" s="3153" t="s">
        <v>3900</v>
      </c>
      <c r="D392" s="3153">
        <v>36.56</v>
      </c>
      <c r="E392" s="3154">
        <v>11.21</v>
      </c>
      <c r="F392" s="3149" t="s">
        <v>4270</v>
      </c>
    </row>
    <row r="393" spans="1:6">
      <c r="A393" s="3149">
        <v>391</v>
      </c>
      <c r="B393" s="3153" t="s">
        <v>3511</v>
      </c>
      <c r="C393" s="3153" t="s">
        <v>3901</v>
      </c>
      <c r="D393" s="3153">
        <v>38.130000000000003</v>
      </c>
      <c r="E393" s="3154">
        <v>11.69</v>
      </c>
      <c r="F393" s="3149" t="s">
        <v>4270</v>
      </c>
    </row>
    <row r="394" spans="1:6">
      <c r="A394" s="3149">
        <v>392</v>
      </c>
      <c r="B394" s="3153" t="s">
        <v>3511</v>
      </c>
      <c r="C394" s="3153" t="s">
        <v>3902</v>
      </c>
      <c r="D394" s="3153">
        <v>36.56</v>
      </c>
      <c r="E394" s="3154">
        <v>11.21</v>
      </c>
      <c r="F394" s="3149" t="s">
        <v>4270</v>
      </c>
    </row>
    <row r="395" spans="1:6">
      <c r="A395" s="3149">
        <v>393</v>
      </c>
      <c r="B395" s="3153" t="s">
        <v>3511</v>
      </c>
      <c r="C395" s="3153" t="s">
        <v>3903</v>
      </c>
      <c r="D395" s="3153">
        <v>36.56</v>
      </c>
      <c r="E395" s="3154">
        <v>11.21</v>
      </c>
      <c r="F395" s="3149" t="s">
        <v>4270</v>
      </c>
    </row>
    <row r="396" spans="1:6">
      <c r="A396" s="3149">
        <v>394</v>
      </c>
      <c r="B396" s="3153" t="s">
        <v>3511</v>
      </c>
      <c r="C396" s="3153" t="s">
        <v>3904</v>
      </c>
      <c r="D396" s="3153">
        <v>36.56</v>
      </c>
      <c r="E396" s="3154">
        <v>11.21</v>
      </c>
      <c r="F396" s="3149" t="s">
        <v>4270</v>
      </c>
    </row>
    <row r="397" spans="1:6">
      <c r="A397" s="3149">
        <v>395</v>
      </c>
      <c r="B397" s="3153" t="s">
        <v>3511</v>
      </c>
      <c r="C397" s="3153" t="s">
        <v>3905</v>
      </c>
      <c r="D397" s="3153">
        <v>36.56</v>
      </c>
      <c r="E397" s="3154">
        <v>11.21</v>
      </c>
      <c r="F397" s="3149" t="s">
        <v>4270</v>
      </c>
    </row>
    <row r="398" spans="1:6">
      <c r="A398" s="3149">
        <v>396</v>
      </c>
      <c r="B398" s="3153" t="s">
        <v>3511</v>
      </c>
      <c r="C398" s="3153" t="s">
        <v>3906</v>
      </c>
      <c r="D398" s="3153">
        <v>36.56</v>
      </c>
      <c r="E398" s="3154">
        <v>11.21</v>
      </c>
      <c r="F398" s="3149" t="s">
        <v>4270</v>
      </c>
    </row>
    <row r="399" spans="1:6">
      <c r="A399" s="3149">
        <v>397</v>
      </c>
      <c r="B399" s="3153" t="s">
        <v>3511</v>
      </c>
      <c r="C399" s="3153" t="s">
        <v>3907</v>
      </c>
      <c r="D399" s="3153">
        <v>36.56</v>
      </c>
      <c r="E399" s="3154">
        <v>11.21</v>
      </c>
      <c r="F399" s="3149" t="s">
        <v>4270</v>
      </c>
    </row>
    <row r="400" spans="1:6">
      <c r="A400" s="3149">
        <v>398</v>
      </c>
      <c r="B400" s="3153" t="s">
        <v>3511</v>
      </c>
      <c r="C400" s="3153" t="s">
        <v>3908</v>
      </c>
      <c r="D400" s="3153">
        <v>38.130000000000003</v>
      </c>
      <c r="E400" s="3154">
        <v>11.69</v>
      </c>
      <c r="F400" s="3149" t="s">
        <v>4270</v>
      </c>
    </row>
    <row r="401" spans="1:6">
      <c r="A401" s="3149">
        <v>399</v>
      </c>
      <c r="B401" s="3153" t="s">
        <v>3511</v>
      </c>
      <c r="C401" s="3153" t="s">
        <v>3909</v>
      </c>
      <c r="D401" s="3153">
        <v>36.56</v>
      </c>
      <c r="E401" s="3154">
        <v>11.21</v>
      </c>
      <c r="F401" s="3149" t="s">
        <v>4270</v>
      </c>
    </row>
    <row r="402" spans="1:6">
      <c r="A402" s="3149">
        <v>400</v>
      </c>
      <c r="B402" s="3153" t="s">
        <v>3511</v>
      </c>
      <c r="C402" s="3153" t="s">
        <v>3910</v>
      </c>
      <c r="D402" s="3153">
        <v>36.56</v>
      </c>
      <c r="E402" s="3154">
        <v>11.21</v>
      </c>
      <c r="F402" s="3149" t="s">
        <v>4270</v>
      </c>
    </row>
    <row r="403" spans="1:6">
      <c r="A403" s="3149">
        <v>401</v>
      </c>
      <c r="B403" s="3153" t="s">
        <v>3511</v>
      </c>
      <c r="C403" s="3153" t="s">
        <v>3911</v>
      </c>
      <c r="D403" s="3153">
        <v>36.56</v>
      </c>
      <c r="E403" s="3154">
        <v>11.21</v>
      </c>
      <c r="F403" s="3149" t="s">
        <v>4270</v>
      </c>
    </row>
    <row r="404" spans="1:6">
      <c r="A404" s="3149">
        <v>402</v>
      </c>
      <c r="B404" s="3153" t="s">
        <v>3511</v>
      </c>
      <c r="C404" s="3153" t="s">
        <v>3912</v>
      </c>
      <c r="D404" s="3153">
        <v>36.56</v>
      </c>
      <c r="E404" s="3154">
        <v>11.21</v>
      </c>
      <c r="F404" s="3149" t="s">
        <v>4270</v>
      </c>
    </row>
    <row r="405" spans="1:6">
      <c r="A405" s="3149">
        <v>403</v>
      </c>
      <c r="B405" s="3153" t="s">
        <v>3511</v>
      </c>
      <c r="C405" s="3153" t="s">
        <v>3913</v>
      </c>
      <c r="D405" s="3153">
        <v>36.56</v>
      </c>
      <c r="E405" s="3154">
        <v>11.21</v>
      </c>
      <c r="F405" s="3149" t="s">
        <v>4270</v>
      </c>
    </row>
    <row r="406" spans="1:6">
      <c r="A406" s="3149">
        <v>404</v>
      </c>
      <c r="B406" s="3153" t="s">
        <v>3511</v>
      </c>
      <c r="C406" s="3153" t="s">
        <v>3914</v>
      </c>
      <c r="D406" s="3153">
        <v>36.56</v>
      </c>
      <c r="E406" s="3154">
        <v>11.21</v>
      </c>
      <c r="F406" s="3149" t="s">
        <v>4270</v>
      </c>
    </row>
    <row r="407" spans="1:6">
      <c r="A407" s="3149">
        <v>405</v>
      </c>
      <c r="B407" s="3153" t="s">
        <v>3511</v>
      </c>
      <c r="C407" s="3153" t="s">
        <v>3915</v>
      </c>
      <c r="D407" s="3153">
        <v>38.130000000000003</v>
      </c>
      <c r="E407" s="3154">
        <v>11.69</v>
      </c>
      <c r="F407" s="3149" t="s">
        <v>4270</v>
      </c>
    </row>
    <row r="408" spans="1:6">
      <c r="A408" s="3149">
        <v>406</v>
      </c>
      <c r="B408" s="3153" t="s">
        <v>3511</v>
      </c>
      <c r="C408" s="3153" t="s">
        <v>3916</v>
      </c>
      <c r="D408" s="3153">
        <v>36.56</v>
      </c>
      <c r="E408" s="3154">
        <v>11.21</v>
      </c>
      <c r="F408" s="3149" t="s">
        <v>4270</v>
      </c>
    </row>
    <row r="409" spans="1:6">
      <c r="A409" s="3149">
        <v>407</v>
      </c>
      <c r="B409" s="3153" t="s">
        <v>3511</v>
      </c>
      <c r="C409" s="3153" t="s">
        <v>3917</v>
      </c>
      <c r="D409" s="3153">
        <v>36.56</v>
      </c>
      <c r="E409" s="3154">
        <v>11.21</v>
      </c>
      <c r="F409" s="3149" t="s">
        <v>4270</v>
      </c>
    </row>
    <row r="410" spans="1:6">
      <c r="A410" s="3149">
        <v>408</v>
      </c>
      <c r="B410" s="3153" t="s">
        <v>3511</v>
      </c>
      <c r="C410" s="3153" t="s">
        <v>3918</v>
      </c>
      <c r="D410" s="3153">
        <v>38.130000000000003</v>
      </c>
      <c r="E410" s="3154">
        <v>11.69</v>
      </c>
      <c r="F410" s="3149" t="s">
        <v>4270</v>
      </c>
    </row>
    <row r="411" spans="1:6">
      <c r="A411" s="3149">
        <v>409</v>
      </c>
      <c r="B411" s="3153" t="s">
        <v>3511</v>
      </c>
      <c r="C411" s="3153" t="s">
        <v>3919</v>
      </c>
      <c r="D411" s="3153">
        <v>36.56</v>
      </c>
      <c r="E411" s="3154">
        <v>11.21</v>
      </c>
      <c r="F411" s="3149" t="s">
        <v>4270</v>
      </c>
    </row>
    <row r="412" spans="1:6">
      <c r="A412" s="3149">
        <v>410</v>
      </c>
      <c r="B412" s="3153" t="s">
        <v>3511</v>
      </c>
      <c r="C412" s="3153" t="s">
        <v>3920</v>
      </c>
      <c r="D412" s="3153">
        <v>36.56</v>
      </c>
      <c r="E412" s="3154">
        <v>11.21</v>
      </c>
      <c r="F412" s="3149" t="s">
        <v>4270</v>
      </c>
    </row>
    <row r="413" spans="1:6">
      <c r="A413" s="3149">
        <v>411</v>
      </c>
      <c r="B413" s="3153" t="s">
        <v>3511</v>
      </c>
      <c r="C413" s="3153" t="s">
        <v>3921</v>
      </c>
      <c r="D413" s="3153">
        <v>38.130000000000003</v>
      </c>
      <c r="E413" s="3154">
        <v>11.69</v>
      </c>
      <c r="F413" s="3149" t="s">
        <v>4270</v>
      </c>
    </row>
    <row r="414" spans="1:6">
      <c r="A414" s="3149">
        <v>412</v>
      </c>
      <c r="B414" s="3153" t="s">
        <v>3511</v>
      </c>
      <c r="C414" s="3153" t="s">
        <v>3922</v>
      </c>
      <c r="D414" s="3153">
        <v>36.56</v>
      </c>
      <c r="E414" s="3154">
        <v>11.21</v>
      </c>
      <c r="F414" s="3149" t="s">
        <v>4270</v>
      </c>
    </row>
    <row r="415" spans="1:6">
      <c r="A415" s="3149">
        <v>413</v>
      </c>
      <c r="B415" s="3153" t="s">
        <v>3511</v>
      </c>
      <c r="C415" s="3153" t="s">
        <v>3923</v>
      </c>
      <c r="D415" s="3153">
        <v>36.56</v>
      </c>
      <c r="E415" s="3154">
        <v>11.21</v>
      </c>
      <c r="F415" s="3149" t="s">
        <v>4270</v>
      </c>
    </row>
    <row r="416" spans="1:6">
      <c r="A416" s="3149">
        <v>414</v>
      </c>
      <c r="B416" s="3153" t="s">
        <v>3511</v>
      </c>
      <c r="C416" s="3153" t="s">
        <v>3924</v>
      </c>
      <c r="D416" s="3153">
        <v>38.130000000000003</v>
      </c>
      <c r="E416" s="3154">
        <v>11.69</v>
      </c>
      <c r="F416" s="3149" t="s">
        <v>4270</v>
      </c>
    </row>
    <row r="417" spans="1:6">
      <c r="A417" s="3149">
        <v>415</v>
      </c>
      <c r="B417" s="3153" t="s">
        <v>3511</v>
      </c>
      <c r="C417" s="3153" t="s">
        <v>3925</v>
      </c>
      <c r="D417" s="3153">
        <v>36.56</v>
      </c>
      <c r="E417" s="3154">
        <v>11.21</v>
      </c>
      <c r="F417" s="3149" t="s">
        <v>4270</v>
      </c>
    </row>
    <row r="418" spans="1:6">
      <c r="A418" s="3149">
        <v>416</v>
      </c>
      <c r="B418" s="3153" t="s">
        <v>3511</v>
      </c>
      <c r="C418" s="3153" t="s">
        <v>3926</v>
      </c>
      <c r="D418" s="3153">
        <v>36.56</v>
      </c>
      <c r="E418" s="3154">
        <v>11.21</v>
      </c>
      <c r="F418" s="3149" t="s">
        <v>4270</v>
      </c>
    </row>
    <row r="419" spans="1:6">
      <c r="A419" s="3149">
        <v>417</v>
      </c>
      <c r="B419" s="3153" t="s">
        <v>3511</v>
      </c>
      <c r="C419" s="3153" t="s">
        <v>3927</v>
      </c>
      <c r="D419" s="3153">
        <v>38.130000000000003</v>
      </c>
      <c r="E419" s="3154">
        <v>11.69</v>
      </c>
      <c r="F419" s="3149" t="s">
        <v>4270</v>
      </c>
    </row>
    <row r="420" spans="1:6">
      <c r="A420" s="3149">
        <v>418</v>
      </c>
      <c r="B420" s="3153" t="s">
        <v>3511</v>
      </c>
      <c r="C420" s="3153" t="s">
        <v>3928</v>
      </c>
      <c r="D420" s="3153">
        <v>36.56</v>
      </c>
      <c r="E420" s="3154">
        <v>11.21</v>
      </c>
      <c r="F420" s="3149" t="s">
        <v>4270</v>
      </c>
    </row>
    <row r="421" spans="1:6">
      <c r="A421" s="3149">
        <v>419</v>
      </c>
      <c r="B421" s="3153" t="s">
        <v>3511</v>
      </c>
      <c r="C421" s="3153" t="s">
        <v>3929</v>
      </c>
      <c r="D421" s="3153">
        <v>36.56</v>
      </c>
      <c r="E421" s="3154">
        <v>11.21</v>
      </c>
      <c r="F421" s="3149" t="s">
        <v>4270</v>
      </c>
    </row>
    <row r="422" spans="1:6">
      <c r="A422" s="3149">
        <v>420</v>
      </c>
      <c r="B422" s="3153" t="s">
        <v>3511</v>
      </c>
      <c r="C422" s="3153" t="s">
        <v>3930</v>
      </c>
      <c r="D422" s="3153">
        <v>36.56</v>
      </c>
      <c r="E422" s="3154">
        <v>11.21</v>
      </c>
      <c r="F422" s="3149" t="s">
        <v>4270</v>
      </c>
    </row>
    <row r="423" spans="1:6">
      <c r="A423" s="3149">
        <v>421</v>
      </c>
      <c r="B423" s="3153" t="s">
        <v>3511</v>
      </c>
      <c r="C423" s="3153">
        <v>-101</v>
      </c>
      <c r="D423" s="3153">
        <v>7514.68</v>
      </c>
      <c r="E423" s="3154">
        <v>2304.17</v>
      </c>
      <c r="F423" s="3149" t="s">
        <v>4274</v>
      </c>
    </row>
    <row r="424" spans="1:6" ht="14.25" customHeight="1">
      <c r="A424" s="3149" t="s">
        <v>4272</v>
      </c>
      <c r="B424" s="3153"/>
      <c r="C424" s="3153"/>
      <c r="D424" s="3154">
        <f>SUM(D3:D423)</f>
        <v>66017.299999998999</v>
      </c>
      <c r="E424" s="3154">
        <f>ROUND(SUM(E3:E423),2)</f>
        <v>20242.14</v>
      </c>
      <c r="F424" s="3149"/>
    </row>
    <row r="425" spans="1:6" ht="14.25" customHeight="1">
      <c r="A425" s="3155" t="s">
        <v>4275</v>
      </c>
      <c r="B425" s="3151"/>
      <c r="C425" s="3151"/>
      <c r="D425" s="3152">
        <f>D3+D423</f>
        <v>50377.97</v>
      </c>
      <c r="E425" s="3152">
        <f>E3+E423</f>
        <v>15447</v>
      </c>
    </row>
    <row r="426" spans="1:6" ht="14.25" customHeight="1">
      <c r="A426" s="3155" t="s">
        <v>4276</v>
      </c>
      <c r="D426" s="3155">
        <f>SUM(D4:D422)</f>
        <v>15639.329999999913</v>
      </c>
      <c r="E426" s="3155">
        <f>SUM(E4:E422)</f>
        <v>4795.1400000000076</v>
      </c>
    </row>
    <row r="427" spans="1:6">
      <c r="A427" s="3155" t="s">
        <v>4277</v>
      </c>
      <c r="D427" s="3155">
        <f>D426+D423</f>
        <v>23154.009999999915</v>
      </c>
      <c r="E427" s="3155">
        <f>E426+E423</f>
        <v>7099.3100000000077</v>
      </c>
    </row>
    <row r="766" spans="7:7">
      <c r="G766" s="3155">
        <f>L342-L341-L3</f>
        <v>14328.12000000017</v>
      </c>
    </row>
    <row r="771" spans="5:5">
      <c r="E771" s="3155">
        <f>M343-M344</f>
        <v>9112.0199999999859</v>
      </c>
    </row>
  </sheetData>
  <autoFilter ref="I2:N345"/>
  <mergeCells count="2">
    <mergeCell ref="A1:F1"/>
    <mergeCell ref="I1:N1"/>
  </mergeCells>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8"/>
  <sheetViews>
    <sheetView workbookViewId="0">
      <selection activeCell="G34" sqref="G34"/>
    </sheetView>
  </sheetViews>
  <sheetFormatPr defaultRowHeight="13.5"/>
  <cols>
    <col min="2" max="2" width="16.625" customWidth="1"/>
  </cols>
  <sheetData>
    <row r="3" spans="2:5">
      <c r="C3" s="1404" t="s">
        <v>4372</v>
      </c>
    </row>
    <row r="4" spans="2:5">
      <c r="B4" s="1404" t="s">
        <v>4371</v>
      </c>
      <c r="C4">
        <f>ROUND(57993139.41/10000,0)</f>
        <v>5799</v>
      </c>
    </row>
    <row r="5" spans="2:5">
      <c r="B5" s="1404" t="s">
        <v>4373</v>
      </c>
      <c r="C5">
        <f>ROUND(161652154.56/10000,0)</f>
        <v>16165</v>
      </c>
    </row>
    <row r="6" spans="2:5">
      <c r="B6" s="1404" t="s">
        <v>4374</v>
      </c>
      <c r="C6">
        <f>ROUND(176487889.98/10000,0)</f>
        <v>17649</v>
      </c>
    </row>
    <row r="7" spans="2:5">
      <c r="B7" s="1404" t="s">
        <v>4375</v>
      </c>
      <c r="C7">
        <f>ROUND(100695233.97/10000,0)</f>
        <v>10070</v>
      </c>
    </row>
    <row r="8" spans="2:5">
      <c r="E8" s="1404"/>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2"/>
  <sheetViews>
    <sheetView workbookViewId="0">
      <pane ySplit="2" topLeftCell="A593" activePane="bottomLeft" state="frozen"/>
      <selection pane="bottomLeft" activeCell="G604" sqref="G604"/>
    </sheetView>
  </sheetViews>
  <sheetFormatPr defaultColWidth="8.875" defaultRowHeight="16.5"/>
  <cols>
    <col min="1" max="1" width="7.125" style="3188" customWidth="1"/>
    <col min="2" max="2" width="10.25" style="3188" customWidth="1"/>
    <col min="3" max="3" width="15" style="3188" customWidth="1"/>
    <col min="4" max="4" width="10.5" style="3188" customWidth="1"/>
    <col min="5" max="6" width="13.375" style="3188" customWidth="1"/>
    <col min="7" max="8" width="8.875" style="3188"/>
    <col min="9" max="9" width="8" style="3198" customWidth="1"/>
    <col min="10" max="10" width="8.5" style="3179" customWidth="1"/>
    <col min="11" max="11" width="14.125" style="3179" customWidth="1"/>
    <col min="12" max="12" width="16.875" style="3179" customWidth="1"/>
    <col min="13" max="13" width="9.5" style="3179" bestFit="1" customWidth="1"/>
    <col min="14" max="14" width="8.875" style="3179"/>
    <col min="15" max="16384" width="8.875" style="3188"/>
  </cols>
  <sheetData>
    <row r="1" spans="1:12" ht="21">
      <c r="A1" s="3306" t="s">
        <v>4389</v>
      </c>
      <c r="B1" s="3306"/>
      <c r="C1" s="3306"/>
      <c r="D1" s="3306"/>
      <c r="E1" s="3306"/>
      <c r="F1" s="3306"/>
      <c r="I1" s="3307" t="s">
        <v>5183</v>
      </c>
      <c r="J1" s="3307"/>
      <c r="K1" s="3307"/>
      <c r="L1" s="3307"/>
    </row>
    <row r="2" spans="1:12">
      <c r="A2" s="3189" t="s">
        <v>4390</v>
      </c>
      <c r="B2" s="3189" t="s">
        <v>4391</v>
      </c>
      <c r="C2" s="3190" t="s">
        <v>4392</v>
      </c>
      <c r="D2" s="3190" t="s">
        <v>4393</v>
      </c>
      <c r="E2" s="3189" t="s">
        <v>4394</v>
      </c>
      <c r="F2" s="3189" t="s">
        <v>4395</v>
      </c>
      <c r="I2" s="3197" t="s">
        <v>4390</v>
      </c>
      <c r="J2" s="3180" t="s">
        <v>5184</v>
      </c>
      <c r="K2" s="3180" t="s">
        <v>4391</v>
      </c>
      <c r="L2" s="3181" t="s">
        <v>5185</v>
      </c>
    </row>
    <row r="3" spans="1:12" ht="33">
      <c r="A3" s="3191">
        <v>1</v>
      </c>
      <c r="B3" s="3191" t="s">
        <v>4396</v>
      </c>
      <c r="C3" s="3192" t="s">
        <v>4397</v>
      </c>
      <c r="D3" s="3193">
        <v>5689.69</v>
      </c>
      <c r="E3" s="3192" t="s">
        <v>4398</v>
      </c>
      <c r="F3" s="3192" t="s">
        <v>4399</v>
      </c>
      <c r="I3" s="3198">
        <v>1</v>
      </c>
      <c r="J3" s="3182" t="s">
        <v>5186</v>
      </c>
      <c r="K3" s="3179" t="s">
        <v>4396</v>
      </c>
      <c r="L3" s="3179">
        <v>445.98722400000003</v>
      </c>
    </row>
    <row r="4" spans="1:12">
      <c r="A4" s="3191">
        <v>2</v>
      </c>
      <c r="B4" s="3191" t="s">
        <v>4396</v>
      </c>
      <c r="C4" s="3192" t="s">
        <v>4400</v>
      </c>
      <c r="D4" s="3193">
        <v>4508.97</v>
      </c>
      <c r="E4" s="3192" t="s">
        <v>4398</v>
      </c>
      <c r="F4" s="3192" t="s">
        <v>4399</v>
      </c>
      <c r="I4" s="3198">
        <v>2</v>
      </c>
      <c r="J4" s="3183" t="s">
        <v>5187</v>
      </c>
      <c r="K4" s="3179" t="s">
        <v>4396</v>
      </c>
      <c r="L4" s="3179">
        <v>422.03959200000003</v>
      </c>
    </row>
    <row r="5" spans="1:12" ht="33">
      <c r="A5" s="3191">
        <v>3</v>
      </c>
      <c r="B5" s="3191" t="s">
        <v>4401</v>
      </c>
      <c r="C5" s="3194" t="s">
        <v>4402</v>
      </c>
      <c r="D5" s="3193">
        <v>1010.48</v>
      </c>
      <c r="E5" s="3192" t="s">
        <v>4398</v>
      </c>
      <c r="F5" s="3192" t="s">
        <v>4403</v>
      </c>
      <c r="I5" s="3198">
        <v>3</v>
      </c>
      <c r="J5" s="3182" t="s">
        <v>5188</v>
      </c>
      <c r="K5" s="3179" t="s">
        <v>4401</v>
      </c>
      <c r="L5" s="3179">
        <v>132.91288</v>
      </c>
    </row>
    <row r="6" spans="1:12">
      <c r="A6" s="3191">
        <v>4</v>
      </c>
      <c r="B6" s="3191" t="s">
        <v>4401</v>
      </c>
      <c r="C6" s="3193" t="s">
        <v>4404</v>
      </c>
      <c r="D6" s="3193">
        <v>1004.28</v>
      </c>
      <c r="E6" s="3192" t="s">
        <v>4405</v>
      </c>
      <c r="F6" s="3192" t="s">
        <v>4406</v>
      </c>
      <c r="I6" s="3198">
        <v>4</v>
      </c>
      <c r="J6" s="3183" t="s">
        <v>5189</v>
      </c>
      <c r="K6" s="3179" t="s">
        <v>4401</v>
      </c>
      <c r="L6" s="3179">
        <v>177.15499199999999</v>
      </c>
    </row>
    <row r="7" spans="1:12" ht="33">
      <c r="A7" s="3191">
        <v>5</v>
      </c>
      <c r="B7" s="3191" t="s">
        <v>4401</v>
      </c>
      <c r="C7" s="3193" t="s">
        <v>4407</v>
      </c>
      <c r="D7" s="3193">
        <v>1288.1500000000001</v>
      </c>
      <c r="E7" s="3192" t="s">
        <v>4408</v>
      </c>
      <c r="F7" s="3192" t="s">
        <v>4409</v>
      </c>
      <c r="I7" s="3198">
        <v>5</v>
      </c>
      <c r="J7" s="3182" t="s">
        <v>5190</v>
      </c>
      <c r="K7" s="3179" t="s">
        <v>4401</v>
      </c>
      <c r="L7" s="3179">
        <v>81.490797000000001</v>
      </c>
    </row>
    <row r="8" spans="1:12">
      <c r="A8" s="3191">
        <v>6</v>
      </c>
      <c r="B8" s="3191" t="s">
        <v>4410</v>
      </c>
      <c r="C8" s="3193" t="s">
        <v>4411</v>
      </c>
      <c r="D8" s="3193">
        <v>103.33</v>
      </c>
      <c r="E8" s="3192" t="s">
        <v>4412</v>
      </c>
      <c r="F8" s="3192" t="s">
        <v>4413</v>
      </c>
      <c r="I8" s="3198">
        <v>6</v>
      </c>
      <c r="J8" s="3179" t="s">
        <v>5191</v>
      </c>
      <c r="K8" s="3179" t="s">
        <v>4410</v>
      </c>
      <c r="L8" s="3179">
        <v>5.9678500000000003</v>
      </c>
    </row>
    <row r="9" spans="1:12">
      <c r="A9" s="3191">
        <v>7</v>
      </c>
      <c r="B9" s="3191" t="s">
        <v>4410</v>
      </c>
      <c r="C9" s="3193" t="s">
        <v>4414</v>
      </c>
      <c r="D9" s="3193">
        <v>121.53</v>
      </c>
      <c r="E9" s="3192" t="s">
        <v>4398</v>
      </c>
      <c r="F9" s="3192" t="s">
        <v>4415</v>
      </c>
      <c r="I9" s="3198">
        <v>7</v>
      </c>
      <c r="J9" s="3183" t="s">
        <v>5192</v>
      </c>
      <c r="K9" s="3179" t="s">
        <v>4410</v>
      </c>
      <c r="L9" s="3179">
        <v>0.91797600000000001</v>
      </c>
    </row>
    <row r="10" spans="1:12">
      <c r="A10" s="3191">
        <v>8</v>
      </c>
      <c r="B10" s="3191" t="s">
        <v>4410</v>
      </c>
      <c r="C10" s="3193" t="s">
        <v>4416</v>
      </c>
      <c r="D10" s="3193">
        <v>117.13</v>
      </c>
      <c r="E10" s="3192" t="s">
        <v>4398</v>
      </c>
      <c r="F10" s="3192" t="s">
        <v>4417</v>
      </c>
      <c r="I10" s="3198">
        <v>8</v>
      </c>
      <c r="J10" s="3179" t="s">
        <v>5193</v>
      </c>
      <c r="K10" s="3179" t="s">
        <v>4410</v>
      </c>
      <c r="L10" s="3179">
        <v>22.968959999999999</v>
      </c>
    </row>
    <row r="11" spans="1:12">
      <c r="A11" s="3191">
        <v>9</v>
      </c>
      <c r="B11" s="3191" t="s">
        <v>4410</v>
      </c>
      <c r="C11" s="3193" t="s">
        <v>4418</v>
      </c>
      <c r="D11" s="3193">
        <v>11.39</v>
      </c>
      <c r="E11" s="3192" t="s">
        <v>4419</v>
      </c>
      <c r="F11" s="3192" t="s">
        <v>4420</v>
      </c>
      <c r="I11" s="3198">
        <v>9</v>
      </c>
      <c r="J11" s="3179" t="s">
        <v>5194</v>
      </c>
      <c r="K11" s="3179" t="s">
        <v>4410</v>
      </c>
      <c r="L11" s="3179">
        <v>1.0281499999999999</v>
      </c>
    </row>
    <row r="12" spans="1:12">
      <c r="A12" s="3191">
        <v>10</v>
      </c>
      <c r="B12" s="3191" t="s">
        <v>4410</v>
      </c>
      <c r="C12" s="3193" t="s">
        <v>4421</v>
      </c>
      <c r="D12" s="3193">
        <v>155.21</v>
      </c>
      <c r="E12" s="3192" t="s">
        <v>4398</v>
      </c>
      <c r="F12" s="3192" t="s">
        <v>4417</v>
      </c>
      <c r="I12" s="3198">
        <v>10</v>
      </c>
      <c r="J12" s="3179" t="s">
        <v>5195</v>
      </c>
      <c r="K12" s="3179" t="s">
        <v>4410</v>
      </c>
      <c r="L12" s="3179">
        <v>5.2331490000000001</v>
      </c>
    </row>
    <row r="13" spans="1:12">
      <c r="A13" s="3191">
        <v>11</v>
      </c>
      <c r="B13" s="3191" t="s">
        <v>4410</v>
      </c>
      <c r="C13" s="3193" t="s">
        <v>4422</v>
      </c>
      <c r="D13" s="3193">
        <v>37.46</v>
      </c>
      <c r="E13" s="3192" t="s">
        <v>4423</v>
      </c>
      <c r="F13" s="3192" t="s">
        <v>4424</v>
      </c>
      <c r="I13" s="3198">
        <v>11</v>
      </c>
      <c r="J13" s="3183" t="s">
        <v>5196</v>
      </c>
      <c r="K13" s="3179" t="s">
        <v>4410</v>
      </c>
      <c r="L13" s="3179">
        <v>17.196853999999998</v>
      </c>
    </row>
    <row r="14" spans="1:12">
      <c r="A14" s="3191">
        <v>12</v>
      </c>
      <c r="B14" s="3191" t="s">
        <v>4410</v>
      </c>
      <c r="C14" s="3193" t="s">
        <v>4425</v>
      </c>
      <c r="D14" s="3193">
        <v>127.1</v>
      </c>
      <c r="E14" s="3192" t="s">
        <v>4426</v>
      </c>
      <c r="F14" s="3192" t="s">
        <v>4427</v>
      </c>
      <c r="I14" s="3198">
        <v>12</v>
      </c>
      <c r="J14" s="3179" t="s">
        <v>5197</v>
      </c>
      <c r="K14" s="3179" t="s">
        <v>4410</v>
      </c>
      <c r="L14" s="3179">
        <v>18.498453000000001</v>
      </c>
    </row>
    <row r="15" spans="1:12">
      <c r="A15" s="3191">
        <v>13</v>
      </c>
      <c r="B15" s="3191" t="s">
        <v>4410</v>
      </c>
      <c r="C15" s="3193" t="s">
        <v>4428</v>
      </c>
      <c r="D15" s="3193">
        <v>90.85</v>
      </c>
      <c r="E15" s="3192" t="s">
        <v>4398</v>
      </c>
      <c r="F15" s="3192" t="s">
        <v>4417</v>
      </c>
      <c r="I15" s="3198">
        <v>13</v>
      </c>
      <c r="J15" s="3179" t="s">
        <v>5198</v>
      </c>
      <c r="K15" s="3179" t="s">
        <v>4410</v>
      </c>
      <c r="L15" s="3179">
        <v>2.174992</v>
      </c>
    </row>
    <row r="16" spans="1:12">
      <c r="A16" s="3191">
        <v>14</v>
      </c>
      <c r="B16" s="3191" t="s">
        <v>4410</v>
      </c>
      <c r="C16" s="3193" t="s">
        <v>4429</v>
      </c>
      <c r="D16" s="3193">
        <v>157.12</v>
      </c>
      <c r="E16" s="3192" t="s">
        <v>4398</v>
      </c>
      <c r="F16" s="3192" t="s">
        <v>4430</v>
      </c>
      <c r="I16" s="3198">
        <v>14</v>
      </c>
      <c r="J16" s="3179" t="s">
        <v>5199</v>
      </c>
      <c r="K16" s="3179" t="s">
        <v>4410</v>
      </c>
      <c r="L16" s="3179">
        <v>40.868226</v>
      </c>
    </row>
    <row r="17" spans="1:12">
      <c r="A17" s="3191">
        <v>15</v>
      </c>
      <c r="B17" s="3191" t="s">
        <v>4410</v>
      </c>
      <c r="C17" s="3193" t="s">
        <v>4431</v>
      </c>
      <c r="D17" s="3193">
        <v>121.53</v>
      </c>
      <c r="E17" s="3192" t="s">
        <v>4432</v>
      </c>
      <c r="F17" s="3192" t="s">
        <v>4433</v>
      </c>
      <c r="I17" s="3198">
        <v>15</v>
      </c>
      <c r="J17" s="3179" t="s">
        <v>5200</v>
      </c>
      <c r="K17" s="3179" t="s">
        <v>4410</v>
      </c>
      <c r="L17" s="3179">
        <v>40.008406999999998</v>
      </c>
    </row>
    <row r="18" spans="1:12">
      <c r="A18" s="3191">
        <v>16</v>
      </c>
      <c r="B18" s="3191" t="s">
        <v>4410</v>
      </c>
      <c r="C18" s="3193" t="s">
        <v>4434</v>
      </c>
      <c r="D18" s="3193">
        <v>119.18</v>
      </c>
      <c r="E18" s="3192" t="s">
        <v>4398</v>
      </c>
      <c r="F18" s="3192" t="s">
        <v>4417</v>
      </c>
      <c r="I18" s="3198">
        <v>16</v>
      </c>
      <c r="J18" s="3179" t="s">
        <v>5201</v>
      </c>
      <c r="K18" s="3179" t="s">
        <v>4410</v>
      </c>
      <c r="L18" s="3179">
        <v>24.49755</v>
      </c>
    </row>
    <row r="19" spans="1:12">
      <c r="A19" s="3191">
        <v>17</v>
      </c>
      <c r="B19" s="3191" t="s">
        <v>4410</v>
      </c>
      <c r="C19" s="3193" t="s">
        <v>4435</v>
      </c>
      <c r="D19" s="3193">
        <v>59.15</v>
      </c>
      <c r="E19" s="3192" t="s">
        <v>4398</v>
      </c>
      <c r="F19" s="3192" t="s">
        <v>4417</v>
      </c>
      <c r="I19" s="3198">
        <v>17</v>
      </c>
      <c r="J19" s="3179" t="s">
        <v>5202</v>
      </c>
      <c r="K19" s="3179" t="s">
        <v>4410</v>
      </c>
      <c r="L19" s="3179">
        <v>18.189589999999999</v>
      </c>
    </row>
    <row r="20" spans="1:12">
      <c r="A20" s="3191">
        <v>18</v>
      </c>
      <c r="B20" s="3191" t="s">
        <v>4410</v>
      </c>
      <c r="C20" s="3193" t="s">
        <v>4436</v>
      </c>
      <c r="D20" s="3193">
        <v>26.08</v>
      </c>
      <c r="E20" s="3192" t="s">
        <v>4412</v>
      </c>
      <c r="F20" s="3192" t="s">
        <v>4417</v>
      </c>
      <c r="I20" s="3198">
        <v>18</v>
      </c>
      <c r="J20" s="3179" t="s">
        <v>5203</v>
      </c>
      <c r="K20" s="3179" t="s">
        <v>4410</v>
      </c>
      <c r="L20" s="3179">
        <v>8.7421439999999997</v>
      </c>
    </row>
    <row r="21" spans="1:12">
      <c r="A21" s="3191">
        <v>19</v>
      </c>
      <c r="B21" s="3191" t="s">
        <v>4410</v>
      </c>
      <c r="C21" s="3193" t="s">
        <v>4437</v>
      </c>
      <c r="D21" s="3193">
        <v>834.19</v>
      </c>
      <c r="E21" s="3192" t="s">
        <v>4398</v>
      </c>
      <c r="F21" s="3192" t="s">
        <v>4403</v>
      </c>
      <c r="I21" s="3198">
        <v>19</v>
      </c>
      <c r="J21" s="3179" t="s">
        <v>5204</v>
      </c>
      <c r="K21" s="3179" t="s">
        <v>4410</v>
      </c>
      <c r="L21" s="3179">
        <v>102.18990599999999</v>
      </c>
    </row>
    <row r="22" spans="1:12">
      <c r="A22" s="3191">
        <v>20</v>
      </c>
      <c r="B22" s="3191" t="s">
        <v>4410</v>
      </c>
      <c r="C22" s="3193" t="s">
        <v>4438</v>
      </c>
      <c r="D22" s="3193">
        <v>192.07</v>
      </c>
      <c r="E22" s="3192" t="s">
        <v>4398</v>
      </c>
      <c r="F22" s="3192" t="s">
        <v>4417</v>
      </c>
      <c r="I22" s="3198">
        <v>20</v>
      </c>
      <c r="J22" s="3179" t="s">
        <v>5205</v>
      </c>
      <c r="K22" s="3179" t="s">
        <v>4410</v>
      </c>
      <c r="L22" s="3179">
        <v>5.9373420000000001</v>
      </c>
    </row>
    <row r="23" spans="1:12">
      <c r="A23" s="3191">
        <v>21</v>
      </c>
      <c r="B23" s="3191" t="s">
        <v>4410</v>
      </c>
      <c r="C23" s="3193" t="s">
        <v>4439</v>
      </c>
      <c r="D23" s="3193">
        <v>105.85</v>
      </c>
      <c r="E23" s="3192" t="s">
        <v>4398</v>
      </c>
      <c r="F23" s="3192" t="s">
        <v>4417</v>
      </c>
      <c r="I23" s="3198">
        <v>21</v>
      </c>
      <c r="J23" s="3179" t="s">
        <v>5206</v>
      </c>
      <c r="K23" s="3179" t="s">
        <v>4410</v>
      </c>
      <c r="L23" s="3179">
        <v>30.202680000000001</v>
      </c>
    </row>
    <row r="24" spans="1:12">
      <c r="A24" s="3191">
        <v>22</v>
      </c>
      <c r="B24" s="3191" t="s">
        <v>4410</v>
      </c>
      <c r="C24" s="3193" t="s">
        <v>4440</v>
      </c>
      <c r="D24" s="3193">
        <v>163.35</v>
      </c>
      <c r="E24" s="3192" t="s">
        <v>4441</v>
      </c>
      <c r="F24" s="3192" t="s">
        <v>4442</v>
      </c>
      <c r="I24" s="3198">
        <v>22</v>
      </c>
      <c r="J24" s="3179" t="s">
        <v>5207</v>
      </c>
      <c r="K24" s="3179" t="s">
        <v>4410</v>
      </c>
      <c r="L24" s="3179">
        <v>42.281370000000003</v>
      </c>
    </row>
    <row r="25" spans="1:12">
      <c r="A25" s="3191">
        <v>23</v>
      </c>
      <c r="B25" s="3191" t="s">
        <v>4410</v>
      </c>
      <c r="C25" s="3193" t="s">
        <v>4443</v>
      </c>
      <c r="D25" s="3193">
        <v>91.91</v>
      </c>
      <c r="E25" s="3192" t="s">
        <v>4398</v>
      </c>
      <c r="F25" s="3192" t="s">
        <v>4417</v>
      </c>
      <c r="I25" s="3198">
        <v>23</v>
      </c>
      <c r="J25" s="3179" t="s">
        <v>5208</v>
      </c>
      <c r="K25" s="3179" t="s">
        <v>4410</v>
      </c>
      <c r="L25" s="3179">
        <v>3.3384299999999998</v>
      </c>
    </row>
    <row r="26" spans="1:12">
      <c r="A26" s="3191">
        <v>24</v>
      </c>
      <c r="B26" s="3191" t="s">
        <v>4410</v>
      </c>
      <c r="C26" s="3193" t="s">
        <v>4444</v>
      </c>
      <c r="D26" s="3193">
        <v>55.09</v>
      </c>
      <c r="E26" s="3192" t="s">
        <v>4412</v>
      </c>
      <c r="F26" s="3192" t="s">
        <v>4417</v>
      </c>
      <c r="I26" s="3198">
        <v>24</v>
      </c>
      <c r="J26" s="3179" t="s">
        <v>5209</v>
      </c>
      <c r="K26" s="3179" t="s">
        <v>4410</v>
      </c>
      <c r="L26" s="3179">
        <v>3.1161180000000002</v>
      </c>
    </row>
    <row r="27" spans="1:12">
      <c r="A27" s="3191">
        <v>25</v>
      </c>
      <c r="B27" s="3191" t="s">
        <v>4410</v>
      </c>
      <c r="C27" s="3193" t="s">
        <v>4445</v>
      </c>
      <c r="D27" s="3193">
        <v>100.35</v>
      </c>
      <c r="E27" s="3192" t="s">
        <v>4398</v>
      </c>
      <c r="F27" s="3192" t="s">
        <v>4417</v>
      </c>
      <c r="I27" s="3198">
        <v>25</v>
      </c>
      <c r="J27" s="3179" t="s">
        <v>5210</v>
      </c>
      <c r="K27" s="3179" t="s">
        <v>4410</v>
      </c>
      <c r="L27" s="3179">
        <v>29.115880000000001</v>
      </c>
    </row>
    <row r="28" spans="1:12">
      <c r="A28" s="3191">
        <v>26</v>
      </c>
      <c r="B28" s="3191" t="s">
        <v>4410</v>
      </c>
      <c r="C28" s="3193" t="s">
        <v>4446</v>
      </c>
      <c r="D28" s="3193">
        <v>119.69</v>
      </c>
      <c r="E28" s="3192" t="s">
        <v>4447</v>
      </c>
      <c r="F28" s="3192" t="s">
        <v>4448</v>
      </c>
      <c r="I28" s="3198">
        <v>26</v>
      </c>
      <c r="J28" s="3179" t="s">
        <v>5211</v>
      </c>
      <c r="K28" s="3179" t="s">
        <v>4410</v>
      </c>
      <c r="L28" s="3179">
        <v>32.106276000000001</v>
      </c>
    </row>
    <row r="29" spans="1:12">
      <c r="A29" s="3191">
        <v>27</v>
      </c>
      <c r="B29" s="3191" t="s">
        <v>4410</v>
      </c>
      <c r="C29" s="3193" t="s">
        <v>4449</v>
      </c>
      <c r="D29" s="3193">
        <v>158.61000000000001</v>
      </c>
      <c r="E29" s="3192" t="s">
        <v>4450</v>
      </c>
      <c r="F29" s="3192" t="s">
        <v>4451</v>
      </c>
      <c r="I29" s="3198">
        <v>27</v>
      </c>
      <c r="J29" s="3179" t="s">
        <v>5212</v>
      </c>
      <c r="K29" s="3179" t="s">
        <v>4410</v>
      </c>
      <c r="L29" s="3179">
        <v>33.728501000000001</v>
      </c>
    </row>
    <row r="30" spans="1:12">
      <c r="A30" s="3191">
        <v>28</v>
      </c>
      <c r="B30" s="3191" t="s">
        <v>4410</v>
      </c>
      <c r="C30" s="3193" t="s">
        <v>4452</v>
      </c>
      <c r="D30" s="3193">
        <v>160.44</v>
      </c>
      <c r="E30" s="3192" t="s">
        <v>4398</v>
      </c>
      <c r="F30" s="3192" t="s">
        <v>4417</v>
      </c>
      <c r="I30" s="3198">
        <v>28</v>
      </c>
      <c r="J30" s="3179" t="s">
        <v>5213</v>
      </c>
      <c r="K30" s="3179" t="s">
        <v>4410</v>
      </c>
      <c r="L30" s="3179">
        <v>5.5470480000000002</v>
      </c>
    </row>
    <row r="31" spans="1:12">
      <c r="A31" s="3191">
        <v>29</v>
      </c>
      <c r="B31" s="3191" t="s">
        <v>4410</v>
      </c>
      <c r="C31" s="3193" t="s">
        <v>4453</v>
      </c>
      <c r="D31" s="3193">
        <v>134.62</v>
      </c>
      <c r="E31" s="3192" t="s">
        <v>4398</v>
      </c>
      <c r="F31" s="3192" t="s">
        <v>4417</v>
      </c>
      <c r="I31" s="3198">
        <v>29</v>
      </c>
      <c r="J31" s="3179" t="s">
        <v>5214</v>
      </c>
      <c r="K31" s="3179" t="s">
        <v>4410</v>
      </c>
      <c r="L31" s="3179">
        <v>4.0986000000000002</v>
      </c>
    </row>
    <row r="32" spans="1:12">
      <c r="A32" s="3191">
        <v>30</v>
      </c>
      <c r="B32" s="3191" t="s">
        <v>4410</v>
      </c>
      <c r="C32" s="3193" t="s">
        <v>4454</v>
      </c>
      <c r="D32" s="3193">
        <v>348.68</v>
      </c>
      <c r="E32" s="3192" t="s">
        <v>4412</v>
      </c>
      <c r="F32" s="3192" t="s">
        <v>4430</v>
      </c>
      <c r="I32" s="3198">
        <v>30</v>
      </c>
      <c r="J32" s="3179" t="s">
        <v>5215</v>
      </c>
      <c r="K32" s="3179" t="s">
        <v>4410</v>
      </c>
      <c r="L32" s="3179">
        <v>35.421290999999997</v>
      </c>
    </row>
    <row r="33" spans="1:12">
      <c r="A33" s="3191">
        <v>31</v>
      </c>
      <c r="B33" s="3191" t="s">
        <v>4410</v>
      </c>
      <c r="C33" s="3193" t="s">
        <v>4455</v>
      </c>
      <c r="D33" s="3193">
        <v>119.25</v>
      </c>
      <c r="E33" s="3192" t="s">
        <v>4456</v>
      </c>
      <c r="F33" s="3192" t="s">
        <v>4457</v>
      </c>
      <c r="I33" s="3198">
        <v>31</v>
      </c>
      <c r="J33" s="3179" t="s">
        <v>5216</v>
      </c>
      <c r="K33" s="3179" t="s">
        <v>4410</v>
      </c>
      <c r="L33" s="3179">
        <v>41.476320000000001</v>
      </c>
    </row>
    <row r="34" spans="1:12">
      <c r="A34" s="3191">
        <v>32</v>
      </c>
      <c r="B34" s="3191" t="s">
        <v>4410</v>
      </c>
      <c r="C34" s="3193" t="s">
        <v>4458</v>
      </c>
      <c r="D34" s="3193">
        <v>145.72</v>
      </c>
      <c r="E34" s="3192" t="s">
        <v>4398</v>
      </c>
      <c r="F34" s="3192" t="s">
        <v>4417</v>
      </c>
      <c r="I34" s="3198">
        <v>32</v>
      </c>
      <c r="J34" s="3179" t="s">
        <v>5217</v>
      </c>
      <c r="K34" s="3179" t="s">
        <v>4410</v>
      </c>
      <c r="L34" s="3179">
        <v>26.125008000000001</v>
      </c>
    </row>
    <row r="35" spans="1:12">
      <c r="A35" s="3191">
        <v>33</v>
      </c>
      <c r="B35" s="3191" t="s">
        <v>4410</v>
      </c>
      <c r="C35" s="3193" t="s">
        <v>4459</v>
      </c>
      <c r="D35" s="3193">
        <v>596.19000000000005</v>
      </c>
      <c r="E35" s="3192" t="s">
        <v>4405</v>
      </c>
      <c r="F35" s="3192" t="s">
        <v>4460</v>
      </c>
      <c r="I35" s="3198">
        <v>33</v>
      </c>
      <c r="J35" s="3179" t="s">
        <v>5218</v>
      </c>
      <c r="K35" s="3179" t="s">
        <v>4410</v>
      </c>
      <c r="L35" s="3179">
        <v>114.26250899999999</v>
      </c>
    </row>
    <row r="36" spans="1:12">
      <c r="A36" s="3191">
        <v>34</v>
      </c>
      <c r="B36" s="3191" t="s">
        <v>4410</v>
      </c>
      <c r="C36" s="3193" t="s">
        <v>4459</v>
      </c>
      <c r="D36" s="3193">
        <v>596.19000000000005</v>
      </c>
      <c r="E36" s="3192" t="s">
        <v>4405</v>
      </c>
      <c r="F36" s="3192" t="s">
        <v>4460</v>
      </c>
      <c r="I36" s="3198">
        <v>34</v>
      </c>
      <c r="J36" s="3183" t="s">
        <v>5219</v>
      </c>
      <c r="K36" s="3179" t="s">
        <v>4410</v>
      </c>
      <c r="L36" s="3179">
        <v>37.197634000000001</v>
      </c>
    </row>
    <row r="37" spans="1:12">
      <c r="A37" s="3191">
        <v>35</v>
      </c>
      <c r="B37" s="3191" t="s">
        <v>4410</v>
      </c>
      <c r="C37" s="3193" t="s">
        <v>4461</v>
      </c>
      <c r="D37" s="3193">
        <v>113.58</v>
      </c>
      <c r="E37" s="3192" t="s">
        <v>4462</v>
      </c>
      <c r="F37" s="3192" t="s">
        <v>4417</v>
      </c>
      <c r="I37" s="3198">
        <v>35</v>
      </c>
      <c r="J37" s="3179" t="s">
        <v>5220</v>
      </c>
      <c r="K37" s="3179" t="s">
        <v>4410</v>
      </c>
      <c r="L37" s="3179">
        <v>29.193024000000001</v>
      </c>
    </row>
    <row r="38" spans="1:12">
      <c r="A38" s="3191">
        <v>36</v>
      </c>
      <c r="B38" s="3191" t="s">
        <v>4410</v>
      </c>
      <c r="C38" s="3193" t="s">
        <v>4463</v>
      </c>
      <c r="D38" s="3193">
        <v>57.67</v>
      </c>
      <c r="E38" s="3192" t="s">
        <v>4398</v>
      </c>
      <c r="F38" s="3192" t="s">
        <v>4464</v>
      </c>
      <c r="I38" s="3198">
        <v>36</v>
      </c>
      <c r="J38" s="3179" t="s">
        <v>5221</v>
      </c>
      <c r="K38" s="3179" t="s">
        <v>4410</v>
      </c>
      <c r="L38" s="3179">
        <v>2.2226249999999999</v>
      </c>
    </row>
    <row r="39" spans="1:12">
      <c r="A39" s="3191">
        <v>37</v>
      </c>
      <c r="B39" s="3191" t="s">
        <v>4410</v>
      </c>
      <c r="C39" s="3193" t="s">
        <v>4465</v>
      </c>
      <c r="D39" s="3193">
        <v>92.26</v>
      </c>
      <c r="E39" s="3192" t="s">
        <v>4398</v>
      </c>
      <c r="F39" s="3192" t="s">
        <v>4417</v>
      </c>
      <c r="I39" s="3198">
        <v>37</v>
      </c>
      <c r="J39" s="3179" t="s">
        <v>5222</v>
      </c>
      <c r="K39" s="3179" t="s">
        <v>4410</v>
      </c>
      <c r="L39" s="3179">
        <v>4.2672829999999999</v>
      </c>
    </row>
    <row r="40" spans="1:12">
      <c r="A40" s="3191">
        <v>38</v>
      </c>
      <c r="B40" s="3191" t="s">
        <v>4410</v>
      </c>
      <c r="C40" s="3193" t="s">
        <v>4466</v>
      </c>
      <c r="D40" s="3193">
        <v>330.75</v>
      </c>
      <c r="E40" s="3192" t="s">
        <v>4467</v>
      </c>
      <c r="F40" s="3192" t="s">
        <v>4468</v>
      </c>
      <c r="I40" s="3198">
        <v>38</v>
      </c>
      <c r="J40" s="3179" t="s">
        <v>5223</v>
      </c>
      <c r="K40" s="3179" t="s">
        <v>4410</v>
      </c>
      <c r="L40" s="3179">
        <v>46.367696000000002</v>
      </c>
    </row>
    <row r="41" spans="1:12">
      <c r="A41" s="3191">
        <v>39</v>
      </c>
      <c r="B41" s="3191" t="s">
        <v>4410</v>
      </c>
      <c r="C41" s="3193" t="s">
        <v>4469</v>
      </c>
      <c r="D41" s="3193">
        <v>127.1</v>
      </c>
      <c r="E41" s="3192" t="s">
        <v>4470</v>
      </c>
      <c r="F41" s="3192" t="s">
        <v>4471</v>
      </c>
      <c r="I41" s="3198">
        <v>39</v>
      </c>
      <c r="J41" s="3179" t="s">
        <v>5224</v>
      </c>
      <c r="K41" s="3179" t="s">
        <v>4410</v>
      </c>
      <c r="L41" s="3179">
        <v>24.746616</v>
      </c>
    </row>
    <row r="42" spans="1:12">
      <c r="A42" s="3191">
        <v>40</v>
      </c>
      <c r="B42" s="3191" t="s">
        <v>4410</v>
      </c>
      <c r="C42" s="3193" t="s">
        <v>4472</v>
      </c>
      <c r="D42" s="3193">
        <v>118.89</v>
      </c>
      <c r="E42" s="3192" t="s">
        <v>4398</v>
      </c>
      <c r="F42" s="3192" t="s">
        <v>4417</v>
      </c>
      <c r="I42" s="3198">
        <v>40</v>
      </c>
      <c r="J42" s="3179" t="s">
        <v>5225</v>
      </c>
      <c r="K42" s="3179" t="s">
        <v>4410</v>
      </c>
      <c r="L42" s="3179">
        <v>41.862639000000001</v>
      </c>
    </row>
    <row r="43" spans="1:12">
      <c r="A43" s="3191">
        <v>41</v>
      </c>
      <c r="B43" s="3191" t="s">
        <v>4410</v>
      </c>
      <c r="C43" s="3193" t="s">
        <v>4473</v>
      </c>
      <c r="D43" s="3193">
        <v>122.35</v>
      </c>
      <c r="E43" s="3192" t="s">
        <v>4398</v>
      </c>
      <c r="F43" s="3192" t="s">
        <v>4417</v>
      </c>
      <c r="I43" s="3198">
        <v>41</v>
      </c>
      <c r="J43" s="3179" t="s">
        <v>5226</v>
      </c>
      <c r="K43" s="3179" t="s">
        <v>4410</v>
      </c>
      <c r="L43" s="3179">
        <v>0.657721</v>
      </c>
    </row>
    <row r="44" spans="1:12">
      <c r="A44" s="3191">
        <v>42</v>
      </c>
      <c r="B44" s="3191" t="s">
        <v>4410</v>
      </c>
      <c r="C44" s="3193" t="s">
        <v>4474</v>
      </c>
      <c r="D44" s="3193">
        <v>63.41</v>
      </c>
      <c r="E44" s="3192" t="s">
        <v>4398</v>
      </c>
      <c r="F44" s="3192" t="s">
        <v>4464</v>
      </c>
      <c r="I44" s="3198">
        <v>42</v>
      </c>
      <c r="J44" s="3179" t="s">
        <v>5227</v>
      </c>
      <c r="K44" s="3179" t="s">
        <v>4410</v>
      </c>
      <c r="L44" s="3179">
        <v>25.620009</v>
      </c>
    </row>
    <row r="45" spans="1:12">
      <c r="A45" s="3191">
        <v>43</v>
      </c>
      <c r="B45" s="3191" t="s">
        <v>4410</v>
      </c>
      <c r="C45" s="3193" t="s">
        <v>4475</v>
      </c>
      <c r="D45" s="3193">
        <v>272.70999999999998</v>
      </c>
      <c r="E45" s="3192" t="s">
        <v>4398</v>
      </c>
      <c r="F45" s="3192" t="s">
        <v>4417</v>
      </c>
      <c r="I45" s="3198">
        <v>43</v>
      </c>
      <c r="J45" s="3179" t="s">
        <v>5228</v>
      </c>
      <c r="K45" s="3179" t="s">
        <v>4410</v>
      </c>
      <c r="L45" s="3179">
        <v>45.734991000000001</v>
      </c>
    </row>
    <row r="46" spans="1:12">
      <c r="A46" s="3191">
        <v>44</v>
      </c>
      <c r="B46" s="3191" t="s">
        <v>4410</v>
      </c>
      <c r="C46" s="3193" t="s">
        <v>4476</v>
      </c>
      <c r="D46" s="3193">
        <v>83.16</v>
      </c>
      <c r="E46" s="3192" t="s">
        <v>4412</v>
      </c>
      <c r="F46" s="3192" t="s">
        <v>4417</v>
      </c>
      <c r="I46" s="3198">
        <v>44</v>
      </c>
      <c r="J46" s="3179" t="s">
        <v>5229</v>
      </c>
      <c r="K46" s="3179" t="s">
        <v>4410</v>
      </c>
      <c r="L46" s="3179">
        <v>13.523501</v>
      </c>
    </row>
    <row r="47" spans="1:12">
      <c r="A47" s="3191">
        <v>45</v>
      </c>
      <c r="B47" s="3191" t="s">
        <v>4410</v>
      </c>
      <c r="C47" s="3193" t="s">
        <v>4477</v>
      </c>
      <c r="D47" s="3193">
        <v>280.52999999999997</v>
      </c>
      <c r="E47" s="3192" t="s">
        <v>4398</v>
      </c>
      <c r="F47" s="3192" t="s">
        <v>4420</v>
      </c>
      <c r="I47" s="3198">
        <v>45</v>
      </c>
      <c r="J47" s="3179" t="s">
        <v>5230</v>
      </c>
      <c r="K47" s="3179" t="s">
        <v>4410</v>
      </c>
      <c r="L47" s="3179">
        <v>72.377882</v>
      </c>
    </row>
    <row r="48" spans="1:12">
      <c r="A48" s="3191">
        <v>46</v>
      </c>
      <c r="B48" s="3191" t="s">
        <v>4410</v>
      </c>
      <c r="C48" s="3193" t="s">
        <v>4478</v>
      </c>
      <c r="D48" s="3193">
        <v>121.13</v>
      </c>
      <c r="E48" s="3192" t="s">
        <v>4398</v>
      </c>
      <c r="F48" s="3192" t="s">
        <v>4417</v>
      </c>
      <c r="I48" s="3198">
        <v>46</v>
      </c>
      <c r="J48" s="3179" t="s">
        <v>5231</v>
      </c>
      <c r="K48" s="3179" t="s">
        <v>4410</v>
      </c>
      <c r="L48" s="3179">
        <v>4.2389849999999996</v>
      </c>
    </row>
    <row r="49" spans="1:12">
      <c r="A49" s="3191">
        <v>47</v>
      </c>
      <c r="B49" s="3191" t="s">
        <v>4410</v>
      </c>
      <c r="C49" s="3193" t="s">
        <v>4479</v>
      </c>
      <c r="D49" s="3193">
        <v>155.97</v>
      </c>
      <c r="E49" s="3192" t="s">
        <v>4398</v>
      </c>
      <c r="F49" s="3192" t="s">
        <v>4417</v>
      </c>
      <c r="I49" s="3198">
        <v>47</v>
      </c>
      <c r="J49" s="3179" t="s">
        <v>5232</v>
      </c>
      <c r="K49" s="3179" t="s">
        <v>4410</v>
      </c>
      <c r="L49" s="3179">
        <v>7.0786499999999997</v>
      </c>
    </row>
    <row r="50" spans="1:12">
      <c r="A50" s="3191">
        <v>48</v>
      </c>
      <c r="B50" s="3191" t="s">
        <v>4410</v>
      </c>
      <c r="C50" s="3193" t="s">
        <v>4480</v>
      </c>
      <c r="D50" s="3193">
        <v>50.16</v>
      </c>
      <c r="E50" s="3192" t="s">
        <v>4398</v>
      </c>
      <c r="F50" s="3192" t="s">
        <v>4464</v>
      </c>
      <c r="I50" s="3198">
        <v>48</v>
      </c>
      <c r="J50" s="3179" t="s">
        <v>5233</v>
      </c>
      <c r="K50" s="3179" t="s">
        <v>4410</v>
      </c>
      <c r="L50" s="3179">
        <v>25.760639999999999</v>
      </c>
    </row>
    <row r="51" spans="1:12">
      <c r="A51" s="3191">
        <v>49</v>
      </c>
      <c r="B51" s="3191" t="s">
        <v>4410</v>
      </c>
      <c r="C51" s="3193" t="s">
        <v>4481</v>
      </c>
      <c r="D51" s="3193">
        <v>30.97</v>
      </c>
      <c r="E51" s="3192" t="s">
        <v>4398</v>
      </c>
      <c r="F51" s="3192" t="s">
        <v>4464</v>
      </c>
      <c r="I51" s="3198">
        <v>49</v>
      </c>
      <c r="J51" s="3179" t="s">
        <v>5234</v>
      </c>
      <c r="K51" s="3179" t="s">
        <v>4410</v>
      </c>
      <c r="L51" s="3179">
        <v>1.5062990000000001</v>
      </c>
    </row>
    <row r="52" spans="1:12">
      <c r="A52" s="3191">
        <v>50</v>
      </c>
      <c r="B52" s="3191" t="s">
        <v>4410</v>
      </c>
      <c r="C52" s="3193" t="s">
        <v>4482</v>
      </c>
      <c r="D52" s="3193">
        <v>65.37</v>
      </c>
      <c r="E52" s="3192" t="s">
        <v>4419</v>
      </c>
      <c r="F52" s="3192" t="s">
        <v>4420</v>
      </c>
      <c r="I52" s="3198">
        <v>50</v>
      </c>
      <c r="J52" s="3179" t="s">
        <v>5235</v>
      </c>
      <c r="K52" s="3179" t="s">
        <v>4410</v>
      </c>
      <c r="L52" s="3179">
        <v>3.1977600000000002</v>
      </c>
    </row>
    <row r="53" spans="1:12">
      <c r="A53" s="3191">
        <v>51</v>
      </c>
      <c r="B53" s="3191" t="s">
        <v>4410</v>
      </c>
      <c r="C53" s="3193" t="s">
        <v>4483</v>
      </c>
      <c r="D53" s="3193">
        <v>811.18</v>
      </c>
      <c r="E53" s="3192" t="s">
        <v>4398</v>
      </c>
      <c r="F53" s="3192" t="s">
        <v>4403</v>
      </c>
      <c r="I53" s="3198">
        <v>51</v>
      </c>
      <c r="J53" s="3179" t="s">
        <v>5236</v>
      </c>
      <c r="K53" s="3179" t="s">
        <v>4410</v>
      </c>
      <c r="L53" s="3179">
        <v>107.080381</v>
      </c>
    </row>
    <row r="54" spans="1:12">
      <c r="A54" s="3191">
        <v>52</v>
      </c>
      <c r="B54" s="3191" t="s">
        <v>4410</v>
      </c>
      <c r="C54" s="3193" t="s">
        <v>4484</v>
      </c>
      <c r="D54" s="3193">
        <v>120.12</v>
      </c>
      <c r="E54" s="3192" t="s">
        <v>4485</v>
      </c>
      <c r="F54" s="3192" t="s">
        <v>4486</v>
      </c>
      <c r="I54" s="3198">
        <v>52</v>
      </c>
      <c r="J54" s="3179" t="s">
        <v>5237</v>
      </c>
      <c r="K54" s="3179" t="s">
        <v>4410</v>
      </c>
      <c r="L54" s="3179">
        <v>27.675108000000002</v>
      </c>
    </row>
    <row r="55" spans="1:12">
      <c r="A55" s="3191">
        <v>53</v>
      </c>
      <c r="B55" s="3191" t="s">
        <v>4410</v>
      </c>
      <c r="C55" s="3193" t="s">
        <v>4487</v>
      </c>
      <c r="D55" s="3193">
        <v>122.67</v>
      </c>
      <c r="E55" s="3192" t="s">
        <v>4488</v>
      </c>
      <c r="F55" s="3192" t="s">
        <v>4448</v>
      </c>
      <c r="I55" s="3198">
        <v>53</v>
      </c>
      <c r="J55" s="3179" t="s">
        <v>5238</v>
      </c>
      <c r="K55" s="3179" t="s">
        <v>4410</v>
      </c>
      <c r="L55" s="3179">
        <v>43.286340000000003</v>
      </c>
    </row>
    <row r="56" spans="1:12">
      <c r="A56" s="3191">
        <v>54</v>
      </c>
      <c r="B56" s="3191" t="s">
        <v>4410</v>
      </c>
      <c r="C56" s="3193" t="s">
        <v>4489</v>
      </c>
      <c r="D56" s="3193">
        <v>77.31</v>
      </c>
      <c r="E56" s="3192" t="s">
        <v>4398</v>
      </c>
      <c r="F56" s="3192" t="s">
        <v>4417</v>
      </c>
      <c r="I56" s="3198">
        <v>54</v>
      </c>
      <c r="J56" s="3179" t="s">
        <v>5239</v>
      </c>
      <c r="K56" s="3179" t="s">
        <v>4410</v>
      </c>
      <c r="L56" s="3179">
        <v>3.1469879999999999</v>
      </c>
    </row>
    <row r="57" spans="1:12">
      <c r="A57" s="3191">
        <v>55</v>
      </c>
      <c r="B57" s="3191" t="s">
        <v>4410</v>
      </c>
      <c r="C57" s="3193" t="s">
        <v>4490</v>
      </c>
      <c r="D57" s="3193">
        <v>28.86</v>
      </c>
      <c r="E57" s="3192" t="s">
        <v>4491</v>
      </c>
      <c r="F57" s="3192" t="s">
        <v>4492</v>
      </c>
      <c r="I57" s="3198">
        <v>55</v>
      </c>
      <c r="J57" s="3179" t="s">
        <v>5240</v>
      </c>
      <c r="K57" s="3179" t="s">
        <v>4410</v>
      </c>
      <c r="L57" s="3179">
        <v>9.0908999999999995</v>
      </c>
    </row>
    <row r="58" spans="1:12">
      <c r="A58" s="3191">
        <v>56</v>
      </c>
      <c r="B58" s="3191" t="s">
        <v>4410</v>
      </c>
      <c r="C58" s="3193" t="s">
        <v>4493</v>
      </c>
      <c r="D58" s="3193">
        <v>67.89</v>
      </c>
      <c r="E58" s="3192" t="s">
        <v>4398</v>
      </c>
      <c r="F58" s="3192" t="s">
        <v>4464</v>
      </c>
      <c r="I58" s="3198">
        <v>56</v>
      </c>
      <c r="J58" s="3179" t="s">
        <v>5241</v>
      </c>
      <c r="K58" s="3179" t="s">
        <v>4410</v>
      </c>
      <c r="L58" s="3179">
        <v>33.621690000000001</v>
      </c>
    </row>
    <row r="59" spans="1:12">
      <c r="A59" s="3191">
        <v>57</v>
      </c>
      <c r="B59" s="3191" t="s">
        <v>4410</v>
      </c>
      <c r="C59" s="3193" t="s">
        <v>4494</v>
      </c>
      <c r="D59" s="3193">
        <v>180.68</v>
      </c>
      <c r="E59" s="3192" t="s">
        <v>4398</v>
      </c>
      <c r="F59" s="3192" t="s">
        <v>4430</v>
      </c>
      <c r="I59" s="3198">
        <v>57</v>
      </c>
      <c r="J59" s="3179" t="s">
        <v>5242</v>
      </c>
      <c r="K59" s="3179" t="s">
        <v>4410</v>
      </c>
      <c r="L59" s="3179">
        <v>43.144343999999997</v>
      </c>
    </row>
    <row r="60" spans="1:12">
      <c r="A60" s="3191">
        <v>58</v>
      </c>
      <c r="B60" s="3191" t="s">
        <v>4410</v>
      </c>
      <c r="C60" s="3193" t="s">
        <v>4495</v>
      </c>
      <c r="D60" s="3193">
        <v>317.75</v>
      </c>
      <c r="E60" s="3192" t="s">
        <v>4405</v>
      </c>
      <c r="F60" s="3192" t="s">
        <v>4460</v>
      </c>
      <c r="I60" s="3198">
        <v>58</v>
      </c>
      <c r="J60" s="3179" t="s">
        <v>5243</v>
      </c>
      <c r="K60" s="3179" t="s">
        <v>4410</v>
      </c>
      <c r="L60" s="3179">
        <v>77.346530000000001</v>
      </c>
    </row>
    <row r="61" spans="1:12">
      <c r="A61" s="3191">
        <v>59</v>
      </c>
      <c r="B61" s="3191" t="s">
        <v>4410</v>
      </c>
      <c r="C61" s="3193" t="s">
        <v>4496</v>
      </c>
      <c r="D61" s="3193">
        <v>51.28</v>
      </c>
      <c r="E61" s="3192" t="s">
        <v>4398</v>
      </c>
      <c r="F61" s="3192" t="s">
        <v>4497</v>
      </c>
      <c r="I61" s="3198">
        <v>59</v>
      </c>
      <c r="J61" s="3179" t="s">
        <v>5244</v>
      </c>
      <c r="K61" s="3179" t="s">
        <v>4410</v>
      </c>
      <c r="L61" s="3179">
        <v>27.909063</v>
      </c>
    </row>
    <row r="62" spans="1:12">
      <c r="A62" s="3191">
        <v>60</v>
      </c>
      <c r="B62" s="3191" t="s">
        <v>4410</v>
      </c>
      <c r="C62" s="3193" t="s">
        <v>4498</v>
      </c>
      <c r="D62" s="3193">
        <v>19.36</v>
      </c>
      <c r="E62" s="3192" t="s">
        <v>4499</v>
      </c>
      <c r="F62" s="3192" t="s">
        <v>4500</v>
      </c>
      <c r="I62" s="3198">
        <v>60</v>
      </c>
      <c r="J62" s="3179" t="s">
        <v>5245</v>
      </c>
      <c r="K62" s="3179" t="s">
        <v>4410</v>
      </c>
      <c r="L62" s="3179">
        <v>18.486719999999998</v>
      </c>
    </row>
    <row r="63" spans="1:12">
      <c r="A63" s="3191">
        <v>61</v>
      </c>
      <c r="B63" s="3191" t="s">
        <v>4410</v>
      </c>
      <c r="C63" s="3193" t="s">
        <v>4501</v>
      </c>
      <c r="D63" s="3193">
        <v>129.34</v>
      </c>
      <c r="E63" s="3192" t="s">
        <v>4398</v>
      </c>
      <c r="F63" s="3192" t="s">
        <v>4420</v>
      </c>
      <c r="I63" s="3198">
        <v>61</v>
      </c>
      <c r="J63" s="3179" t="s">
        <v>5246</v>
      </c>
      <c r="K63" s="3179" t="s">
        <v>4410</v>
      </c>
      <c r="L63" s="3179">
        <v>32.341987000000003</v>
      </c>
    </row>
    <row r="64" spans="1:12">
      <c r="A64" s="3191">
        <v>62</v>
      </c>
      <c r="B64" s="3191" t="s">
        <v>4410</v>
      </c>
      <c r="C64" s="3193" t="s">
        <v>4502</v>
      </c>
      <c r="D64" s="3193">
        <v>229.11</v>
      </c>
      <c r="E64" s="3192" t="s">
        <v>4398</v>
      </c>
      <c r="F64" s="3192" t="s">
        <v>4430</v>
      </c>
      <c r="I64" s="3198">
        <v>62</v>
      </c>
      <c r="J64" s="3179" t="s">
        <v>5247</v>
      </c>
      <c r="K64" s="3179" t="s">
        <v>4410</v>
      </c>
      <c r="L64" s="3179">
        <v>68.133589000000001</v>
      </c>
    </row>
    <row r="65" spans="1:12">
      <c r="A65" s="3191">
        <v>63</v>
      </c>
      <c r="B65" s="3191" t="s">
        <v>4410</v>
      </c>
      <c r="C65" s="3193" t="s">
        <v>4503</v>
      </c>
      <c r="D65" s="3193">
        <v>163.43</v>
      </c>
      <c r="E65" s="3192" t="s">
        <v>4398</v>
      </c>
      <c r="F65" s="3192" t="s">
        <v>4417</v>
      </c>
      <c r="I65" s="3198">
        <v>63</v>
      </c>
      <c r="J65" s="3179" t="s">
        <v>5248</v>
      </c>
      <c r="K65" s="3179" t="s">
        <v>4410</v>
      </c>
      <c r="L65" s="3179">
        <v>44.148496000000002</v>
      </c>
    </row>
    <row r="66" spans="1:12">
      <c r="A66" s="3191">
        <v>64</v>
      </c>
      <c r="B66" s="3191" t="s">
        <v>4410</v>
      </c>
      <c r="C66" s="3193" t="s">
        <v>4504</v>
      </c>
      <c r="D66" s="3193">
        <v>411.47</v>
      </c>
      <c r="E66" s="3192" t="s">
        <v>4398</v>
      </c>
      <c r="F66" s="3192" t="s">
        <v>4430</v>
      </c>
      <c r="I66" s="3198">
        <v>64</v>
      </c>
      <c r="J66" s="3179" t="s">
        <v>5249</v>
      </c>
      <c r="K66" s="3179" t="s">
        <v>4410</v>
      </c>
      <c r="L66" s="3179">
        <v>85.759552999999997</v>
      </c>
    </row>
    <row r="67" spans="1:12">
      <c r="A67" s="3191">
        <v>65</v>
      </c>
      <c r="B67" s="3191" t="s">
        <v>4410</v>
      </c>
      <c r="C67" s="3193" t="s">
        <v>4505</v>
      </c>
      <c r="D67" s="3193">
        <v>182.23</v>
      </c>
      <c r="E67" s="3192" t="s">
        <v>4506</v>
      </c>
      <c r="F67" s="3192" t="s">
        <v>4507</v>
      </c>
      <c r="I67" s="3198">
        <v>65</v>
      </c>
      <c r="J67" s="3179" t="s">
        <v>5250</v>
      </c>
      <c r="K67" s="3179" t="s">
        <v>4410</v>
      </c>
      <c r="L67" s="3179">
        <v>69.938087999999993</v>
      </c>
    </row>
    <row r="68" spans="1:12">
      <c r="A68" s="3191">
        <v>66</v>
      </c>
      <c r="B68" s="3191" t="s">
        <v>4410</v>
      </c>
      <c r="C68" s="3193" t="s">
        <v>4508</v>
      </c>
      <c r="D68" s="3193">
        <v>197.49</v>
      </c>
      <c r="E68" s="3192" t="s">
        <v>4398</v>
      </c>
      <c r="F68" s="3192" t="s">
        <v>4430</v>
      </c>
      <c r="I68" s="3198">
        <v>66</v>
      </c>
      <c r="J68" s="3179" t="s">
        <v>5251</v>
      </c>
      <c r="K68" s="3179" t="s">
        <v>4410</v>
      </c>
      <c r="L68" s="3179">
        <v>57.725048000000001</v>
      </c>
    </row>
    <row r="69" spans="1:12">
      <c r="A69" s="3191">
        <v>67</v>
      </c>
      <c r="B69" s="3191" t="s">
        <v>4410</v>
      </c>
      <c r="C69" s="3193" t="s">
        <v>4509</v>
      </c>
      <c r="D69" s="3193">
        <v>111.7</v>
      </c>
      <c r="E69" s="3192" t="s">
        <v>4398</v>
      </c>
      <c r="F69" s="3192" t="s">
        <v>4417</v>
      </c>
      <c r="I69" s="3198">
        <v>67</v>
      </c>
      <c r="J69" s="3179" t="s">
        <v>5252</v>
      </c>
      <c r="K69" s="3179" t="s">
        <v>4410</v>
      </c>
      <c r="L69" s="3179">
        <v>3.9136500000000001</v>
      </c>
    </row>
    <row r="70" spans="1:12">
      <c r="A70" s="3191">
        <v>68</v>
      </c>
      <c r="B70" s="3191" t="s">
        <v>4410</v>
      </c>
      <c r="C70" s="3193" t="s">
        <v>4510</v>
      </c>
      <c r="D70" s="3193">
        <v>435.18</v>
      </c>
      <c r="E70" s="3192" t="s">
        <v>4511</v>
      </c>
      <c r="F70" s="3192" t="s">
        <v>4512</v>
      </c>
      <c r="I70" s="3198">
        <v>68</v>
      </c>
      <c r="J70" s="3179" t="s">
        <v>5253</v>
      </c>
      <c r="K70" s="3179" t="s">
        <v>4410</v>
      </c>
      <c r="L70" s="3179">
        <v>5.2894050000000004</v>
      </c>
    </row>
    <row r="71" spans="1:12">
      <c r="A71" s="3191">
        <v>69</v>
      </c>
      <c r="B71" s="3191" t="s">
        <v>4410</v>
      </c>
      <c r="C71" s="3193" t="s">
        <v>4513</v>
      </c>
      <c r="D71" s="3193">
        <v>131.59</v>
      </c>
      <c r="E71" s="3192" t="s">
        <v>4398</v>
      </c>
      <c r="F71" s="3192" t="s">
        <v>4417</v>
      </c>
      <c r="I71" s="3198">
        <v>69</v>
      </c>
      <c r="J71" s="3179" t="s">
        <v>5254</v>
      </c>
      <c r="K71" s="3179" t="s">
        <v>4410</v>
      </c>
      <c r="L71" s="3179">
        <v>3.9257390000000001</v>
      </c>
    </row>
    <row r="72" spans="1:12">
      <c r="A72" s="3191">
        <v>70</v>
      </c>
      <c r="B72" s="3191" t="s">
        <v>4410</v>
      </c>
      <c r="C72" s="3193" t="s">
        <v>4514</v>
      </c>
      <c r="D72" s="3193">
        <v>134.37</v>
      </c>
      <c r="E72" s="3192" t="s">
        <v>4419</v>
      </c>
      <c r="F72" s="3192" t="s">
        <v>4420</v>
      </c>
      <c r="I72" s="3198">
        <v>70</v>
      </c>
      <c r="J72" s="3179" t="s">
        <v>5255</v>
      </c>
      <c r="K72" s="3179" t="s">
        <v>4410</v>
      </c>
      <c r="L72" s="3179">
        <v>37.691797000000001</v>
      </c>
    </row>
    <row r="73" spans="1:12">
      <c r="A73" s="3191">
        <v>71</v>
      </c>
      <c r="B73" s="3191" t="s">
        <v>4410</v>
      </c>
      <c r="C73" s="3193" t="s">
        <v>4515</v>
      </c>
      <c r="D73" s="3193">
        <v>81.900000000000006</v>
      </c>
      <c r="E73" s="3192" t="s">
        <v>4516</v>
      </c>
      <c r="F73" s="3192" t="s">
        <v>4517</v>
      </c>
      <c r="I73" s="3198">
        <v>71</v>
      </c>
      <c r="J73" s="3179" t="s">
        <v>5256</v>
      </c>
      <c r="K73" s="3179" t="s">
        <v>4410</v>
      </c>
      <c r="L73" s="3179">
        <v>19.409269999999999</v>
      </c>
    </row>
    <row r="74" spans="1:12">
      <c r="A74" s="3191">
        <v>72</v>
      </c>
      <c r="B74" s="3191" t="s">
        <v>4410</v>
      </c>
      <c r="C74" s="3193" t="s">
        <v>4518</v>
      </c>
      <c r="D74" s="3193">
        <v>74.900000000000006</v>
      </c>
      <c r="E74" s="3192" t="s">
        <v>4398</v>
      </c>
      <c r="F74" s="3192" t="s">
        <v>4497</v>
      </c>
      <c r="I74" s="3198">
        <v>72</v>
      </c>
      <c r="J74" s="3179" t="s">
        <v>5257</v>
      </c>
      <c r="K74" s="3179" t="s">
        <v>4410</v>
      </c>
      <c r="L74" s="3179">
        <v>24.211400000000001</v>
      </c>
    </row>
    <row r="75" spans="1:12">
      <c r="A75" s="3191">
        <v>73</v>
      </c>
      <c r="B75" s="3191" t="s">
        <v>4410</v>
      </c>
      <c r="C75" s="3193" t="s">
        <v>4519</v>
      </c>
      <c r="D75" s="3193">
        <v>112.7</v>
      </c>
      <c r="E75" s="3192" t="s">
        <v>4419</v>
      </c>
      <c r="F75" s="3192" t="s">
        <v>4420</v>
      </c>
      <c r="I75" s="3198">
        <v>73</v>
      </c>
      <c r="J75" s="3179" t="s">
        <v>5258</v>
      </c>
      <c r="K75" s="3179" t="s">
        <v>4410</v>
      </c>
      <c r="L75" s="3179">
        <v>5.2229890000000001</v>
      </c>
    </row>
    <row r="76" spans="1:12">
      <c r="A76" s="3191">
        <v>74</v>
      </c>
      <c r="B76" s="3191" t="s">
        <v>4410</v>
      </c>
      <c r="C76" s="3193" t="s">
        <v>4520</v>
      </c>
      <c r="D76" s="3193">
        <v>70.23</v>
      </c>
      <c r="E76" s="3192" t="s">
        <v>4521</v>
      </c>
      <c r="F76" s="3192" t="s">
        <v>4512</v>
      </c>
      <c r="I76" s="3198">
        <v>74</v>
      </c>
      <c r="J76" s="3179" t="s">
        <v>5259</v>
      </c>
      <c r="K76" s="3179" t="s">
        <v>4410</v>
      </c>
      <c r="L76" s="3179">
        <v>26.900462000000001</v>
      </c>
    </row>
    <row r="77" spans="1:12">
      <c r="A77" s="3191">
        <v>75</v>
      </c>
      <c r="B77" s="3191" t="s">
        <v>4410</v>
      </c>
      <c r="C77" s="3193" t="s">
        <v>4522</v>
      </c>
      <c r="D77" s="3193">
        <v>28.26</v>
      </c>
      <c r="E77" s="3192" t="s">
        <v>4499</v>
      </c>
      <c r="F77" s="3192" t="s">
        <v>4457</v>
      </c>
      <c r="I77" s="3198">
        <v>75</v>
      </c>
      <c r="J77" s="3179" t="s">
        <v>5260</v>
      </c>
      <c r="K77" s="3179" t="s">
        <v>4410</v>
      </c>
      <c r="L77" s="3179">
        <v>20.124179999999999</v>
      </c>
    </row>
    <row r="78" spans="1:12">
      <c r="A78" s="3191">
        <v>76</v>
      </c>
      <c r="B78" s="3191" t="s">
        <v>4410</v>
      </c>
      <c r="C78" s="3193" t="s">
        <v>4523</v>
      </c>
      <c r="D78" s="3193">
        <v>56.98</v>
      </c>
      <c r="E78" s="3192" t="s">
        <v>4398</v>
      </c>
      <c r="F78" s="3192" t="s">
        <v>4417</v>
      </c>
      <c r="I78" s="3198">
        <v>76</v>
      </c>
      <c r="J78" s="3179" t="s">
        <v>5261</v>
      </c>
      <c r="K78" s="3179" t="s">
        <v>4410</v>
      </c>
      <c r="L78" s="3179">
        <v>20.992799999999999</v>
      </c>
    </row>
    <row r="79" spans="1:12">
      <c r="A79" s="3191">
        <v>77</v>
      </c>
      <c r="B79" s="3191" t="s">
        <v>4410</v>
      </c>
      <c r="C79" s="3193" t="s">
        <v>4524</v>
      </c>
      <c r="D79" s="3193">
        <v>167.61</v>
      </c>
      <c r="E79" s="3192" t="s">
        <v>4525</v>
      </c>
      <c r="F79" s="3192" t="s">
        <v>4526</v>
      </c>
      <c r="I79" s="3198">
        <v>77</v>
      </c>
      <c r="J79" s="3179" t="s">
        <v>5262</v>
      </c>
      <c r="K79" s="3179" t="s">
        <v>4410</v>
      </c>
      <c r="L79" s="3179">
        <v>43.055428999999997</v>
      </c>
    </row>
    <row r="80" spans="1:12">
      <c r="A80" s="3191">
        <v>78</v>
      </c>
      <c r="B80" s="3191" t="s">
        <v>4410</v>
      </c>
      <c r="C80" s="3193" t="s">
        <v>4527</v>
      </c>
      <c r="D80" s="3193">
        <v>178.89</v>
      </c>
      <c r="E80" s="3192" t="s">
        <v>4528</v>
      </c>
      <c r="F80" s="3192" t="s">
        <v>4529</v>
      </c>
      <c r="I80" s="3198">
        <v>78</v>
      </c>
      <c r="J80" s="3179" t="s">
        <v>5263</v>
      </c>
      <c r="K80" s="3179" t="s">
        <v>4410</v>
      </c>
      <c r="L80" s="3179">
        <v>25.837225</v>
      </c>
    </row>
    <row r="81" spans="1:12">
      <c r="A81" s="3191">
        <v>79</v>
      </c>
      <c r="B81" s="3191" t="s">
        <v>4410</v>
      </c>
      <c r="C81" s="3193" t="s">
        <v>4530</v>
      </c>
      <c r="D81" s="3193">
        <v>192.47</v>
      </c>
      <c r="E81" s="3192" t="s">
        <v>4398</v>
      </c>
      <c r="F81" s="3192" t="s">
        <v>4417</v>
      </c>
      <c r="I81" s="3198">
        <v>79</v>
      </c>
      <c r="J81" s="3179" t="s">
        <v>5264</v>
      </c>
      <c r="K81" s="3179" t="s">
        <v>4410</v>
      </c>
      <c r="L81" s="3179">
        <v>4.1018699999999999</v>
      </c>
    </row>
    <row r="82" spans="1:12">
      <c r="A82" s="3191">
        <v>80</v>
      </c>
      <c r="B82" s="3191" t="s">
        <v>4410</v>
      </c>
      <c r="C82" s="3193" t="s">
        <v>4531</v>
      </c>
      <c r="D82" s="3193">
        <v>144.85</v>
      </c>
      <c r="E82" s="3192" t="s">
        <v>4398</v>
      </c>
      <c r="F82" s="3192" t="s">
        <v>4417</v>
      </c>
      <c r="I82" s="3198">
        <v>80</v>
      </c>
      <c r="J82" s="3179" t="s">
        <v>5265</v>
      </c>
      <c r="K82" s="3179" t="s">
        <v>4410</v>
      </c>
      <c r="L82" s="3179">
        <v>17.861999999999998</v>
      </c>
    </row>
    <row r="83" spans="1:12">
      <c r="A83" s="3191">
        <v>81</v>
      </c>
      <c r="B83" s="3191" t="s">
        <v>4410</v>
      </c>
      <c r="C83" s="3193" t="s">
        <v>4532</v>
      </c>
      <c r="D83" s="3193">
        <v>111.96</v>
      </c>
      <c r="E83" s="3192" t="s">
        <v>4398</v>
      </c>
      <c r="F83" s="3192" t="s">
        <v>4417</v>
      </c>
      <c r="I83" s="3198">
        <v>81</v>
      </c>
      <c r="J83" s="3179" t="s">
        <v>5266</v>
      </c>
      <c r="K83" s="3179" t="s">
        <v>4410</v>
      </c>
      <c r="L83" s="3179">
        <v>38.560727999999997</v>
      </c>
    </row>
    <row r="84" spans="1:12">
      <c r="A84" s="3191">
        <v>82</v>
      </c>
      <c r="B84" s="3191" t="s">
        <v>4410</v>
      </c>
      <c r="C84" s="3193" t="s">
        <v>4533</v>
      </c>
      <c r="D84" s="3193">
        <v>40.659999999999997</v>
      </c>
      <c r="E84" s="3192" t="s">
        <v>4488</v>
      </c>
      <c r="F84" s="3192" t="s">
        <v>4534</v>
      </c>
      <c r="I84" s="3198">
        <v>82</v>
      </c>
      <c r="J84" s="3183" t="s">
        <v>5267</v>
      </c>
      <c r="K84" s="3179" t="s">
        <v>4410</v>
      </c>
      <c r="L84" s="3179">
        <v>25.058123999999999</v>
      </c>
    </row>
    <row r="85" spans="1:12">
      <c r="A85" s="3191">
        <v>83</v>
      </c>
      <c r="B85" s="3191" t="s">
        <v>4410</v>
      </c>
      <c r="C85" s="3193" t="s">
        <v>4535</v>
      </c>
      <c r="D85" s="3193">
        <v>263.19</v>
      </c>
      <c r="E85" s="3192" t="s">
        <v>4398</v>
      </c>
      <c r="F85" s="3192" t="s">
        <v>4420</v>
      </c>
      <c r="I85" s="3198">
        <v>83</v>
      </c>
      <c r="J85" s="3179" t="s">
        <v>5268</v>
      </c>
      <c r="K85" s="3179" t="s">
        <v>4410</v>
      </c>
      <c r="L85" s="3179">
        <v>76.681552999999994</v>
      </c>
    </row>
    <row r="86" spans="1:12">
      <c r="A86" s="3191">
        <v>84</v>
      </c>
      <c r="B86" s="3191" t="s">
        <v>4410</v>
      </c>
      <c r="C86" s="3193" t="s">
        <v>4536</v>
      </c>
      <c r="D86" s="3193">
        <v>376.5</v>
      </c>
      <c r="E86" s="3192" t="s">
        <v>4398</v>
      </c>
      <c r="F86" s="3192" t="s">
        <v>4420</v>
      </c>
      <c r="I86" s="3198">
        <v>84</v>
      </c>
      <c r="J86" s="3179" t="s">
        <v>5269</v>
      </c>
      <c r="K86" s="3179" t="s">
        <v>4410</v>
      </c>
      <c r="L86" s="3179">
        <v>97.109952000000007</v>
      </c>
    </row>
    <row r="87" spans="1:12">
      <c r="A87" s="3191">
        <v>85</v>
      </c>
      <c r="B87" s="3191" t="s">
        <v>4410</v>
      </c>
      <c r="C87" s="3193" t="s">
        <v>4537</v>
      </c>
      <c r="D87" s="3193">
        <v>83.4</v>
      </c>
      <c r="E87" s="3192" t="s">
        <v>4398</v>
      </c>
      <c r="F87" s="3192" t="s">
        <v>4417</v>
      </c>
      <c r="I87" s="3198">
        <v>85</v>
      </c>
      <c r="J87" s="3179" t="s">
        <v>5270</v>
      </c>
      <c r="K87" s="3179" t="s">
        <v>4410</v>
      </c>
      <c r="L87" s="3179">
        <v>28.942087999999998</v>
      </c>
    </row>
    <row r="88" spans="1:12">
      <c r="A88" s="3191">
        <v>86</v>
      </c>
      <c r="B88" s="3191" t="s">
        <v>4410</v>
      </c>
      <c r="C88" s="3193" t="s">
        <v>4538</v>
      </c>
      <c r="D88" s="3193">
        <v>280.25</v>
      </c>
      <c r="E88" s="3192" t="s">
        <v>4462</v>
      </c>
      <c r="F88" s="3192" t="s">
        <v>4539</v>
      </c>
      <c r="I88" s="3198">
        <v>86</v>
      </c>
      <c r="J88" s="3179" t="s">
        <v>5271</v>
      </c>
      <c r="K88" s="3179" t="s">
        <v>4410</v>
      </c>
      <c r="L88" s="3179">
        <v>63.151873000000002</v>
      </c>
    </row>
    <row r="89" spans="1:12">
      <c r="A89" s="3191">
        <v>87</v>
      </c>
      <c r="B89" s="3191" t="s">
        <v>4410</v>
      </c>
      <c r="C89" s="3193" t="s">
        <v>4540</v>
      </c>
      <c r="D89" s="3193">
        <v>34.14</v>
      </c>
      <c r="E89" s="3192" t="s">
        <v>4516</v>
      </c>
      <c r="F89" s="3192" t="s">
        <v>4541</v>
      </c>
      <c r="I89" s="3198">
        <v>87</v>
      </c>
      <c r="J89" s="3179" t="s">
        <v>5272</v>
      </c>
      <c r="K89" s="3179" t="s">
        <v>4410</v>
      </c>
      <c r="L89" s="3179">
        <v>14.845071000000001</v>
      </c>
    </row>
    <row r="90" spans="1:12">
      <c r="A90" s="3191">
        <v>88</v>
      </c>
      <c r="B90" s="3191" t="s">
        <v>4410</v>
      </c>
      <c r="C90" s="3193" t="s">
        <v>4542</v>
      </c>
      <c r="D90" s="3193">
        <v>21.82</v>
      </c>
      <c r="E90" s="3192" t="s">
        <v>4543</v>
      </c>
      <c r="F90" s="3192" t="s">
        <v>4424</v>
      </c>
      <c r="I90" s="3198">
        <v>88</v>
      </c>
      <c r="J90" s="3179" t="s">
        <v>5273</v>
      </c>
      <c r="K90" s="3179" t="s">
        <v>4410</v>
      </c>
      <c r="L90" s="3179">
        <v>7.9370000000000003</v>
      </c>
    </row>
    <row r="91" spans="1:12">
      <c r="A91" s="3191">
        <v>89</v>
      </c>
      <c r="B91" s="3191" t="s">
        <v>4410</v>
      </c>
      <c r="C91" s="3193" t="s">
        <v>4544</v>
      </c>
      <c r="D91" s="3193">
        <v>123.44</v>
      </c>
      <c r="E91" s="3192" t="s">
        <v>4412</v>
      </c>
      <c r="F91" s="3192" t="s">
        <v>4417</v>
      </c>
      <c r="I91" s="3198">
        <v>89</v>
      </c>
      <c r="J91" s="3179" t="s">
        <v>5274</v>
      </c>
      <c r="K91" s="3179" t="s">
        <v>4410</v>
      </c>
      <c r="L91" s="3179">
        <v>22.323941999999999</v>
      </c>
    </row>
    <row r="92" spans="1:12">
      <c r="A92" s="3191">
        <v>90</v>
      </c>
      <c r="B92" s="3191" t="s">
        <v>4410</v>
      </c>
      <c r="C92" s="3193" t="s">
        <v>4545</v>
      </c>
      <c r="D92" s="3193">
        <v>156.28</v>
      </c>
      <c r="E92" s="3192" t="s">
        <v>4419</v>
      </c>
      <c r="F92" s="3192" t="s">
        <v>4420</v>
      </c>
      <c r="I92" s="3198">
        <v>90</v>
      </c>
      <c r="J92" s="3179" t="s">
        <v>5275</v>
      </c>
      <c r="K92" s="3179" t="s">
        <v>4410</v>
      </c>
      <c r="L92" s="3179">
        <v>57.112248000000001</v>
      </c>
    </row>
    <row r="93" spans="1:12">
      <c r="A93" s="3191">
        <v>91</v>
      </c>
      <c r="B93" s="3191" t="s">
        <v>4410</v>
      </c>
      <c r="C93" s="3193" t="s">
        <v>4546</v>
      </c>
      <c r="D93" s="3193">
        <v>127.39</v>
      </c>
      <c r="E93" s="3192" t="s">
        <v>4419</v>
      </c>
      <c r="F93" s="3192" t="s">
        <v>4547</v>
      </c>
      <c r="I93" s="3198">
        <v>91</v>
      </c>
      <c r="J93" s="3179" t="s">
        <v>5276</v>
      </c>
      <c r="K93" s="3179" t="s">
        <v>4410</v>
      </c>
      <c r="L93" s="3179">
        <v>0.82803499999999997</v>
      </c>
    </row>
    <row r="94" spans="1:12">
      <c r="A94" s="3191">
        <v>92</v>
      </c>
      <c r="B94" s="3191" t="s">
        <v>4410</v>
      </c>
      <c r="C94" s="3193" t="s">
        <v>4548</v>
      </c>
      <c r="D94" s="3193">
        <v>87.93</v>
      </c>
      <c r="E94" s="3192" t="s">
        <v>4549</v>
      </c>
      <c r="F94" s="3192" t="s">
        <v>4417</v>
      </c>
      <c r="I94" s="3198">
        <v>92</v>
      </c>
      <c r="J94" s="3179" t="s">
        <v>5277</v>
      </c>
      <c r="K94" s="3179" t="s">
        <v>4410</v>
      </c>
      <c r="L94" s="3179">
        <v>7.0081579999999999</v>
      </c>
    </row>
    <row r="95" spans="1:12">
      <c r="A95" s="3191">
        <v>93</v>
      </c>
      <c r="B95" s="3191" t="s">
        <v>4410</v>
      </c>
      <c r="C95" s="3193" t="s">
        <v>4550</v>
      </c>
      <c r="D95" s="3193">
        <v>86.04</v>
      </c>
      <c r="E95" s="3192" t="s">
        <v>4398</v>
      </c>
      <c r="F95" s="3192" t="s">
        <v>4464</v>
      </c>
      <c r="I95" s="3198">
        <v>93</v>
      </c>
      <c r="J95" s="3179" t="s">
        <v>5278</v>
      </c>
      <c r="K95" s="3179" t="s">
        <v>4410</v>
      </c>
      <c r="L95" s="3179">
        <v>5.7988679999999997</v>
      </c>
    </row>
    <row r="96" spans="1:12">
      <c r="A96" s="3191">
        <v>94</v>
      </c>
      <c r="B96" s="3191" t="s">
        <v>4410</v>
      </c>
      <c r="C96" s="3193" t="s">
        <v>4551</v>
      </c>
      <c r="D96" s="3193">
        <v>114.15</v>
      </c>
      <c r="E96" s="3192" t="s">
        <v>4405</v>
      </c>
      <c r="F96" s="3192" t="s">
        <v>4552</v>
      </c>
      <c r="I96" s="3198">
        <v>94</v>
      </c>
      <c r="J96" s="3183" t="s">
        <v>5279</v>
      </c>
      <c r="K96" s="3179" t="s">
        <v>4410</v>
      </c>
      <c r="L96" s="3179">
        <v>59.761938999999998</v>
      </c>
    </row>
    <row r="97" spans="1:12">
      <c r="A97" s="3191">
        <v>95</v>
      </c>
      <c r="B97" s="3191" t="s">
        <v>4410</v>
      </c>
      <c r="C97" s="3193" t="s">
        <v>4551</v>
      </c>
      <c r="D97" s="3193">
        <v>117.47</v>
      </c>
      <c r="E97" s="3192" t="s">
        <v>4553</v>
      </c>
      <c r="F97" s="3192" t="s">
        <v>4554</v>
      </c>
      <c r="I97" s="3198">
        <v>95</v>
      </c>
      <c r="J97" s="3179" t="s">
        <v>5280</v>
      </c>
      <c r="K97" s="3179" t="s">
        <v>4410</v>
      </c>
      <c r="L97" s="3179">
        <v>32.148352000000003</v>
      </c>
    </row>
    <row r="98" spans="1:12">
      <c r="A98" s="3191">
        <v>96</v>
      </c>
      <c r="B98" s="3191" t="s">
        <v>4410</v>
      </c>
      <c r="C98" s="3193" t="s">
        <v>4555</v>
      </c>
      <c r="D98" s="3193">
        <v>102.99</v>
      </c>
      <c r="E98" s="3192" t="s">
        <v>4556</v>
      </c>
      <c r="F98" s="3192" t="s">
        <v>4557</v>
      </c>
      <c r="I98" s="3198">
        <v>96</v>
      </c>
      <c r="J98" s="3179" t="s">
        <v>5281</v>
      </c>
      <c r="K98" s="3179" t="s">
        <v>4410</v>
      </c>
      <c r="L98" s="3179">
        <v>21.81991</v>
      </c>
    </row>
    <row r="99" spans="1:12">
      <c r="A99" s="3191">
        <v>97</v>
      </c>
      <c r="B99" s="3191" t="s">
        <v>4410</v>
      </c>
      <c r="C99" s="3193" t="s">
        <v>4558</v>
      </c>
      <c r="D99" s="3193">
        <v>82.17</v>
      </c>
      <c r="E99" s="3192" t="s">
        <v>4412</v>
      </c>
      <c r="F99" s="3192" t="s">
        <v>4559</v>
      </c>
      <c r="I99" s="3198">
        <v>97</v>
      </c>
      <c r="J99" s="3179" t="s">
        <v>5282</v>
      </c>
      <c r="K99" s="3179" t="s">
        <v>4410</v>
      </c>
      <c r="L99" s="3179">
        <v>33.718373</v>
      </c>
    </row>
    <row r="100" spans="1:12">
      <c r="A100" s="3191">
        <v>98</v>
      </c>
      <c r="B100" s="3191" t="s">
        <v>4410</v>
      </c>
      <c r="C100" s="3193" t="s">
        <v>4560</v>
      </c>
      <c r="D100" s="3193">
        <v>12.93</v>
      </c>
      <c r="E100" s="3192" t="s">
        <v>4412</v>
      </c>
      <c r="F100" s="3192" t="s">
        <v>4512</v>
      </c>
      <c r="I100" s="3198">
        <v>98</v>
      </c>
      <c r="J100" s="3179" t="s">
        <v>5283</v>
      </c>
      <c r="K100" s="3179" t="s">
        <v>4410</v>
      </c>
      <c r="L100" s="3179">
        <v>7.1846259999999997</v>
      </c>
    </row>
    <row r="101" spans="1:12">
      <c r="A101" s="3191">
        <v>99</v>
      </c>
      <c r="B101" s="3191" t="s">
        <v>4410</v>
      </c>
      <c r="C101" s="3193" t="s">
        <v>4561</v>
      </c>
      <c r="D101" s="3193">
        <v>117.47</v>
      </c>
      <c r="E101" s="3192" t="s">
        <v>4398</v>
      </c>
      <c r="F101" s="3192" t="s">
        <v>4430</v>
      </c>
      <c r="I101" s="3198">
        <v>99</v>
      </c>
      <c r="J101" s="3179" t="s">
        <v>5284</v>
      </c>
      <c r="K101" s="3179" t="s">
        <v>4410</v>
      </c>
      <c r="L101" s="3179">
        <v>43.391069000000002</v>
      </c>
    </row>
    <row r="102" spans="1:12">
      <c r="A102" s="3191">
        <v>100</v>
      </c>
      <c r="B102" s="3191" t="s">
        <v>4410</v>
      </c>
      <c r="C102" s="3193" t="s">
        <v>4562</v>
      </c>
      <c r="D102" s="3193">
        <v>241.15</v>
      </c>
      <c r="E102" s="3192" t="s">
        <v>4398</v>
      </c>
      <c r="F102" s="3192" t="s">
        <v>4430</v>
      </c>
      <c r="I102" s="3198">
        <v>100</v>
      </c>
      <c r="J102" s="3179" t="s">
        <v>5285</v>
      </c>
      <c r="K102" s="3179" t="s">
        <v>4410</v>
      </c>
      <c r="L102" s="3179">
        <v>59.430694000000003</v>
      </c>
    </row>
    <row r="103" spans="1:12">
      <c r="A103" s="3191">
        <v>101</v>
      </c>
      <c r="B103" s="3191" t="s">
        <v>4410</v>
      </c>
      <c r="C103" s="3193" t="s">
        <v>4563</v>
      </c>
      <c r="D103" s="3193">
        <v>37.58</v>
      </c>
      <c r="E103" s="3192" t="s">
        <v>4415</v>
      </c>
      <c r="F103" s="3192" t="s">
        <v>4564</v>
      </c>
      <c r="I103" s="3198">
        <v>101</v>
      </c>
      <c r="J103" s="3179" t="s">
        <v>5286</v>
      </c>
      <c r="K103" s="3179" t="s">
        <v>4410</v>
      </c>
      <c r="L103" s="3179">
        <v>27.350100000000001</v>
      </c>
    </row>
    <row r="104" spans="1:12">
      <c r="A104" s="3191">
        <v>102</v>
      </c>
      <c r="B104" s="3191" t="s">
        <v>4410</v>
      </c>
      <c r="C104" s="3193" t="s">
        <v>4565</v>
      </c>
      <c r="D104" s="3193">
        <v>116.22</v>
      </c>
      <c r="E104" s="3192" t="s">
        <v>4398</v>
      </c>
      <c r="F104" s="3192" t="s">
        <v>4417</v>
      </c>
      <c r="I104" s="3198">
        <v>102</v>
      </c>
      <c r="J104" s="3179" t="s">
        <v>5287</v>
      </c>
      <c r="K104" s="3179" t="s">
        <v>4410</v>
      </c>
      <c r="L104" s="3179">
        <v>28.233336000000001</v>
      </c>
    </row>
    <row r="105" spans="1:12">
      <c r="A105" s="3191">
        <v>103</v>
      </c>
      <c r="B105" s="3191" t="s">
        <v>4410</v>
      </c>
      <c r="C105" s="3193" t="s">
        <v>4566</v>
      </c>
      <c r="D105" s="3193">
        <v>211.68</v>
      </c>
      <c r="E105" s="3192" t="s">
        <v>4398</v>
      </c>
      <c r="F105" s="3192" t="s">
        <v>4417</v>
      </c>
      <c r="I105" s="3198">
        <v>103</v>
      </c>
      <c r="J105" s="3179" t="s">
        <v>5288</v>
      </c>
      <c r="K105" s="3179" t="s">
        <v>4410</v>
      </c>
      <c r="L105" s="3179">
        <v>5.4952529999999999</v>
      </c>
    </row>
    <row r="106" spans="1:12">
      <c r="A106" s="3191">
        <v>104</v>
      </c>
      <c r="B106" s="3191" t="s">
        <v>4410</v>
      </c>
      <c r="C106" s="3193" t="s">
        <v>4567</v>
      </c>
      <c r="D106" s="3193">
        <v>258.22000000000003</v>
      </c>
      <c r="E106" s="3192" t="s">
        <v>4398</v>
      </c>
      <c r="F106" s="3192" t="s">
        <v>4417</v>
      </c>
      <c r="I106" s="3198">
        <v>104</v>
      </c>
      <c r="J106" s="3179" t="s">
        <v>5289</v>
      </c>
      <c r="K106" s="3179" t="s">
        <v>4410</v>
      </c>
      <c r="L106" s="3179">
        <v>5.2244000000000002</v>
      </c>
    </row>
    <row r="107" spans="1:12">
      <c r="A107" s="3191">
        <v>105</v>
      </c>
      <c r="B107" s="3191" t="s">
        <v>4410</v>
      </c>
      <c r="C107" s="3193" t="s">
        <v>4568</v>
      </c>
      <c r="D107" s="3193">
        <v>62.52</v>
      </c>
      <c r="E107" s="3192" t="s">
        <v>4569</v>
      </c>
      <c r="F107" s="3192" t="s">
        <v>4570</v>
      </c>
      <c r="I107" s="3198">
        <v>105</v>
      </c>
      <c r="J107" s="3179" t="s">
        <v>5290</v>
      </c>
      <c r="K107" s="3179" t="s">
        <v>4410</v>
      </c>
      <c r="L107" s="3179">
        <v>28.930308</v>
      </c>
    </row>
    <row r="108" spans="1:12">
      <c r="A108" s="3191">
        <v>106</v>
      </c>
      <c r="B108" s="3191" t="s">
        <v>4410</v>
      </c>
      <c r="C108" s="3193" t="s">
        <v>4571</v>
      </c>
      <c r="D108" s="3193">
        <v>111.11</v>
      </c>
      <c r="E108" s="3192" t="s">
        <v>4398</v>
      </c>
      <c r="F108" s="3192" t="s">
        <v>4417</v>
      </c>
      <c r="I108" s="3198">
        <v>106</v>
      </c>
      <c r="J108" s="3179" t="s">
        <v>5291</v>
      </c>
      <c r="K108" s="3179" t="s">
        <v>4410</v>
      </c>
      <c r="L108" s="3179">
        <v>3.8927390000000002</v>
      </c>
    </row>
    <row r="109" spans="1:12">
      <c r="A109" s="3191">
        <v>107</v>
      </c>
      <c r="B109" s="3191" t="s">
        <v>4410</v>
      </c>
      <c r="C109" s="3193" t="s">
        <v>4572</v>
      </c>
      <c r="D109" s="3193">
        <v>118.54</v>
      </c>
      <c r="E109" s="3192" t="s">
        <v>4516</v>
      </c>
      <c r="F109" s="3192" t="s">
        <v>4573</v>
      </c>
      <c r="I109" s="3198">
        <v>107</v>
      </c>
      <c r="J109" s="3179" t="s">
        <v>5292</v>
      </c>
      <c r="K109" s="3179" t="s">
        <v>4410</v>
      </c>
      <c r="L109" s="3179">
        <v>28.563984999999999</v>
      </c>
    </row>
    <row r="110" spans="1:12">
      <c r="A110" s="3191">
        <v>108</v>
      </c>
      <c r="B110" s="3191" t="s">
        <v>4410</v>
      </c>
      <c r="C110" s="3193" t="s">
        <v>4574</v>
      </c>
      <c r="D110" s="3193">
        <v>41</v>
      </c>
      <c r="E110" s="3192" t="s">
        <v>4575</v>
      </c>
      <c r="F110" s="3192" t="s">
        <v>4576</v>
      </c>
      <c r="I110" s="3198">
        <v>108</v>
      </c>
      <c r="J110" s="3179" t="s">
        <v>5293</v>
      </c>
      <c r="K110" s="3179" t="s">
        <v>4410</v>
      </c>
      <c r="L110" s="3179">
        <v>3.87</v>
      </c>
    </row>
    <row r="111" spans="1:12">
      <c r="A111" s="3191">
        <v>109</v>
      </c>
      <c r="B111" s="3191" t="s">
        <v>4410</v>
      </c>
      <c r="C111" s="3193" t="s">
        <v>4577</v>
      </c>
      <c r="D111" s="3193">
        <v>87.18</v>
      </c>
      <c r="E111" s="3192" t="s">
        <v>4398</v>
      </c>
      <c r="F111" s="3192" t="s">
        <v>4464</v>
      </c>
      <c r="I111" s="3198">
        <v>109</v>
      </c>
      <c r="J111" s="3179" t="s">
        <v>5294</v>
      </c>
      <c r="K111" s="3179" t="s">
        <v>4410</v>
      </c>
      <c r="L111" s="3179">
        <v>3.9307919999999998</v>
      </c>
    </row>
    <row r="112" spans="1:12">
      <c r="A112" s="3191">
        <v>110</v>
      </c>
      <c r="B112" s="3191" t="s">
        <v>4410</v>
      </c>
      <c r="C112" s="3193" t="s">
        <v>4578</v>
      </c>
      <c r="D112" s="3193">
        <v>11.42</v>
      </c>
      <c r="E112" s="3192" t="s">
        <v>4398</v>
      </c>
      <c r="F112" s="3192" t="s">
        <v>4497</v>
      </c>
      <c r="I112" s="3198">
        <v>110</v>
      </c>
      <c r="J112" s="3179" t="s">
        <v>5295</v>
      </c>
      <c r="K112" s="3179" t="s">
        <v>4410</v>
      </c>
      <c r="L112" s="3179">
        <v>8.2398000000000007</v>
      </c>
    </row>
    <row r="113" spans="1:12">
      <c r="A113" s="3191">
        <v>111</v>
      </c>
      <c r="B113" s="3191" t="s">
        <v>4410</v>
      </c>
      <c r="C113" s="3193" t="s">
        <v>4579</v>
      </c>
      <c r="D113" s="3193">
        <v>176</v>
      </c>
      <c r="E113" s="3192" t="s">
        <v>4398</v>
      </c>
      <c r="F113" s="3192" t="s">
        <v>4580</v>
      </c>
      <c r="I113" s="3198">
        <v>111</v>
      </c>
      <c r="J113" s="3179" t="s">
        <v>5296</v>
      </c>
      <c r="K113" s="3179" t="s">
        <v>4410</v>
      </c>
      <c r="L113" s="3179">
        <v>25.091999999999999</v>
      </c>
    </row>
    <row r="114" spans="1:12">
      <c r="A114" s="3191">
        <v>112</v>
      </c>
      <c r="B114" s="3191" t="s">
        <v>4410</v>
      </c>
      <c r="C114" s="3193" t="s">
        <v>4581</v>
      </c>
      <c r="D114" s="3193">
        <v>312.97000000000003</v>
      </c>
      <c r="E114" s="3192" t="s">
        <v>4398</v>
      </c>
      <c r="F114" s="3192" t="s">
        <v>4430</v>
      </c>
      <c r="I114" s="3198">
        <v>112</v>
      </c>
      <c r="J114" s="3179" t="s">
        <v>5297</v>
      </c>
      <c r="K114" s="3179" t="s">
        <v>4410</v>
      </c>
      <c r="L114" s="3179">
        <v>37.792259999999999</v>
      </c>
    </row>
    <row r="115" spans="1:12">
      <c r="A115" s="3191">
        <v>113</v>
      </c>
      <c r="B115" s="3191" t="s">
        <v>4410</v>
      </c>
      <c r="C115" s="3193" t="s">
        <v>4582</v>
      </c>
      <c r="D115" s="3193">
        <v>15.17</v>
      </c>
      <c r="E115" s="3192" t="s">
        <v>4583</v>
      </c>
      <c r="F115" s="3192" t="s">
        <v>4415</v>
      </c>
      <c r="I115" s="3198">
        <v>113</v>
      </c>
      <c r="J115" s="3179" t="s">
        <v>5298</v>
      </c>
      <c r="K115" s="3179" t="s">
        <v>4410</v>
      </c>
      <c r="L115" s="3179">
        <v>8.3829419999999999</v>
      </c>
    </row>
    <row r="116" spans="1:12">
      <c r="A116" s="3191">
        <v>114</v>
      </c>
      <c r="B116" s="3191" t="s">
        <v>4410</v>
      </c>
      <c r="C116" s="3193" t="s">
        <v>4584</v>
      </c>
      <c r="D116" s="3193">
        <v>167</v>
      </c>
      <c r="E116" s="3192" t="s">
        <v>4398</v>
      </c>
      <c r="F116" s="3192" t="s">
        <v>4420</v>
      </c>
      <c r="I116" s="3198">
        <v>114</v>
      </c>
      <c r="J116" s="3179" t="s">
        <v>5299</v>
      </c>
      <c r="K116" s="3179" t="s">
        <v>4410</v>
      </c>
      <c r="L116" s="3179">
        <v>51.708159999999999</v>
      </c>
    </row>
    <row r="117" spans="1:12">
      <c r="A117" s="3191">
        <v>115</v>
      </c>
      <c r="B117" s="3191" t="s">
        <v>4410</v>
      </c>
      <c r="C117" s="3193" t="s">
        <v>4585</v>
      </c>
      <c r="D117" s="3193">
        <v>121.82</v>
      </c>
      <c r="E117" s="3192" t="s">
        <v>4398</v>
      </c>
      <c r="F117" s="3192" t="s">
        <v>4417</v>
      </c>
      <c r="I117" s="3198">
        <v>115</v>
      </c>
      <c r="J117" s="3179" t="s">
        <v>5300</v>
      </c>
      <c r="K117" s="3179" t="s">
        <v>4410</v>
      </c>
      <c r="L117" s="3179">
        <v>7.0994190000000001</v>
      </c>
    </row>
    <row r="118" spans="1:12">
      <c r="A118" s="3191">
        <v>116</v>
      </c>
      <c r="B118" s="3191" t="s">
        <v>4410</v>
      </c>
      <c r="C118" s="3193" t="s">
        <v>4586</v>
      </c>
      <c r="D118" s="3193">
        <v>131.38999999999999</v>
      </c>
      <c r="E118" s="3192" t="s">
        <v>4398</v>
      </c>
      <c r="F118" s="3192" t="s">
        <v>4417</v>
      </c>
      <c r="I118" s="3198">
        <v>116</v>
      </c>
      <c r="J118" s="3179" t="s">
        <v>5301</v>
      </c>
      <c r="K118" s="3179" t="s">
        <v>4410</v>
      </c>
      <c r="L118" s="3179">
        <v>3.2572420000000002</v>
      </c>
    </row>
    <row r="119" spans="1:12">
      <c r="A119" s="3191">
        <v>117</v>
      </c>
      <c r="B119" s="3191" t="s">
        <v>4410</v>
      </c>
      <c r="C119" s="3193" t="s">
        <v>4587</v>
      </c>
      <c r="D119" s="3193">
        <v>60.69</v>
      </c>
      <c r="E119" s="3192" t="s">
        <v>4419</v>
      </c>
      <c r="F119" s="3192" t="s">
        <v>4420</v>
      </c>
      <c r="I119" s="3198">
        <v>117</v>
      </c>
      <c r="J119" s="3179" t="s">
        <v>5302</v>
      </c>
      <c r="K119" s="3179" t="s">
        <v>4410</v>
      </c>
      <c r="L119" s="3179">
        <v>2.9427750000000001</v>
      </c>
    </row>
    <row r="120" spans="1:12">
      <c r="A120" s="3191">
        <v>118</v>
      </c>
      <c r="B120" s="3191" t="s">
        <v>4410</v>
      </c>
      <c r="C120" s="3193" t="s">
        <v>4588</v>
      </c>
      <c r="D120" s="3193">
        <v>60.55</v>
      </c>
      <c r="E120" s="3192" t="s">
        <v>4589</v>
      </c>
      <c r="F120" s="3192" t="s">
        <v>4590</v>
      </c>
      <c r="I120" s="3198">
        <v>118</v>
      </c>
      <c r="J120" s="3179" t="s">
        <v>5303</v>
      </c>
      <c r="K120" s="3179" t="s">
        <v>4410</v>
      </c>
      <c r="L120" s="3179">
        <v>28.368780000000001</v>
      </c>
    </row>
    <row r="121" spans="1:12">
      <c r="A121" s="3191">
        <v>119</v>
      </c>
      <c r="B121" s="3191" t="s">
        <v>4410</v>
      </c>
      <c r="C121" s="3193" t="s">
        <v>4591</v>
      </c>
      <c r="D121" s="3193">
        <v>160.06</v>
      </c>
      <c r="E121" s="3192" t="s">
        <v>4398</v>
      </c>
      <c r="F121" s="3192" t="s">
        <v>4417</v>
      </c>
      <c r="I121" s="3198">
        <v>119</v>
      </c>
      <c r="J121" s="3179" t="s">
        <v>5304</v>
      </c>
      <c r="K121" s="3179" t="s">
        <v>4410</v>
      </c>
      <c r="L121" s="3179">
        <v>25.449359999999999</v>
      </c>
    </row>
    <row r="122" spans="1:12">
      <c r="A122" s="3191">
        <v>120</v>
      </c>
      <c r="B122" s="3191" t="s">
        <v>4410</v>
      </c>
      <c r="C122" s="3193" t="s">
        <v>4592</v>
      </c>
      <c r="D122" s="3193">
        <v>217.84</v>
      </c>
      <c r="E122" s="3192" t="s">
        <v>4398</v>
      </c>
      <c r="F122" s="3192" t="s">
        <v>4430</v>
      </c>
      <c r="I122" s="3198">
        <v>120</v>
      </c>
      <c r="J122" s="3179" t="s">
        <v>5305</v>
      </c>
      <c r="K122" s="3179" t="s">
        <v>4410</v>
      </c>
      <c r="L122" s="3179">
        <v>63.617750000000001</v>
      </c>
    </row>
    <row r="123" spans="1:12">
      <c r="A123" s="3191">
        <v>121</v>
      </c>
      <c r="B123" s="3191" t="s">
        <v>4410</v>
      </c>
      <c r="C123" s="3193" t="s">
        <v>4593</v>
      </c>
      <c r="D123" s="3193">
        <v>691.98</v>
      </c>
      <c r="E123" s="3192" t="s">
        <v>4398</v>
      </c>
      <c r="F123" s="3192" t="s">
        <v>4430</v>
      </c>
      <c r="I123" s="3198">
        <v>121</v>
      </c>
      <c r="J123" s="3179" t="s">
        <v>5306</v>
      </c>
      <c r="K123" s="3179" t="s">
        <v>4410</v>
      </c>
      <c r="L123" s="3179">
        <v>99.032976000000005</v>
      </c>
    </row>
    <row r="124" spans="1:12">
      <c r="A124" s="3191">
        <v>122</v>
      </c>
      <c r="B124" s="3191" t="s">
        <v>4410</v>
      </c>
      <c r="C124" s="3193" t="s">
        <v>4594</v>
      </c>
      <c r="D124" s="3193">
        <v>36.590000000000003</v>
      </c>
      <c r="E124" s="3192" t="s">
        <v>4595</v>
      </c>
      <c r="F124" s="3192" t="s">
        <v>4596</v>
      </c>
      <c r="I124" s="3198">
        <v>122</v>
      </c>
      <c r="J124" s="3179" t="s">
        <v>5307</v>
      </c>
      <c r="K124" s="3179" t="s">
        <v>4410</v>
      </c>
      <c r="L124" s="3179">
        <v>15.455154</v>
      </c>
    </row>
    <row r="125" spans="1:12">
      <c r="A125" s="3191">
        <v>123</v>
      </c>
      <c r="B125" s="3191" t="s">
        <v>4410</v>
      </c>
      <c r="C125" s="3193" t="s">
        <v>4597</v>
      </c>
      <c r="D125" s="3193">
        <v>44.17</v>
      </c>
      <c r="E125" s="3192" t="s">
        <v>4598</v>
      </c>
      <c r="F125" s="3192" t="s">
        <v>4464</v>
      </c>
      <c r="I125" s="3198">
        <v>123</v>
      </c>
      <c r="J125" s="3179" t="s">
        <v>5308</v>
      </c>
      <c r="K125" s="3179" t="s">
        <v>4410</v>
      </c>
      <c r="L125" s="3179">
        <v>2.4147069999999999</v>
      </c>
    </row>
    <row r="126" spans="1:12">
      <c r="A126" s="3191">
        <v>124</v>
      </c>
      <c r="B126" s="3191" t="s">
        <v>4410</v>
      </c>
      <c r="C126" s="3193" t="s">
        <v>4599</v>
      </c>
      <c r="D126" s="3193">
        <v>83.26</v>
      </c>
      <c r="E126" s="3192" t="s">
        <v>4600</v>
      </c>
      <c r="F126" s="3192" t="s">
        <v>4601</v>
      </c>
      <c r="I126" s="3198">
        <v>124</v>
      </c>
      <c r="J126" s="3179" t="s">
        <v>5309</v>
      </c>
      <c r="K126" s="3179" t="s">
        <v>4410</v>
      </c>
      <c r="L126" s="3179">
        <v>21.604413000000001</v>
      </c>
    </row>
    <row r="127" spans="1:12">
      <c r="A127" s="3191">
        <v>125</v>
      </c>
      <c r="B127" s="3191" t="s">
        <v>4410</v>
      </c>
      <c r="C127" s="3193" t="s">
        <v>4602</v>
      </c>
      <c r="D127" s="3193">
        <v>309.58999999999997</v>
      </c>
      <c r="E127" s="3192" t="s">
        <v>4603</v>
      </c>
      <c r="F127" s="3192" t="s">
        <v>4604</v>
      </c>
      <c r="I127" s="3198">
        <v>125</v>
      </c>
      <c r="J127" s="3179" t="s">
        <v>5310</v>
      </c>
      <c r="K127" s="3179" t="s">
        <v>4410</v>
      </c>
      <c r="L127" s="3179">
        <v>75.875372999999996</v>
      </c>
    </row>
    <row r="128" spans="1:12">
      <c r="A128" s="3191">
        <v>126</v>
      </c>
      <c r="B128" s="3191" t="s">
        <v>4410</v>
      </c>
      <c r="C128" s="3193" t="s">
        <v>4605</v>
      </c>
      <c r="D128" s="3193">
        <v>132.65</v>
      </c>
      <c r="E128" s="3192" t="s">
        <v>4606</v>
      </c>
      <c r="F128" s="3192" t="s">
        <v>4607</v>
      </c>
      <c r="I128" s="3198">
        <v>126</v>
      </c>
      <c r="J128" s="3179" t="s">
        <v>5311</v>
      </c>
      <c r="K128" s="3179" t="s">
        <v>4410</v>
      </c>
      <c r="L128" s="3179">
        <v>36.435060999999997</v>
      </c>
    </row>
    <row r="129" spans="1:12">
      <c r="A129" s="3191">
        <v>127</v>
      </c>
      <c r="B129" s="3191" t="s">
        <v>4410</v>
      </c>
      <c r="C129" s="3193" t="s">
        <v>4608</v>
      </c>
      <c r="D129" s="3193">
        <v>123.53</v>
      </c>
      <c r="E129" s="3192" t="s">
        <v>4609</v>
      </c>
      <c r="F129" s="3192" t="s">
        <v>4420</v>
      </c>
      <c r="I129" s="3198">
        <v>127</v>
      </c>
      <c r="J129" s="3179" t="s">
        <v>5312</v>
      </c>
      <c r="K129" s="3179" t="s">
        <v>4410</v>
      </c>
      <c r="L129" s="3179">
        <v>38.656174</v>
      </c>
    </row>
    <row r="130" spans="1:12">
      <c r="A130" s="3191">
        <v>128</v>
      </c>
      <c r="B130" s="3191" t="s">
        <v>4410</v>
      </c>
      <c r="C130" s="3193" t="s">
        <v>4610</v>
      </c>
      <c r="D130" s="3193">
        <v>188.43</v>
      </c>
      <c r="E130" s="3192" t="s">
        <v>4398</v>
      </c>
      <c r="F130" s="3192" t="s">
        <v>4420</v>
      </c>
      <c r="I130" s="3198">
        <v>128</v>
      </c>
      <c r="J130" s="3179" t="s">
        <v>5313</v>
      </c>
      <c r="K130" s="3179" t="s">
        <v>4410</v>
      </c>
      <c r="L130" s="3179">
        <v>49.473390999999999</v>
      </c>
    </row>
    <row r="131" spans="1:12">
      <c r="A131" s="3191">
        <v>129</v>
      </c>
      <c r="B131" s="3191" t="s">
        <v>4410</v>
      </c>
      <c r="C131" s="3193" t="s">
        <v>4611</v>
      </c>
      <c r="D131" s="3193">
        <v>273.98</v>
      </c>
      <c r="E131" s="3192" t="s">
        <v>4398</v>
      </c>
      <c r="F131" s="3192" t="s">
        <v>4430</v>
      </c>
      <c r="I131" s="3198">
        <v>129</v>
      </c>
      <c r="J131" s="3179" t="s">
        <v>5314</v>
      </c>
      <c r="K131" s="3179" t="s">
        <v>4410</v>
      </c>
      <c r="L131" s="3179">
        <v>88.329886000000002</v>
      </c>
    </row>
    <row r="132" spans="1:12">
      <c r="A132" s="3191">
        <v>130</v>
      </c>
      <c r="B132" s="3191" t="s">
        <v>4410</v>
      </c>
      <c r="C132" s="3193" t="s">
        <v>4612</v>
      </c>
      <c r="D132" s="3193">
        <v>264.76</v>
      </c>
      <c r="E132" s="3192" t="s">
        <v>4613</v>
      </c>
      <c r="F132" s="3192" t="s">
        <v>4614</v>
      </c>
      <c r="I132" s="3198">
        <v>130</v>
      </c>
      <c r="J132" s="3179" t="s">
        <v>5315</v>
      </c>
      <c r="K132" s="3179" t="s">
        <v>4410</v>
      </c>
      <c r="L132" s="3179">
        <v>34.007278999999997</v>
      </c>
    </row>
    <row r="133" spans="1:12">
      <c r="A133" s="3191">
        <v>131</v>
      </c>
      <c r="B133" s="3191" t="s">
        <v>4410</v>
      </c>
      <c r="C133" s="3193" t="s">
        <v>4615</v>
      </c>
      <c r="D133" s="3193">
        <v>225.24</v>
      </c>
      <c r="E133" s="3192" t="s">
        <v>4398</v>
      </c>
      <c r="F133" s="3192" t="s">
        <v>4430</v>
      </c>
      <c r="I133" s="3198">
        <v>131</v>
      </c>
      <c r="J133" s="3179" t="s">
        <v>5316</v>
      </c>
      <c r="K133" s="3179" t="s">
        <v>4410</v>
      </c>
      <c r="L133" s="3179">
        <v>65.918727000000004</v>
      </c>
    </row>
    <row r="134" spans="1:12">
      <c r="A134" s="3191">
        <v>132</v>
      </c>
      <c r="B134" s="3191" t="s">
        <v>4410</v>
      </c>
      <c r="C134" s="3193" t="s">
        <v>4616</v>
      </c>
      <c r="D134" s="3193">
        <v>204.03</v>
      </c>
      <c r="E134" s="3192" t="s">
        <v>4398</v>
      </c>
      <c r="F134" s="3192" t="s">
        <v>4417</v>
      </c>
      <c r="I134" s="3198">
        <v>132</v>
      </c>
      <c r="J134" s="3179" t="s">
        <v>5317</v>
      </c>
      <c r="K134" s="3179" t="s">
        <v>4410</v>
      </c>
      <c r="L134" s="3179">
        <v>3.5053510000000001</v>
      </c>
    </row>
    <row r="135" spans="1:12">
      <c r="A135" s="3191">
        <v>133</v>
      </c>
      <c r="B135" s="3191" t="s">
        <v>4410</v>
      </c>
      <c r="C135" s="3193" t="s">
        <v>4617</v>
      </c>
      <c r="D135" s="3193">
        <v>238.07</v>
      </c>
      <c r="E135" s="3192" t="s">
        <v>4398</v>
      </c>
      <c r="F135" s="3192" t="s">
        <v>4417</v>
      </c>
      <c r="I135" s="3198">
        <v>133</v>
      </c>
      <c r="J135" s="3179" t="s">
        <v>5318</v>
      </c>
      <c r="K135" s="3179" t="s">
        <v>4410</v>
      </c>
      <c r="L135" s="3179">
        <v>11.9635</v>
      </c>
    </row>
    <row r="136" spans="1:12">
      <c r="A136" s="3191">
        <v>134</v>
      </c>
      <c r="B136" s="3191" t="s">
        <v>4410</v>
      </c>
      <c r="C136" s="3193" t="s">
        <v>4618</v>
      </c>
      <c r="D136" s="3193">
        <v>280.60000000000002</v>
      </c>
      <c r="E136" s="3192" t="s">
        <v>4398</v>
      </c>
      <c r="F136" s="3192" t="s">
        <v>4417</v>
      </c>
      <c r="I136" s="3198">
        <v>134</v>
      </c>
      <c r="J136" s="3179" t="s">
        <v>5319</v>
      </c>
      <c r="K136" s="3179" t="s">
        <v>4410</v>
      </c>
      <c r="L136" s="3179">
        <v>4.7740799999999997</v>
      </c>
    </row>
    <row r="137" spans="1:12">
      <c r="A137" s="3191">
        <v>135</v>
      </c>
      <c r="B137" s="3191" t="s">
        <v>4410</v>
      </c>
      <c r="C137" s="3193" t="s">
        <v>4619</v>
      </c>
      <c r="D137" s="3193">
        <v>183.18</v>
      </c>
      <c r="E137" s="3192" t="s">
        <v>4398</v>
      </c>
      <c r="F137" s="3192" t="s">
        <v>4620</v>
      </c>
      <c r="I137" s="3198">
        <v>135</v>
      </c>
      <c r="J137" s="3179" t="s">
        <v>5320</v>
      </c>
      <c r="K137" s="3179" t="s">
        <v>4410</v>
      </c>
      <c r="L137" s="3179">
        <v>34.585231999999998</v>
      </c>
    </row>
    <row r="138" spans="1:12">
      <c r="A138" s="3191">
        <v>136</v>
      </c>
      <c r="B138" s="3191" t="s">
        <v>4410</v>
      </c>
      <c r="C138" s="3193" t="s">
        <v>4621</v>
      </c>
      <c r="D138" s="3193">
        <v>368.22</v>
      </c>
      <c r="E138" s="3192" t="s">
        <v>4398</v>
      </c>
      <c r="F138" s="3192" t="s">
        <v>4430</v>
      </c>
      <c r="I138" s="3198">
        <v>136</v>
      </c>
      <c r="J138" s="3179" t="s">
        <v>5321</v>
      </c>
      <c r="K138" s="3179" t="s">
        <v>4410</v>
      </c>
      <c r="L138" s="3179">
        <v>81.467393000000001</v>
      </c>
    </row>
    <row r="139" spans="1:12">
      <c r="A139" s="3191">
        <v>137</v>
      </c>
      <c r="B139" s="3191" t="s">
        <v>4410</v>
      </c>
      <c r="C139" s="3193" t="s">
        <v>4622</v>
      </c>
      <c r="D139" s="3193">
        <v>777.21</v>
      </c>
      <c r="E139" s="3192" t="s">
        <v>4398</v>
      </c>
      <c r="F139" s="3192" t="s">
        <v>4623</v>
      </c>
      <c r="I139" s="3198">
        <v>137</v>
      </c>
      <c r="J139" s="3179" t="s">
        <v>5322</v>
      </c>
      <c r="K139" s="3179" t="s">
        <v>4410</v>
      </c>
      <c r="L139" s="3179">
        <v>86.577146999999997</v>
      </c>
    </row>
    <row r="140" spans="1:12">
      <c r="A140" s="3191">
        <v>138</v>
      </c>
      <c r="B140" s="3191" t="s">
        <v>4410</v>
      </c>
      <c r="C140" s="3193" t="s">
        <v>4624</v>
      </c>
      <c r="D140" s="3193">
        <v>328.12</v>
      </c>
      <c r="E140" s="3192" t="s">
        <v>4625</v>
      </c>
      <c r="F140" s="3192" t="s">
        <v>4626</v>
      </c>
      <c r="I140" s="3198">
        <v>138</v>
      </c>
      <c r="J140" s="3179" t="s">
        <v>5323</v>
      </c>
      <c r="K140" s="3179" t="s">
        <v>4410</v>
      </c>
      <c r="L140" s="3179">
        <v>27.653838</v>
      </c>
    </row>
    <row r="141" spans="1:12">
      <c r="A141" s="3191">
        <v>139</v>
      </c>
      <c r="B141" s="3191" t="s">
        <v>4410</v>
      </c>
      <c r="C141" s="3193" t="s">
        <v>4627</v>
      </c>
      <c r="D141" s="3193">
        <v>51.35</v>
      </c>
      <c r="E141" s="3192" t="s">
        <v>4412</v>
      </c>
      <c r="F141" s="3192" t="s">
        <v>4417</v>
      </c>
      <c r="I141" s="3198">
        <v>139</v>
      </c>
      <c r="J141" s="3179" t="s">
        <v>5324</v>
      </c>
      <c r="K141" s="3179" t="s">
        <v>4410</v>
      </c>
      <c r="L141" s="3179">
        <v>2.1139999999999999</v>
      </c>
    </row>
    <row r="142" spans="1:12">
      <c r="A142" s="3191">
        <v>140</v>
      </c>
      <c r="B142" s="3191" t="s">
        <v>4410</v>
      </c>
      <c r="C142" s="3193" t="s">
        <v>4628</v>
      </c>
      <c r="D142" s="3193">
        <v>231.76</v>
      </c>
      <c r="E142" s="3192" t="s">
        <v>4629</v>
      </c>
      <c r="F142" s="3192" t="s">
        <v>4457</v>
      </c>
      <c r="I142" s="3198">
        <v>140</v>
      </c>
      <c r="J142" s="3179" t="s">
        <v>5325</v>
      </c>
      <c r="K142" s="3179" t="s">
        <v>4410</v>
      </c>
      <c r="L142" s="3179">
        <v>50.361856000000003</v>
      </c>
    </row>
    <row r="143" spans="1:12">
      <c r="A143" s="3191">
        <v>141</v>
      </c>
      <c r="B143" s="3191" t="s">
        <v>4410</v>
      </c>
      <c r="C143" s="3193" t="s">
        <v>4630</v>
      </c>
      <c r="D143" s="3193">
        <v>159.94999999999999</v>
      </c>
      <c r="E143" s="3192" t="s">
        <v>4398</v>
      </c>
      <c r="F143" s="3192" t="s">
        <v>4417</v>
      </c>
      <c r="I143" s="3198">
        <v>141</v>
      </c>
      <c r="J143" s="3179" t="s">
        <v>5326</v>
      </c>
      <c r="K143" s="3179" t="s">
        <v>4410</v>
      </c>
      <c r="L143" s="3179">
        <v>4.2187000000000001</v>
      </c>
    </row>
    <row r="144" spans="1:12">
      <c r="A144" s="3191">
        <v>142</v>
      </c>
      <c r="B144" s="3191" t="s">
        <v>4410</v>
      </c>
      <c r="C144" s="3193" t="s">
        <v>4631</v>
      </c>
      <c r="D144" s="3193">
        <v>38.11</v>
      </c>
      <c r="E144" s="3192" t="s">
        <v>4398</v>
      </c>
      <c r="F144" s="3192" t="s">
        <v>4464</v>
      </c>
      <c r="I144" s="3198">
        <v>142</v>
      </c>
      <c r="J144" s="3179" t="s">
        <v>5327</v>
      </c>
      <c r="K144" s="3179" t="s">
        <v>4410</v>
      </c>
      <c r="L144" s="3179">
        <v>1.870225</v>
      </c>
    </row>
    <row r="145" spans="1:12">
      <c r="A145" s="3191">
        <v>143</v>
      </c>
      <c r="B145" s="3191" t="s">
        <v>4410</v>
      </c>
      <c r="C145" s="3193" t="s">
        <v>4632</v>
      </c>
      <c r="D145" s="3193">
        <v>147.35</v>
      </c>
      <c r="E145" s="3192" t="s">
        <v>4398</v>
      </c>
      <c r="F145" s="3192" t="s">
        <v>4420</v>
      </c>
      <c r="I145" s="3198">
        <v>143</v>
      </c>
      <c r="J145" s="3179" t="s">
        <v>5328</v>
      </c>
      <c r="K145" s="3179" t="s">
        <v>4410</v>
      </c>
      <c r="L145" s="3179">
        <v>17.606224000000001</v>
      </c>
    </row>
    <row r="146" spans="1:12">
      <c r="A146" s="3191">
        <v>144</v>
      </c>
      <c r="B146" s="3191" t="s">
        <v>4410</v>
      </c>
      <c r="C146" s="3193" t="s">
        <v>4633</v>
      </c>
      <c r="D146" s="3193">
        <v>182.69</v>
      </c>
      <c r="E146" s="3192" t="s">
        <v>4398</v>
      </c>
      <c r="F146" s="3192" t="s">
        <v>4417</v>
      </c>
      <c r="I146" s="3198">
        <v>144</v>
      </c>
      <c r="J146" s="3179" t="s">
        <v>5329</v>
      </c>
      <c r="K146" s="3179" t="s">
        <v>4410</v>
      </c>
      <c r="L146" s="3179">
        <v>4.6784030000000003</v>
      </c>
    </row>
    <row r="147" spans="1:12">
      <c r="A147" s="3191">
        <v>145</v>
      </c>
      <c r="B147" s="3191" t="s">
        <v>4410</v>
      </c>
      <c r="C147" s="3193" t="s">
        <v>4634</v>
      </c>
      <c r="D147" s="3193">
        <v>48.87</v>
      </c>
      <c r="E147" s="3192" t="s">
        <v>4419</v>
      </c>
      <c r="F147" s="3192" t="s">
        <v>4420</v>
      </c>
      <c r="I147" s="3198">
        <v>145</v>
      </c>
      <c r="J147" s="3179" t="s">
        <v>5330</v>
      </c>
      <c r="K147" s="3179" t="s">
        <v>4410</v>
      </c>
      <c r="L147" s="3179">
        <v>3.1876799999999998</v>
      </c>
    </row>
    <row r="148" spans="1:12">
      <c r="A148" s="3191">
        <v>146</v>
      </c>
      <c r="B148" s="3191" t="s">
        <v>4410</v>
      </c>
      <c r="C148" s="3193" t="s">
        <v>4635</v>
      </c>
      <c r="D148" s="3193">
        <v>265.02</v>
      </c>
      <c r="E148" s="3192" t="s">
        <v>4398</v>
      </c>
      <c r="F148" s="3192" t="s">
        <v>4636</v>
      </c>
      <c r="I148" s="3198">
        <v>146</v>
      </c>
      <c r="J148" s="3179" t="s">
        <v>5331</v>
      </c>
      <c r="K148" s="3179" t="s">
        <v>4410</v>
      </c>
      <c r="L148" s="3179">
        <v>84.932550000000006</v>
      </c>
    </row>
    <row r="149" spans="1:12">
      <c r="A149" s="3191">
        <v>147</v>
      </c>
      <c r="B149" s="3191" t="s">
        <v>4410</v>
      </c>
      <c r="C149" s="3193" t="s">
        <v>4637</v>
      </c>
      <c r="D149" s="3193">
        <v>65.819999999999993</v>
      </c>
      <c r="E149" s="3192" t="s">
        <v>4398</v>
      </c>
      <c r="F149" s="3192" t="s">
        <v>4464</v>
      </c>
      <c r="I149" s="3198">
        <v>147</v>
      </c>
      <c r="J149" s="3179" t="s">
        <v>5332</v>
      </c>
      <c r="K149" s="3179" t="s">
        <v>4410</v>
      </c>
      <c r="L149" s="3179">
        <v>26.31636</v>
      </c>
    </row>
    <row r="150" spans="1:12">
      <c r="A150" s="3191">
        <v>148</v>
      </c>
      <c r="B150" s="3191" t="s">
        <v>4410</v>
      </c>
      <c r="C150" s="3193" t="s">
        <v>4638</v>
      </c>
      <c r="D150" s="3193">
        <v>59.42</v>
      </c>
      <c r="E150" s="3192" t="s">
        <v>4412</v>
      </c>
      <c r="F150" s="3192" t="s">
        <v>4417</v>
      </c>
      <c r="I150" s="3198">
        <v>148</v>
      </c>
      <c r="J150" s="3179" t="s">
        <v>5333</v>
      </c>
      <c r="K150" s="3179" t="s">
        <v>4410</v>
      </c>
      <c r="L150" s="3179">
        <v>2.4724520000000001</v>
      </c>
    </row>
    <row r="151" spans="1:12">
      <c r="A151" s="3191">
        <v>149</v>
      </c>
      <c r="B151" s="3191" t="s">
        <v>4410</v>
      </c>
      <c r="C151" s="3193" t="s">
        <v>4639</v>
      </c>
      <c r="D151" s="3193">
        <v>20.84</v>
      </c>
      <c r="E151" s="3192" t="s">
        <v>4398</v>
      </c>
      <c r="F151" s="3192" t="s">
        <v>4497</v>
      </c>
      <c r="I151" s="3198">
        <v>149</v>
      </c>
      <c r="J151" s="3179" t="s">
        <v>5334</v>
      </c>
      <c r="K151" s="3179" t="s">
        <v>4410</v>
      </c>
      <c r="L151" s="3179">
        <v>9.1085999999999991</v>
      </c>
    </row>
    <row r="152" spans="1:12">
      <c r="A152" s="3191">
        <v>150</v>
      </c>
      <c r="B152" s="3191" t="s">
        <v>4410</v>
      </c>
      <c r="C152" s="3193" t="s">
        <v>4640</v>
      </c>
      <c r="D152" s="3193">
        <v>111.7</v>
      </c>
      <c r="E152" s="3192" t="s">
        <v>4398</v>
      </c>
      <c r="F152" s="3192" t="s">
        <v>4417</v>
      </c>
      <c r="I152" s="3198">
        <v>150</v>
      </c>
      <c r="J152" s="3179" t="s">
        <v>5335</v>
      </c>
      <c r="K152" s="3179" t="s">
        <v>4410</v>
      </c>
      <c r="L152" s="3179">
        <v>30.862400000000001</v>
      </c>
    </row>
    <row r="153" spans="1:12">
      <c r="A153" s="3191">
        <v>151</v>
      </c>
      <c r="B153" s="3191" t="s">
        <v>4410</v>
      </c>
      <c r="C153" s="3193" t="s">
        <v>4641</v>
      </c>
      <c r="D153" s="3193">
        <v>158.41</v>
      </c>
      <c r="E153" s="3192" t="s">
        <v>4398</v>
      </c>
      <c r="F153" s="3192" t="s">
        <v>4642</v>
      </c>
      <c r="I153" s="3198">
        <v>151</v>
      </c>
      <c r="J153" s="3179" t="s">
        <v>5336</v>
      </c>
      <c r="K153" s="3179" t="s">
        <v>4410</v>
      </c>
      <c r="L153" s="3179">
        <v>29.968004000000001</v>
      </c>
    </row>
    <row r="154" spans="1:12">
      <c r="A154" s="3191">
        <v>152</v>
      </c>
      <c r="B154" s="3191" t="s">
        <v>4410</v>
      </c>
      <c r="C154" s="3193" t="s">
        <v>4643</v>
      </c>
      <c r="D154" s="3193">
        <v>126.92</v>
      </c>
      <c r="E154" s="3192" t="s">
        <v>4499</v>
      </c>
      <c r="F154" s="3192" t="s">
        <v>4644</v>
      </c>
      <c r="I154" s="3198">
        <v>152</v>
      </c>
      <c r="J154" s="3179" t="s">
        <v>5337</v>
      </c>
      <c r="K154" s="3179" t="s">
        <v>4410</v>
      </c>
      <c r="L154" s="3179">
        <v>33.666119999999999</v>
      </c>
    </row>
    <row r="155" spans="1:12">
      <c r="A155" s="3191">
        <v>153</v>
      </c>
      <c r="B155" s="3191" t="s">
        <v>4410</v>
      </c>
      <c r="C155" s="3193" t="s">
        <v>4645</v>
      </c>
      <c r="D155" s="3193">
        <v>593.66999999999996</v>
      </c>
      <c r="E155" s="3192" t="s">
        <v>4398</v>
      </c>
      <c r="F155" s="3192" t="s">
        <v>4430</v>
      </c>
      <c r="I155" s="3198">
        <v>153</v>
      </c>
      <c r="J155" s="3179" t="s">
        <v>5338</v>
      </c>
      <c r="K155" s="3179" t="s">
        <v>4410</v>
      </c>
      <c r="L155" s="3179">
        <v>75.204830999999999</v>
      </c>
    </row>
    <row r="156" spans="1:12">
      <c r="A156" s="3191">
        <v>154</v>
      </c>
      <c r="B156" s="3191" t="s">
        <v>4410</v>
      </c>
      <c r="C156" s="3193" t="s">
        <v>4646</v>
      </c>
      <c r="D156" s="3193">
        <v>115.14</v>
      </c>
      <c r="E156" s="3192" t="s">
        <v>4647</v>
      </c>
      <c r="F156" s="3192" t="s">
        <v>4460</v>
      </c>
      <c r="I156" s="3198">
        <v>154</v>
      </c>
      <c r="J156" s="3179" t="s">
        <v>5339</v>
      </c>
      <c r="K156" s="3179" t="s">
        <v>4410</v>
      </c>
      <c r="L156" s="3179">
        <v>29.37942</v>
      </c>
    </row>
    <row r="157" spans="1:12">
      <c r="A157" s="3191">
        <v>155</v>
      </c>
      <c r="B157" s="3191" t="s">
        <v>4410</v>
      </c>
      <c r="C157" s="3193" t="s">
        <v>4648</v>
      </c>
      <c r="D157" s="3193">
        <v>212.13</v>
      </c>
      <c r="E157" s="3192" t="s">
        <v>4398</v>
      </c>
      <c r="F157" s="3192" t="s">
        <v>4430</v>
      </c>
      <c r="I157" s="3198">
        <v>155</v>
      </c>
      <c r="J157" s="3179" t="s">
        <v>5340</v>
      </c>
      <c r="K157" s="3179" t="s">
        <v>4410</v>
      </c>
      <c r="L157" s="3179">
        <v>25.970431999999999</v>
      </c>
    </row>
    <row r="158" spans="1:12">
      <c r="A158" s="3191">
        <v>156</v>
      </c>
      <c r="B158" s="3191" t="s">
        <v>4410</v>
      </c>
      <c r="C158" s="3193" t="s">
        <v>4649</v>
      </c>
      <c r="D158" s="3193">
        <v>318.14</v>
      </c>
      <c r="E158" s="3192" t="s">
        <v>4398</v>
      </c>
      <c r="F158" s="3192" t="s">
        <v>4430</v>
      </c>
      <c r="I158" s="3198">
        <v>156</v>
      </c>
      <c r="J158" s="3179" t="s">
        <v>5341</v>
      </c>
      <c r="K158" s="3179" t="s">
        <v>4410</v>
      </c>
      <c r="L158" s="3179">
        <v>67.673432000000005</v>
      </c>
    </row>
    <row r="159" spans="1:12">
      <c r="A159" s="3191">
        <v>157</v>
      </c>
      <c r="B159" s="3191" t="s">
        <v>4410</v>
      </c>
      <c r="C159" s="3193" t="s">
        <v>4650</v>
      </c>
      <c r="D159" s="3193">
        <v>37.69</v>
      </c>
      <c r="E159" s="3192" t="s">
        <v>4412</v>
      </c>
      <c r="F159" s="3192" t="s">
        <v>4420</v>
      </c>
      <c r="I159" s="3198">
        <v>157</v>
      </c>
      <c r="J159" s="3179" t="s">
        <v>5342</v>
      </c>
      <c r="K159" s="3179" t="s">
        <v>4410</v>
      </c>
      <c r="L159" s="3179">
        <v>33.905726999999999</v>
      </c>
    </row>
    <row r="160" spans="1:12">
      <c r="A160" s="3191">
        <v>158</v>
      </c>
      <c r="B160" s="3191" t="s">
        <v>4410</v>
      </c>
      <c r="C160" s="3193" t="s">
        <v>4651</v>
      </c>
      <c r="D160" s="3193">
        <v>160.16999999999999</v>
      </c>
      <c r="E160" s="3192" t="s">
        <v>4398</v>
      </c>
      <c r="F160" s="3192" t="s">
        <v>4417</v>
      </c>
      <c r="I160" s="3198">
        <v>158</v>
      </c>
      <c r="J160" s="3179" t="s">
        <v>5343</v>
      </c>
      <c r="K160" s="3179" t="s">
        <v>4410</v>
      </c>
      <c r="L160" s="3179">
        <v>5.1934490000000002</v>
      </c>
    </row>
    <row r="161" spans="1:12">
      <c r="A161" s="3191">
        <v>159</v>
      </c>
      <c r="B161" s="3191" t="s">
        <v>4410</v>
      </c>
      <c r="C161" s="3193" t="s">
        <v>4652</v>
      </c>
      <c r="D161" s="3193">
        <v>102.98</v>
      </c>
      <c r="E161" s="3192" t="s">
        <v>4398</v>
      </c>
      <c r="F161" s="3192" t="s">
        <v>4464</v>
      </c>
      <c r="I161" s="3198">
        <v>159</v>
      </c>
      <c r="J161" s="3179" t="s">
        <v>5344</v>
      </c>
      <c r="K161" s="3179" t="s">
        <v>4410</v>
      </c>
      <c r="L161" s="3179">
        <v>21.036049999999999</v>
      </c>
    </row>
    <row r="162" spans="1:12">
      <c r="A162" s="3191">
        <v>160</v>
      </c>
      <c r="B162" s="3191" t="s">
        <v>4410</v>
      </c>
      <c r="C162" s="3193" t="s">
        <v>4653</v>
      </c>
      <c r="D162" s="3193">
        <v>115.18</v>
      </c>
      <c r="E162" s="3192" t="s">
        <v>4419</v>
      </c>
      <c r="F162" s="3192" t="s">
        <v>4430</v>
      </c>
      <c r="I162" s="3198">
        <v>160</v>
      </c>
      <c r="J162" s="3179" t="s">
        <v>5345</v>
      </c>
      <c r="K162" s="3179" t="s">
        <v>4410</v>
      </c>
      <c r="L162" s="3179">
        <v>8.0344069999999999</v>
      </c>
    </row>
    <row r="163" spans="1:12">
      <c r="A163" s="3191">
        <v>161</v>
      </c>
      <c r="B163" s="3191" t="s">
        <v>4410</v>
      </c>
      <c r="C163" s="3193" t="s">
        <v>4654</v>
      </c>
      <c r="D163" s="3193">
        <v>26.9</v>
      </c>
      <c r="E163" s="3192" t="s">
        <v>4547</v>
      </c>
      <c r="F163" s="3192" t="s">
        <v>4655</v>
      </c>
      <c r="I163" s="3198">
        <v>161</v>
      </c>
      <c r="J163" s="3179" t="s">
        <v>5346</v>
      </c>
      <c r="K163" s="3179" t="s">
        <v>4410</v>
      </c>
      <c r="L163" s="3179">
        <v>0.74933300000000003</v>
      </c>
    </row>
    <row r="164" spans="1:12">
      <c r="A164" s="3191">
        <v>162</v>
      </c>
      <c r="B164" s="3191" t="s">
        <v>4410</v>
      </c>
      <c r="C164" s="3193" t="s">
        <v>4656</v>
      </c>
      <c r="D164" s="3193">
        <v>41.43</v>
      </c>
      <c r="E164" s="3192" t="s">
        <v>4419</v>
      </c>
      <c r="F164" s="3192" t="s">
        <v>4420</v>
      </c>
      <c r="I164" s="3198">
        <v>162</v>
      </c>
      <c r="J164" s="3179" t="s">
        <v>5347</v>
      </c>
      <c r="K164" s="3179" t="s">
        <v>4410</v>
      </c>
      <c r="L164" s="3179">
        <v>1.952971</v>
      </c>
    </row>
    <row r="165" spans="1:12">
      <c r="A165" s="3191">
        <v>163</v>
      </c>
      <c r="B165" s="3191" t="s">
        <v>4410</v>
      </c>
      <c r="C165" s="3193" t="s">
        <v>4657</v>
      </c>
      <c r="D165" s="3193">
        <v>357.76</v>
      </c>
      <c r="E165" s="3192" t="s">
        <v>4398</v>
      </c>
      <c r="F165" s="3192" t="s">
        <v>4430</v>
      </c>
      <c r="I165" s="3198">
        <v>163</v>
      </c>
      <c r="J165" s="3179" t="s">
        <v>5348</v>
      </c>
      <c r="K165" s="3179" t="s">
        <v>4410</v>
      </c>
      <c r="L165" s="3179">
        <v>138.84770599999999</v>
      </c>
    </row>
    <row r="166" spans="1:12">
      <c r="A166" s="3191">
        <v>164</v>
      </c>
      <c r="B166" s="3191" t="s">
        <v>4410</v>
      </c>
      <c r="C166" s="3193" t="s">
        <v>4658</v>
      </c>
      <c r="D166" s="3193">
        <v>225.27</v>
      </c>
      <c r="E166" s="3192" t="s">
        <v>4398</v>
      </c>
      <c r="F166" s="3192" t="s">
        <v>4420</v>
      </c>
      <c r="I166" s="3198">
        <v>164</v>
      </c>
      <c r="J166" s="3179" t="s">
        <v>5349</v>
      </c>
      <c r="K166" s="3179" t="s">
        <v>4410</v>
      </c>
      <c r="L166" s="3179">
        <v>72.730698000000004</v>
      </c>
    </row>
    <row r="167" spans="1:12">
      <c r="A167" s="3191">
        <v>165</v>
      </c>
      <c r="B167" s="3191" t="s">
        <v>4410</v>
      </c>
      <c r="C167" s="3193" t="s">
        <v>4659</v>
      </c>
      <c r="D167" s="3193">
        <v>228.74</v>
      </c>
      <c r="E167" s="3192" t="s">
        <v>4398</v>
      </c>
      <c r="F167" s="3192" t="s">
        <v>4420</v>
      </c>
      <c r="I167" s="3198">
        <v>165</v>
      </c>
      <c r="J167" s="3179" t="s">
        <v>5350</v>
      </c>
      <c r="K167" s="3179" t="s">
        <v>4410</v>
      </c>
      <c r="L167" s="3179">
        <v>80.210142000000005</v>
      </c>
    </row>
    <row r="168" spans="1:12">
      <c r="A168" s="3191">
        <v>166</v>
      </c>
      <c r="B168" s="3191" t="s">
        <v>4410</v>
      </c>
      <c r="C168" s="3193" t="s">
        <v>4660</v>
      </c>
      <c r="D168" s="3193">
        <v>146.54</v>
      </c>
      <c r="E168" s="3192" t="s">
        <v>4661</v>
      </c>
      <c r="F168" s="3192" t="s">
        <v>4662</v>
      </c>
      <c r="I168" s="3198">
        <v>166</v>
      </c>
      <c r="J168" s="3179" t="s">
        <v>5351</v>
      </c>
      <c r="K168" s="3179" t="s">
        <v>4410</v>
      </c>
      <c r="L168" s="3179">
        <v>28.188271</v>
      </c>
    </row>
    <row r="169" spans="1:12">
      <c r="A169" s="3191">
        <v>167</v>
      </c>
      <c r="B169" s="3191" t="s">
        <v>4410</v>
      </c>
      <c r="C169" s="3193" t="s">
        <v>4663</v>
      </c>
      <c r="D169" s="3193">
        <v>85.25</v>
      </c>
      <c r="E169" s="3192" t="s">
        <v>4419</v>
      </c>
      <c r="F169" s="3192" t="s">
        <v>4420</v>
      </c>
      <c r="I169" s="3198">
        <v>167</v>
      </c>
      <c r="J169" s="3179" t="s">
        <v>5352</v>
      </c>
      <c r="K169" s="3179" t="s">
        <v>4410</v>
      </c>
      <c r="L169" s="3179">
        <v>33.261673000000002</v>
      </c>
    </row>
    <row r="170" spans="1:12">
      <c r="A170" s="3191">
        <v>168</v>
      </c>
      <c r="B170" s="3191" t="s">
        <v>4410</v>
      </c>
      <c r="C170" s="3193" t="s">
        <v>4664</v>
      </c>
      <c r="D170" s="3193">
        <v>273.48</v>
      </c>
      <c r="E170" s="3192" t="s">
        <v>4398</v>
      </c>
      <c r="F170" s="3192" t="s">
        <v>4420</v>
      </c>
      <c r="I170" s="3198">
        <v>168</v>
      </c>
      <c r="J170" s="3179" t="s">
        <v>5353</v>
      </c>
      <c r="K170" s="3179" t="s">
        <v>4410</v>
      </c>
      <c r="L170" s="3179">
        <v>85.854823999999994</v>
      </c>
    </row>
    <row r="171" spans="1:12">
      <c r="A171" s="3191">
        <v>169</v>
      </c>
      <c r="B171" s="3191" t="s">
        <v>4410</v>
      </c>
      <c r="C171" s="3193" t="s">
        <v>4665</v>
      </c>
      <c r="D171" s="3193">
        <v>52.42</v>
      </c>
      <c r="E171" s="3192" t="s">
        <v>4398</v>
      </c>
      <c r="F171" s="3192" t="s">
        <v>4417</v>
      </c>
      <c r="I171" s="3198">
        <v>169</v>
      </c>
      <c r="J171" s="3179" t="s">
        <v>5354</v>
      </c>
      <c r="K171" s="3179" t="s">
        <v>4410</v>
      </c>
      <c r="L171" s="3179">
        <v>2.681</v>
      </c>
    </row>
    <row r="172" spans="1:12">
      <c r="A172" s="3191">
        <v>170</v>
      </c>
      <c r="B172" s="3191" t="s">
        <v>4410</v>
      </c>
      <c r="C172" s="3193" t="s">
        <v>4666</v>
      </c>
      <c r="D172" s="3193">
        <v>582.29999999999995</v>
      </c>
      <c r="E172" s="3192" t="s">
        <v>4441</v>
      </c>
      <c r="F172" s="3192" t="s">
        <v>4667</v>
      </c>
      <c r="I172" s="3198">
        <v>170</v>
      </c>
      <c r="J172" s="3179" t="s">
        <v>5355</v>
      </c>
      <c r="K172" s="3179" t="s">
        <v>4410</v>
      </c>
      <c r="L172" s="3179">
        <v>84.391199999999998</v>
      </c>
    </row>
    <row r="173" spans="1:12">
      <c r="A173" s="3191">
        <v>171</v>
      </c>
      <c r="B173" s="3191" t="s">
        <v>4410</v>
      </c>
      <c r="C173" s="3193" t="s">
        <v>4668</v>
      </c>
      <c r="D173" s="3193">
        <v>211.07</v>
      </c>
      <c r="E173" s="3192" t="s">
        <v>4669</v>
      </c>
      <c r="F173" s="3192" t="s">
        <v>4670</v>
      </c>
      <c r="I173" s="3198">
        <v>171</v>
      </c>
      <c r="J173" s="3179" t="s">
        <v>5356</v>
      </c>
      <c r="K173" s="3179" t="s">
        <v>4410</v>
      </c>
      <c r="L173" s="3179">
        <v>78.894366000000005</v>
      </c>
    </row>
    <row r="174" spans="1:12">
      <c r="A174" s="3191">
        <v>172</v>
      </c>
      <c r="B174" s="3191" t="s">
        <v>4410</v>
      </c>
      <c r="C174" s="3193" t="s">
        <v>4671</v>
      </c>
      <c r="D174" s="3193">
        <v>38.630000000000003</v>
      </c>
      <c r="E174" s="3192" t="s">
        <v>4398</v>
      </c>
      <c r="F174" s="3192" t="s">
        <v>4497</v>
      </c>
      <c r="I174" s="3198">
        <v>172</v>
      </c>
      <c r="J174" s="3179" t="s">
        <v>5357</v>
      </c>
      <c r="K174" s="3179" t="s">
        <v>4410</v>
      </c>
      <c r="L174" s="3179">
        <v>25.382932</v>
      </c>
    </row>
    <row r="175" spans="1:12">
      <c r="A175" s="3191">
        <v>173</v>
      </c>
      <c r="B175" s="3191" t="s">
        <v>4410</v>
      </c>
      <c r="C175" s="3193" t="s">
        <v>4672</v>
      </c>
      <c r="D175" s="3193">
        <v>59.71</v>
      </c>
      <c r="E175" s="3192" t="s">
        <v>4673</v>
      </c>
      <c r="F175" s="3192" t="s">
        <v>4674</v>
      </c>
      <c r="I175" s="3198">
        <v>173</v>
      </c>
      <c r="J175" s="3179" t="s">
        <v>5358</v>
      </c>
      <c r="K175" s="3179" t="s">
        <v>4410</v>
      </c>
      <c r="L175" s="3179">
        <v>22.128284000000001</v>
      </c>
    </row>
    <row r="176" spans="1:12">
      <c r="A176" s="3191">
        <v>174</v>
      </c>
      <c r="B176" s="3191" t="s">
        <v>4410</v>
      </c>
      <c r="C176" s="3193" t="s">
        <v>4675</v>
      </c>
      <c r="D176" s="3193">
        <v>26.19</v>
      </c>
      <c r="E176" s="3192" t="s">
        <v>4676</v>
      </c>
      <c r="F176" s="3192" t="s">
        <v>4677</v>
      </c>
      <c r="I176" s="3198">
        <v>174</v>
      </c>
      <c r="J176" s="3179" t="s">
        <v>5359</v>
      </c>
      <c r="K176" s="3179" t="s">
        <v>4410</v>
      </c>
      <c r="L176" s="3179">
        <v>14.315856</v>
      </c>
    </row>
    <row r="177" spans="1:12">
      <c r="A177" s="3191">
        <v>175</v>
      </c>
      <c r="B177" s="3191" t="s">
        <v>4410</v>
      </c>
      <c r="C177" s="3193" t="s">
        <v>4678</v>
      </c>
      <c r="D177" s="3193">
        <v>131.69999999999999</v>
      </c>
      <c r="E177" s="3192" t="s">
        <v>4679</v>
      </c>
      <c r="F177" s="3192" t="s">
        <v>4680</v>
      </c>
      <c r="I177" s="3198">
        <v>175</v>
      </c>
      <c r="J177" s="3179" t="s">
        <v>5360</v>
      </c>
      <c r="K177" s="3179" t="s">
        <v>4410</v>
      </c>
      <c r="L177" s="3179">
        <v>52.106817999999997</v>
      </c>
    </row>
    <row r="178" spans="1:12">
      <c r="A178" s="3191">
        <v>176</v>
      </c>
      <c r="B178" s="3191" t="s">
        <v>4410</v>
      </c>
      <c r="C178" s="3193" t="s">
        <v>4681</v>
      </c>
      <c r="D178" s="3193">
        <v>148.26</v>
      </c>
      <c r="E178" s="3192" t="s">
        <v>4398</v>
      </c>
      <c r="F178" s="3192" t="s">
        <v>4430</v>
      </c>
      <c r="I178" s="3198">
        <v>176</v>
      </c>
      <c r="J178" s="3179" t="s">
        <v>5361</v>
      </c>
      <c r="K178" s="3179" t="s">
        <v>4410</v>
      </c>
      <c r="L178" s="3179">
        <v>26.347947000000001</v>
      </c>
    </row>
    <row r="179" spans="1:12">
      <c r="A179" s="3191">
        <v>177</v>
      </c>
      <c r="B179" s="3191" t="s">
        <v>4410</v>
      </c>
      <c r="C179" s="3193" t="s">
        <v>4682</v>
      </c>
      <c r="D179" s="3193">
        <v>154.71</v>
      </c>
      <c r="E179" s="3192" t="s">
        <v>4398</v>
      </c>
      <c r="F179" s="3192" t="s">
        <v>4417</v>
      </c>
      <c r="I179" s="3198">
        <v>177</v>
      </c>
      <c r="J179" s="3179" t="s">
        <v>5362</v>
      </c>
      <c r="K179" s="3179" t="s">
        <v>4410</v>
      </c>
      <c r="L179" s="3179">
        <v>3.6025499999999999</v>
      </c>
    </row>
    <row r="180" spans="1:12">
      <c r="A180" s="3191">
        <v>178</v>
      </c>
      <c r="B180" s="3191" t="s">
        <v>4410</v>
      </c>
      <c r="C180" s="3193" t="s">
        <v>4683</v>
      </c>
      <c r="D180" s="3193">
        <v>269.29000000000002</v>
      </c>
      <c r="E180" s="3192" t="s">
        <v>4684</v>
      </c>
      <c r="F180" s="3192" t="s">
        <v>4685</v>
      </c>
      <c r="I180" s="3198">
        <v>178</v>
      </c>
      <c r="J180" s="3179" t="s">
        <v>5363</v>
      </c>
      <c r="K180" s="3179" t="s">
        <v>4410</v>
      </c>
      <c r="L180" s="3179">
        <v>50.836182000000001</v>
      </c>
    </row>
    <row r="181" spans="1:12">
      <c r="A181" s="3191">
        <v>179</v>
      </c>
      <c r="B181" s="3191" t="s">
        <v>4410</v>
      </c>
      <c r="C181" s="3193" t="s">
        <v>4686</v>
      </c>
      <c r="D181" s="3193">
        <v>26.9</v>
      </c>
      <c r="E181" s="3192" t="s">
        <v>4687</v>
      </c>
      <c r="F181" s="3192" t="s">
        <v>4688</v>
      </c>
      <c r="I181" s="3198">
        <v>179</v>
      </c>
      <c r="J181" s="3179" t="s">
        <v>5364</v>
      </c>
      <c r="K181" s="3179" t="s">
        <v>4410</v>
      </c>
      <c r="L181" s="3179">
        <v>15.3081</v>
      </c>
    </row>
    <row r="182" spans="1:12">
      <c r="A182" s="3191">
        <v>180</v>
      </c>
      <c r="B182" s="3191" t="s">
        <v>4410</v>
      </c>
      <c r="C182" s="3193" t="s">
        <v>4689</v>
      </c>
      <c r="D182" s="3193">
        <v>113.73</v>
      </c>
      <c r="E182" s="3192" t="s">
        <v>4690</v>
      </c>
      <c r="F182" s="3192" t="s">
        <v>4691</v>
      </c>
      <c r="I182" s="3198">
        <v>180</v>
      </c>
      <c r="J182" s="3179" t="s">
        <v>5365</v>
      </c>
      <c r="K182" s="3179" t="s">
        <v>4410</v>
      </c>
      <c r="L182" s="3179">
        <v>50.244450000000001</v>
      </c>
    </row>
    <row r="183" spans="1:12">
      <c r="A183" s="3191">
        <v>181</v>
      </c>
      <c r="B183" s="3191" t="s">
        <v>4410</v>
      </c>
      <c r="C183" s="3193" t="s">
        <v>4692</v>
      </c>
      <c r="D183" s="3193">
        <v>405.46</v>
      </c>
      <c r="E183" s="3192" t="s">
        <v>4398</v>
      </c>
      <c r="F183" s="3192" t="s">
        <v>4693</v>
      </c>
      <c r="I183" s="3198">
        <v>181</v>
      </c>
      <c r="J183" s="3179" t="s">
        <v>5366</v>
      </c>
      <c r="K183" s="3179" t="s">
        <v>4410</v>
      </c>
      <c r="L183" s="3179">
        <v>133.21093400000001</v>
      </c>
    </row>
    <row r="184" spans="1:12">
      <c r="A184" s="3191">
        <v>182</v>
      </c>
      <c r="B184" s="3191" t="s">
        <v>4410</v>
      </c>
      <c r="C184" s="3193" t="s">
        <v>4694</v>
      </c>
      <c r="D184" s="3193">
        <v>22.05</v>
      </c>
      <c r="E184" s="3192" t="s">
        <v>4695</v>
      </c>
      <c r="F184" s="3192" t="s">
        <v>4655</v>
      </c>
      <c r="I184" s="3198">
        <v>182</v>
      </c>
      <c r="J184" s="3179" t="s">
        <v>5367</v>
      </c>
      <c r="K184" s="3179" t="s">
        <v>4410</v>
      </c>
      <c r="L184" s="3179">
        <v>8.3107399999999991</v>
      </c>
    </row>
    <row r="185" spans="1:12">
      <c r="A185" s="3191">
        <v>183</v>
      </c>
      <c r="B185" s="3191" t="s">
        <v>4410</v>
      </c>
      <c r="C185" s="3193" t="s">
        <v>4696</v>
      </c>
      <c r="D185" s="3193">
        <v>691.79</v>
      </c>
      <c r="E185" s="3192" t="s">
        <v>4398</v>
      </c>
      <c r="F185" s="3192" t="s">
        <v>4403</v>
      </c>
      <c r="I185" s="3198">
        <v>183</v>
      </c>
      <c r="J185" s="3179" t="s">
        <v>5368</v>
      </c>
      <c r="K185" s="3179" t="s">
        <v>4410</v>
      </c>
      <c r="L185" s="3179">
        <v>81.769577999999996</v>
      </c>
    </row>
    <row r="186" spans="1:12">
      <c r="A186" s="3191">
        <v>184</v>
      </c>
      <c r="B186" s="3191" t="s">
        <v>4410</v>
      </c>
      <c r="C186" s="3193" t="s">
        <v>4697</v>
      </c>
      <c r="D186" s="3193">
        <v>414.55</v>
      </c>
      <c r="E186" s="3192" t="s">
        <v>4698</v>
      </c>
      <c r="F186" s="3192" t="s">
        <v>4699</v>
      </c>
      <c r="I186" s="3198">
        <v>184</v>
      </c>
      <c r="J186" s="3179" t="s">
        <v>5369</v>
      </c>
      <c r="K186" s="3179" t="s">
        <v>4410</v>
      </c>
      <c r="L186" s="3179">
        <v>70.992106000000007</v>
      </c>
    </row>
    <row r="187" spans="1:12">
      <c r="A187" s="3191">
        <v>185</v>
      </c>
      <c r="B187" s="3191" t="s">
        <v>4410</v>
      </c>
      <c r="C187" s="3193" t="s">
        <v>4700</v>
      </c>
      <c r="D187" s="3193">
        <v>162.35</v>
      </c>
      <c r="E187" s="3192" t="s">
        <v>4701</v>
      </c>
      <c r="F187" s="3192" t="s">
        <v>4500</v>
      </c>
      <c r="I187" s="3198">
        <v>185</v>
      </c>
      <c r="J187" s="3179" t="s">
        <v>5370</v>
      </c>
      <c r="K187" s="3179" t="s">
        <v>4410</v>
      </c>
      <c r="L187" s="3179">
        <v>35.765188000000002</v>
      </c>
    </row>
    <row r="188" spans="1:12">
      <c r="A188" s="3191">
        <v>186</v>
      </c>
      <c r="B188" s="3191" t="s">
        <v>4410</v>
      </c>
      <c r="C188" s="3193" t="s">
        <v>4702</v>
      </c>
      <c r="D188" s="3193">
        <v>117.02</v>
      </c>
      <c r="E188" s="3192" t="s">
        <v>4398</v>
      </c>
      <c r="F188" s="3192" t="s">
        <v>4417</v>
      </c>
      <c r="I188" s="3198">
        <v>186</v>
      </c>
      <c r="J188" s="3179" t="s">
        <v>5371</v>
      </c>
      <c r="K188" s="3179" t="s">
        <v>4410</v>
      </c>
      <c r="L188" s="3179">
        <v>32.329039000000002</v>
      </c>
    </row>
    <row r="189" spans="1:12">
      <c r="A189" s="3191">
        <v>187</v>
      </c>
      <c r="B189" s="3191" t="s">
        <v>4410</v>
      </c>
      <c r="C189" s="3193" t="s">
        <v>4703</v>
      </c>
      <c r="D189" s="3193">
        <v>249.07</v>
      </c>
      <c r="E189" s="3192" t="s">
        <v>4398</v>
      </c>
      <c r="F189" s="3192" t="s">
        <v>4417</v>
      </c>
      <c r="I189" s="3198">
        <v>187</v>
      </c>
      <c r="J189" s="3179" t="s">
        <v>5372</v>
      </c>
      <c r="K189" s="3179" t="s">
        <v>4410</v>
      </c>
      <c r="L189" s="3179">
        <v>7.2830300000000001</v>
      </c>
    </row>
    <row r="190" spans="1:12">
      <c r="A190" s="3191">
        <v>188</v>
      </c>
      <c r="B190" s="3191" t="s">
        <v>4410</v>
      </c>
      <c r="C190" s="3193" t="s">
        <v>4704</v>
      </c>
      <c r="D190" s="3193">
        <v>607.69000000000005</v>
      </c>
      <c r="E190" s="3192" t="s">
        <v>4705</v>
      </c>
      <c r="F190" s="3192" t="s">
        <v>4623</v>
      </c>
      <c r="I190" s="3198">
        <v>188</v>
      </c>
      <c r="J190" s="3179" t="s">
        <v>5373</v>
      </c>
      <c r="K190" s="3179" t="s">
        <v>4410</v>
      </c>
      <c r="L190" s="3179">
        <v>32.815260000000002</v>
      </c>
    </row>
    <row r="191" spans="1:12">
      <c r="A191" s="3191">
        <v>189</v>
      </c>
      <c r="B191" s="3191" t="s">
        <v>4410</v>
      </c>
      <c r="C191" s="3193" t="s">
        <v>4706</v>
      </c>
      <c r="D191" s="3193">
        <v>186.96</v>
      </c>
      <c r="E191" s="3192" t="s">
        <v>4707</v>
      </c>
      <c r="F191" s="3192" t="s">
        <v>4708</v>
      </c>
      <c r="I191" s="3198">
        <v>189</v>
      </c>
      <c r="J191" s="3179" t="s">
        <v>5374</v>
      </c>
      <c r="K191" s="3179" t="s">
        <v>4410</v>
      </c>
      <c r="L191" s="3179">
        <v>48.168903</v>
      </c>
    </row>
    <row r="192" spans="1:12">
      <c r="A192" s="3191">
        <v>190</v>
      </c>
      <c r="B192" s="3191" t="s">
        <v>4410</v>
      </c>
      <c r="C192" s="3193" t="s">
        <v>4709</v>
      </c>
      <c r="D192" s="3193">
        <v>16.16</v>
      </c>
      <c r="E192" s="3192" t="s">
        <v>4419</v>
      </c>
      <c r="F192" s="3192" t="s">
        <v>4420</v>
      </c>
      <c r="I192" s="3198">
        <v>190</v>
      </c>
      <c r="J192" s="3179" t="s">
        <v>5375</v>
      </c>
      <c r="K192" s="3179" t="s">
        <v>4410</v>
      </c>
      <c r="L192" s="3179">
        <v>1.36896</v>
      </c>
    </row>
    <row r="193" spans="1:12">
      <c r="A193" s="3191">
        <v>191</v>
      </c>
      <c r="B193" s="3191" t="s">
        <v>4410</v>
      </c>
      <c r="C193" s="3193" t="s">
        <v>4710</v>
      </c>
      <c r="D193" s="3193">
        <v>178.97</v>
      </c>
      <c r="E193" s="3192" t="s">
        <v>4398</v>
      </c>
      <c r="F193" s="3192" t="s">
        <v>4417</v>
      </c>
      <c r="I193" s="3198">
        <v>191</v>
      </c>
      <c r="J193" s="3179" t="s">
        <v>5376</v>
      </c>
      <c r="K193" s="3179" t="s">
        <v>4410</v>
      </c>
      <c r="L193" s="3179">
        <v>9.3664400000000008</v>
      </c>
    </row>
    <row r="194" spans="1:12">
      <c r="A194" s="3191">
        <v>192</v>
      </c>
      <c r="B194" s="3191" t="s">
        <v>4410</v>
      </c>
      <c r="C194" s="3193" t="s">
        <v>4711</v>
      </c>
      <c r="D194" s="3193">
        <v>13.05</v>
      </c>
      <c r="E194" s="3192" t="s">
        <v>4398</v>
      </c>
      <c r="F194" s="3192" t="s">
        <v>4464</v>
      </c>
      <c r="I194" s="3198">
        <v>192</v>
      </c>
      <c r="J194" s="3179" t="s">
        <v>5377</v>
      </c>
      <c r="K194" s="3179" t="s">
        <v>4410</v>
      </c>
      <c r="L194" s="3179">
        <v>0.61725099999999999</v>
      </c>
    </row>
    <row r="195" spans="1:12">
      <c r="A195" s="3191">
        <v>193</v>
      </c>
      <c r="B195" s="3191" t="s">
        <v>4410</v>
      </c>
      <c r="C195" s="3193" t="s">
        <v>4712</v>
      </c>
      <c r="D195" s="3193">
        <v>109.81</v>
      </c>
      <c r="E195" s="3192" t="s">
        <v>4713</v>
      </c>
      <c r="F195" s="3192" t="s">
        <v>4714</v>
      </c>
      <c r="I195" s="3198">
        <v>193</v>
      </c>
      <c r="J195" s="3183" t="s">
        <v>5378</v>
      </c>
      <c r="K195" s="3179" t="s">
        <v>4410</v>
      </c>
      <c r="L195" s="3179">
        <v>32.102260000000001</v>
      </c>
    </row>
    <row r="196" spans="1:12">
      <c r="A196" s="3191">
        <v>194</v>
      </c>
      <c r="B196" s="3191" t="s">
        <v>4410</v>
      </c>
      <c r="C196" s="3193" t="s">
        <v>4712</v>
      </c>
      <c r="D196" s="3193">
        <v>18.5</v>
      </c>
      <c r="E196" s="3192" t="s">
        <v>4516</v>
      </c>
      <c r="F196" s="3192" t="s">
        <v>4512</v>
      </c>
      <c r="I196" s="3198">
        <v>194</v>
      </c>
      <c r="J196" s="3179" t="s">
        <v>5379</v>
      </c>
      <c r="K196" s="3179" t="s">
        <v>4410</v>
      </c>
      <c r="L196" s="3179">
        <v>17.909580999999999</v>
      </c>
    </row>
    <row r="197" spans="1:12">
      <c r="A197" s="3191">
        <v>195</v>
      </c>
      <c r="B197" s="3191" t="s">
        <v>4410</v>
      </c>
      <c r="C197" s="3193" t="s">
        <v>4715</v>
      </c>
      <c r="D197" s="3193">
        <v>28.18</v>
      </c>
      <c r="E197" s="3192" t="s">
        <v>4716</v>
      </c>
      <c r="F197" s="3192" t="s">
        <v>4417</v>
      </c>
      <c r="I197" s="3198">
        <v>195</v>
      </c>
      <c r="J197" s="3179" t="s">
        <v>5380</v>
      </c>
      <c r="K197" s="3179" t="s">
        <v>4410</v>
      </c>
      <c r="L197" s="3179">
        <v>3.94082</v>
      </c>
    </row>
    <row r="198" spans="1:12">
      <c r="A198" s="3191">
        <v>196</v>
      </c>
      <c r="B198" s="3191" t="s">
        <v>4410</v>
      </c>
      <c r="C198" s="3193" t="s">
        <v>4717</v>
      </c>
      <c r="D198" s="3193">
        <v>74.64</v>
      </c>
      <c r="E198" s="3192" t="s">
        <v>4718</v>
      </c>
      <c r="F198" s="3192" t="s">
        <v>4719</v>
      </c>
      <c r="I198" s="3198">
        <v>196</v>
      </c>
      <c r="J198" s="3179" t="s">
        <v>5381</v>
      </c>
      <c r="K198" s="3179" t="s">
        <v>4410</v>
      </c>
      <c r="L198" s="3179">
        <v>23.137260000000001</v>
      </c>
    </row>
    <row r="199" spans="1:12">
      <c r="A199" s="3191">
        <v>197</v>
      </c>
      <c r="B199" s="3191" t="s">
        <v>4410</v>
      </c>
      <c r="C199" s="3193" t="s">
        <v>4720</v>
      </c>
      <c r="D199" s="3193">
        <v>126.42</v>
      </c>
      <c r="E199" s="3192" t="s">
        <v>4721</v>
      </c>
      <c r="F199" s="3192" t="s">
        <v>4448</v>
      </c>
      <c r="I199" s="3198">
        <v>197</v>
      </c>
      <c r="J199" s="3179" t="s">
        <v>5382</v>
      </c>
      <c r="K199" s="3179" t="s">
        <v>4410</v>
      </c>
      <c r="L199" s="3179">
        <v>36.076661999999999</v>
      </c>
    </row>
    <row r="200" spans="1:12">
      <c r="A200" s="3191">
        <v>198</v>
      </c>
      <c r="B200" s="3191" t="s">
        <v>4410</v>
      </c>
      <c r="C200" s="3193" t="s">
        <v>4722</v>
      </c>
      <c r="D200" s="3193">
        <v>44.88</v>
      </c>
      <c r="E200" s="3192" t="s">
        <v>4398</v>
      </c>
      <c r="F200" s="3192" t="s">
        <v>4464</v>
      </c>
      <c r="I200" s="3198">
        <v>198</v>
      </c>
      <c r="J200" s="3179" t="s">
        <v>5383</v>
      </c>
      <c r="K200" s="3179" t="s">
        <v>4410</v>
      </c>
      <c r="L200" s="3179">
        <v>5.0773809999999999</v>
      </c>
    </row>
    <row r="201" spans="1:12">
      <c r="A201" s="3191">
        <v>199</v>
      </c>
      <c r="B201" s="3191" t="s">
        <v>4410</v>
      </c>
      <c r="C201" s="3193" t="s">
        <v>4723</v>
      </c>
      <c r="D201" s="3193">
        <v>261.70999999999998</v>
      </c>
      <c r="E201" s="3192" t="s">
        <v>4405</v>
      </c>
      <c r="F201" s="3192" t="s">
        <v>4460</v>
      </c>
      <c r="I201" s="3198">
        <v>199</v>
      </c>
      <c r="J201" s="3179" t="s">
        <v>5384</v>
      </c>
      <c r="K201" s="3179" t="s">
        <v>4410</v>
      </c>
      <c r="L201" s="3179">
        <v>69.289548999999994</v>
      </c>
    </row>
    <row r="202" spans="1:12">
      <c r="A202" s="3191">
        <v>200</v>
      </c>
      <c r="B202" s="3191" t="s">
        <v>4410</v>
      </c>
      <c r="C202" s="3193" t="s">
        <v>4724</v>
      </c>
      <c r="D202" s="3193">
        <v>97.9</v>
      </c>
      <c r="E202" s="3192" t="s">
        <v>4398</v>
      </c>
      <c r="F202" s="3192" t="s">
        <v>4417</v>
      </c>
      <c r="I202" s="3198">
        <v>200</v>
      </c>
      <c r="J202" s="3183" t="s">
        <v>5385</v>
      </c>
      <c r="K202" s="3179" t="s">
        <v>4410</v>
      </c>
      <c r="L202" s="3179">
        <v>74.303679000000002</v>
      </c>
    </row>
    <row r="203" spans="1:12">
      <c r="A203" s="3191">
        <v>201</v>
      </c>
      <c r="B203" s="3191" t="s">
        <v>4410</v>
      </c>
      <c r="C203" s="3193" t="s">
        <v>4724</v>
      </c>
      <c r="D203" s="3193">
        <v>146.41999999999999</v>
      </c>
      <c r="E203" s="3192" t="s">
        <v>4415</v>
      </c>
      <c r="F203" s="3192" t="s">
        <v>4725</v>
      </c>
      <c r="I203" s="3198">
        <v>201</v>
      </c>
      <c r="J203" s="3179" t="s">
        <v>5386</v>
      </c>
      <c r="K203" s="3179" t="s">
        <v>4410</v>
      </c>
      <c r="L203" s="3179">
        <v>57.911074999999997</v>
      </c>
    </row>
    <row r="204" spans="1:12">
      <c r="A204" s="3191">
        <v>202</v>
      </c>
      <c r="B204" s="3191" t="s">
        <v>4410</v>
      </c>
      <c r="C204" s="3193" t="s">
        <v>4726</v>
      </c>
      <c r="D204" s="3193">
        <v>382.04</v>
      </c>
      <c r="E204" s="3192" t="s">
        <v>4727</v>
      </c>
      <c r="F204" s="3192" t="s">
        <v>4728</v>
      </c>
      <c r="I204" s="3198">
        <v>202</v>
      </c>
      <c r="J204" s="3179" t="s">
        <v>5387</v>
      </c>
      <c r="K204" s="3179" t="s">
        <v>4410</v>
      </c>
      <c r="L204" s="3179">
        <v>46.389462000000002</v>
      </c>
    </row>
    <row r="205" spans="1:12">
      <c r="A205" s="3191">
        <v>203</v>
      </c>
      <c r="B205" s="3191" t="s">
        <v>4410</v>
      </c>
      <c r="C205" s="3193" t="s">
        <v>4729</v>
      </c>
      <c r="D205" s="3193">
        <v>107.38</v>
      </c>
      <c r="E205" s="3192" t="s">
        <v>4730</v>
      </c>
      <c r="F205" s="3192" t="s">
        <v>4731</v>
      </c>
      <c r="I205" s="3198">
        <v>203</v>
      </c>
      <c r="J205" s="3179" t="s">
        <v>5388</v>
      </c>
      <c r="K205" s="3179" t="s">
        <v>4410</v>
      </c>
      <c r="L205" s="3179">
        <v>15.86894</v>
      </c>
    </row>
    <row r="206" spans="1:12">
      <c r="A206" s="3191">
        <v>204</v>
      </c>
      <c r="B206" s="3191" t="s">
        <v>4410</v>
      </c>
      <c r="C206" s="3193" t="s">
        <v>4732</v>
      </c>
      <c r="D206" s="3193">
        <v>56.11</v>
      </c>
      <c r="E206" s="3192" t="s">
        <v>4398</v>
      </c>
      <c r="F206" s="3192" t="s">
        <v>4464</v>
      </c>
      <c r="I206" s="3198">
        <v>204</v>
      </c>
      <c r="J206" s="3179" t="s">
        <v>5389</v>
      </c>
      <c r="K206" s="3179" t="s">
        <v>4410</v>
      </c>
      <c r="L206" s="3179">
        <v>3.0073500000000002</v>
      </c>
    </row>
    <row r="207" spans="1:12">
      <c r="A207" s="3191">
        <v>205</v>
      </c>
      <c r="B207" s="3191" t="s">
        <v>4410</v>
      </c>
      <c r="C207" s="3193" t="s">
        <v>4733</v>
      </c>
      <c r="D207" s="3193">
        <v>23.76</v>
      </c>
      <c r="E207" s="3192" t="s">
        <v>4412</v>
      </c>
      <c r="F207" s="3192" t="s">
        <v>4417</v>
      </c>
      <c r="I207" s="3198">
        <v>205</v>
      </c>
      <c r="J207" s="3179" t="s">
        <v>5390</v>
      </c>
      <c r="K207" s="3179" t="s">
        <v>4410</v>
      </c>
      <c r="L207" s="3179">
        <v>1.1292</v>
      </c>
    </row>
    <row r="208" spans="1:12">
      <c r="A208" s="3191">
        <v>206</v>
      </c>
      <c r="B208" s="3191" t="s">
        <v>4410</v>
      </c>
      <c r="C208" s="3193" t="s">
        <v>4734</v>
      </c>
      <c r="D208" s="3193">
        <v>247.56</v>
      </c>
      <c r="E208" s="3192" t="s">
        <v>4398</v>
      </c>
      <c r="F208" s="3192" t="s">
        <v>4420</v>
      </c>
      <c r="I208" s="3198">
        <v>206</v>
      </c>
      <c r="J208" s="3179" t="s">
        <v>5391</v>
      </c>
      <c r="K208" s="3179" t="s">
        <v>4410</v>
      </c>
      <c r="L208" s="3179">
        <v>47.531841</v>
      </c>
    </row>
    <row r="209" spans="1:12">
      <c r="A209" s="3191">
        <v>207</v>
      </c>
      <c r="B209" s="3191" t="s">
        <v>4410</v>
      </c>
      <c r="C209" s="3193" t="s">
        <v>4735</v>
      </c>
      <c r="D209" s="3193">
        <v>299</v>
      </c>
      <c r="E209" s="3192" t="s">
        <v>4398</v>
      </c>
      <c r="F209" s="3192" t="s">
        <v>4430</v>
      </c>
      <c r="I209" s="3198">
        <v>207</v>
      </c>
      <c r="J209" s="3179" t="s">
        <v>5392</v>
      </c>
      <c r="K209" s="3179" t="s">
        <v>4410</v>
      </c>
      <c r="L209" s="3179">
        <v>35.694023000000001</v>
      </c>
    </row>
    <row r="210" spans="1:12">
      <c r="A210" s="3191">
        <v>208</v>
      </c>
      <c r="B210" s="3191" t="s">
        <v>4410</v>
      </c>
      <c r="C210" s="3193" t="s">
        <v>4736</v>
      </c>
      <c r="D210" s="3193">
        <v>122.79</v>
      </c>
      <c r="E210" s="3192" t="s">
        <v>4398</v>
      </c>
      <c r="F210" s="3192" t="s">
        <v>4417</v>
      </c>
      <c r="I210" s="3198">
        <v>208</v>
      </c>
      <c r="J210" s="3179" t="s">
        <v>5393</v>
      </c>
      <c r="K210" s="3179" t="s">
        <v>4410</v>
      </c>
      <c r="L210" s="3179">
        <v>4.2753810000000003</v>
      </c>
    </row>
    <row r="211" spans="1:12">
      <c r="A211" s="3191">
        <v>209</v>
      </c>
      <c r="B211" s="3191" t="s">
        <v>4410</v>
      </c>
      <c r="C211" s="3193" t="s">
        <v>4737</v>
      </c>
      <c r="D211" s="3193">
        <v>145.37</v>
      </c>
      <c r="E211" s="3192" t="s">
        <v>4398</v>
      </c>
      <c r="F211" s="3192" t="s">
        <v>4417</v>
      </c>
      <c r="I211" s="3198">
        <v>209</v>
      </c>
      <c r="J211" s="3179" t="s">
        <v>5394</v>
      </c>
      <c r="K211" s="3179" t="s">
        <v>4410</v>
      </c>
      <c r="L211" s="3179">
        <v>39.746113999999999</v>
      </c>
    </row>
    <row r="212" spans="1:12">
      <c r="A212" s="3191">
        <v>210</v>
      </c>
      <c r="B212" s="3191" t="s">
        <v>4410</v>
      </c>
      <c r="C212" s="3193" t="s">
        <v>4738</v>
      </c>
      <c r="D212" s="3193">
        <v>726.25</v>
      </c>
      <c r="E212" s="3192" t="s">
        <v>4398</v>
      </c>
      <c r="F212" s="3192" t="s">
        <v>4430</v>
      </c>
      <c r="I212" s="3198">
        <v>210</v>
      </c>
      <c r="J212" s="3179" t="s">
        <v>5395</v>
      </c>
      <c r="K212" s="3179" t="s">
        <v>4410</v>
      </c>
      <c r="L212" s="3179">
        <v>120.958062</v>
      </c>
    </row>
    <row r="213" spans="1:12">
      <c r="A213" s="3191">
        <v>211</v>
      </c>
      <c r="B213" s="3191" t="s">
        <v>4410</v>
      </c>
      <c r="C213" s="3193" t="s">
        <v>4739</v>
      </c>
      <c r="D213" s="3193">
        <v>186.8</v>
      </c>
      <c r="E213" s="3192" t="s">
        <v>4740</v>
      </c>
      <c r="F213" s="3192" t="s">
        <v>4741</v>
      </c>
      <c r="I213" s="3198">
        <v>211</v>
      </c>
      <c r="J213" s="3179" t="s">
        <v>5396</v>
      </c>
      <c r="K213" s="3179" t="s">
        <v>4410</v>
      </c>
      <c r="L213" s="3179">
        <v>57.689090999999998</v>
      </c>
    </row>
    <row r="214" spans="1:12">
      <c r="A214" s="3191">
        <v>212</v>
      </c>
      <c r="B214" s="3191" t="s">
        <v>4410</v>
      </c>
      <c r="C214" s="3193" t="s">
        <v>4742</v>
      </c>
      <c r="D214" s="3193">
        <v>189.38</v>
      </c>
      <c r="E214" s="3192" t="s">
        <v>4398</v>
      </c>
      <c r="F214" s="3192" t="s">
        <v>4636</v>
      </c>
      <c r="I214" s="3198">
        <v>212</v>
      </c>
      <c r="J214" s="3179" t="s">
        <v>5397</v>
      </c>
      <c r="K214" s="3179" t="s">
        <v>4410</v>
      </c>
      <c r="L214" s="3179">
        <v>68.777928000000003</v>
      </c>
    </row>
    <row r="215" spans="1:12">
      <c r="A215" s="3191">
        <v>213</v>
      </c>
      <c r="B215" s="3191" t="s">
        <v>4410</v>
      </c>
      <c r="C215" s="3193" t="s">
        <v>4743</v>
      </c>
      <c r="D215" s="3193">
        <v>222.3</v>
      </c>
      <c r="E215" s="3192" t="s">
        <v>4398</v>
      </c>
      <c r="F215" s="3192" t="s">
        <v>4420</v>
      </c>
      <c r="I215" s="3198">
        <v>213</v>
      </c>
      <c r="J215" s="3179" t="s">
        <v>5398</v>
      </c>
      <c r="K215" s="3179" t="s">
        <v>4410</v>
      </c>
      <c r="L215" s="3179">
        <v>103.93602799999999</v>
      </c>
    </row>
    <row r="216" spans="1:12">
      <c r="A216" s="3191">
        <v>214</v>
      </c>
      <c r="B216" s="3191" t="s">
        <v>4410</v>
      </c>
      <c r="C216" s="3193" t="s">
        <v>4744</v>
      </c>
      <c r="D216" s="3193">
        <v>884.09</v>
      </c>
      <c r="E216" s="3192" t="s">
        <v>4745</v>
      </c>
      <c r="F216" s="3192" t="s">
        <v>4746</v>
      </c>
      <c r="I216" s="3198">
        <v>214</v>
      </c>
      <c r="J216" s="3179" t="s">
        <v>5399</v>
      </c>
      <c r="K216" s="3179" t="s">
        <v>4410</v>
      </c>
      <c r="L216" s="3179">
        <v>68.157099000000002</v>
      </c>
    </row>
    <row r="217" spans="1:12">
      <c r="A217" s="3191">
        <v>215</v>
      </c>
      <c r="B217" s="3191" t="s">
        <v>4410</v>
      </c>
      <c r="C217" s="3193" t="s">
        <v>4747</v>
      </c>
      <c r="D217" s="3193">
        <v>40.56</v>
      </c>
      <c r="E217" s="3192" t="s">
        <v>4412</v>
      </c>
      <c r="F217" s="3192" t="s">
        <v>4417</v>
      </c>
      <c r="I217" s="3198">
        <v>215</v>
      </c>
      <c r="J217" s="3179" t="s">
        <v>5400</v>
      </c>
      <c r="K217" s="3179" t="s">
        <v>4410</v>
      </c>
      <c r="L217" s="3179">
        <v>1.5607200000000001</v>
      </c>
    </row>
    <row r="218" spans="1:12">
      <c r="A218" s="3191">
        <v>216</v>
      </c>
      <c r="B218" s="3191" t="s">
        <v>4410</v>
      </c>
      <c r="C218" s="3193" t="s">
        <v>4748</v>
      </c>
      <c r="D218" s="3193">
        <v>125.98</v>
      </c>
      <c r="E218" s="3192" t="s">
        <v>4398</v>
      </c>
      <c r="F218" s="3192" t="s">
        <v>4417</v>
      </c>
      <c r="I218" s="3198">
        <v>216</v>
      </c>
      <c r="J218" s="3179" t="s">
        <v>5401</v>
      </c>
      <c r="K218" s="3179" t="s">
        <v>4410</v>
      </c>
      <c r="L218" s="3179">
        <v>28.397168000000001</v>
      </c>
    </row>
    <row r="219" spans="1:12">
      <c r="A219" s="3191">
        <v>217</v>
      </c>
      <c r="B219" s="3191" t="s">
        <v>4410</v>
      </c>
      <c r="C219" s="3193" t="s">
        <v>4749</v>
      </c>
      <c r="D219" s="3193">
        <v>131.96</v>
      </c>
      <c r="E219" s="3192" t="s">
        <v>4419</v>
      </c>
      <c r="F219" s="3192" t="s">
        <v>4420</v>
      </c>
      <c r="I219" s="3198">
        <v>217</v>
      </c>
      <c r="J219" s="3179" t="s">
        <v>5402</v>
      </c>
      <c r="K219" s="3179" t="s">
        <v>4410</v>
      </c>
      <c r="L219" s="3179">
        <v>4.5862280000000002</v>
      </c>
    </row>
    <row r="220" spans="1:12">
      <c r="A220" s="3191">
        <v>218</v>
      </c>
      <c r="B220" s="3191" t="s">
        <v>4410</v>
      </c>
      <c r="C220" s="3193" t="s">
        <v>4750</v>
      </c>
      <c r="D220" s="3193">
        <v>44.16</v>
      </c>
      <c r="E220" s="3192" t="s">
        <v>4751</v>
      </c>
      <c r="F220" s="3192" t="s">
        <v>4541</v>
      </c>
      <c r="I220" s="3198">
        <v>218</v>
      </c>
      <c r="J220" s="3179" t="s">
        <v>5403</v>
      </c>
      <c r="K220" s="3179" t="s">
        <v>4410</v>
      </c>
      <c r="L220" s="3179">
        <v>19.43712</v>
      </c>
    </row>
    <row r="221" spans="1:12">
      <c r="A221" s="3191">
        <v>219</v>
      </c>
      <c r="B221" s="3191" t="s">
        <v>4410</v>
      </c>
      <c r="C221" s="3193" t="s">
        <v>4752</v>
      </c>
      <c r="D221" s="3193">
        <v>25.39</v>
      </c>
      <c r="E221" s="3192" t="s">
        <v>4751</v>
      </c>
      <c r="F221" s="3192" t="s">
        <v>4541</v>
      </c>
      <c r="I221" s="3198">
        <v>219</v>
      </c>
      <c r="J221" s="3179" t="s">
        <v>5404</v>
      </c>
      <c r="K221" s="3179" t="s">
        <v>4410</v>
      </c>
      <c r="L221" s="3179">
        <v>10.71912</v>
      </c>
    </row>
    <row r="222" spans="1:12">
      <c r="A222" s="3191">
        <v>220</v>
      </c>
      <c r="B222" s="3191" t="s">
        <v>4410</v>
      </c>
      <c r="C222" s="3193" t="s">
        <v>4753</v>
      </c>
      <c r="D222" s="3193">
        <v>82.32</v>
      </c>
      <c r="E222" s="3192" t="s">
        <v>4398</v>
      </c>
      <c r="F222" s="3192" t="s">
        <v>4464</v>
      </c>
      <c r="I222" s="3198">
        <v>220</v>
      </c>
      <c r="J222" s="3179" t="s">
        <v>5405</v>
      </c>
      <c r="K222" s="3179" t="s">
        <v>4410</v>
      </c>
      <c r="L222" s="3179">
        <v>4.2583200000000003</v>
      </c>
    </row>
    <row r="223" spans="1:12">
      <c r="A223" s="3191">
        <v>221</v>
      </c>
      <c r="B223" s="3191" t="s">
        <v>4410</v>
      </c>
      <c r="C223" s="3193" t="s">
        <v>4754</v>
      </c>
      <c r="D223" s="3193">
        <v>63.41</v>
      </c>
      <c r="E223" s="3192" t="s">
        <v>4398</v>
      </c>
      <c r="F223" s="3192" t="s">
        <v>4464</v>
      </c>
      <c r="I223" s="3198">
        <v>221</v>
      </c>
      <c r="J223" s="3179" t="s">
        <v>5406</v>
      </c>
      <c r="K223" s="3179" t="s">
        <v>4410</v>
      </c>
      <c r="L223" s="3179">
        <v>25.356369000000001</v>
      </c>
    </row>
    <row r="224" spans="1:12">
      <c r="A224" s="3191">
        <v>222</v>
      </c>
      <c r="B224" s="3191" t="s">
        <v>4410</v>
      </c>
      <c r="C224" s="3193" t="s">
        <v>4755</v>
      </c>
      <c r="D224" s="3193">
        <v>59.71</v>
      </c>
      <c r="E224" s="3192" t="s">
        <v>4756</v>
      </c>
      <c r="F224" s="3192" t="s">
        <v>4757</v>
      </c>
      <c r="I224" s="3198">
        <v>222</v>
      </c>
      <c r="J224" s="3179" t="s">
        <v>5407</v>
      </c>
      <c r="K224" s="3179" t="s">
        <v>4410</v>
      </c>
      <c r="L224" s="3179">
        <v>11.500999999999999</v>
      </c>
    </row>
    <row r="225" spans="1:12">
      <c r="A225" s="3191">
        <v>223</v>
      </c>
      <c r="B225" s="3191" t="s">
        <v>4410</v>
      </c>
      <c r="C225" s="3193" t="s">
        <v>4758</v>
      </c>
      <c r="D225" s="3193">
        <v>123.54</v>
      </c>
      <c r="E225" s="3192" t="s">
        <v>4398</v>
      </c>
      <c r="F225" s="3192" t="s">
        <v>4417</v>
      </c>
      <c r="I225" s="3198">
        <v>223</v>
      </c>
      <c r="J225" s="3179" t="s">
        <v>5408</v>
      </c>
      <c r="K225" s="3179" t="s">
        <v>4410</v>
      </c>
      <c r="L225" s="3179">
        <v>22.388003000000001</v>
      </c>
    </row>
    <row r="226" spans="1:12">
      <c r="A226" s="3191">
        <v>224</v>
      </c>
      <c r="B226" s="3191" t="s">
        <v>4410</v>
      </c>
      <c r="C226" s="3193" t="s">
        <v>4759</v>
      </c>
      <c r="D226" s="3193">
        <v>149.22</v>
      </c>
      <c r="E226" s="3192" t="s">
        <v>4398</v>
      </c>
      <c r="F226" s="3192" t="s">
        <v>4420</v>
      </c>
      <c r="I226" s="3198">
        <v>224</v>
      </c>
      <c r="J226" s="3179" t="s">
        <v>5409</v>
      </c>
      <c r="K226" s="3179" t="s">
        <v>4410</v>
      </c>
      <c r="L226" s="3179">
        <v>42.276834000000001</v>
      </c>
    </row>
    <row r="227" spans="1:12">
      <c r="A227" s="3191">
        <v>225</v>
      </c>
      <c r="B227" s="3191" t="s">
        <v>4410</v>
      </c>
      <c r="C227" s="3193" t="s">
        <v>4760</v>
      </c>
      <c r="D227" s="3193">
        <v>131.36000000000001</v>
      </c>
      <c r="E227" s="3192" t="s">
        <v>4761</v>
      </c>
      <c r="F227" s="3192" t="s">
        <v>4662</v>
      </c>
      <c r="I227" s="3198">
        <v>225</v>
      </c>
      <c r="J227" s="3179" t="s">
        <v>5410</v>
      </c>
      <c r="K227" s="3179" t="s">
        <v>4410</v>
      </c>
      <c r="L227" s="3179">
        <v>39.299478000000001</v>
      </c>
    </row>
    <row r="228" spans="1:12">
      <c r="A228" s="3191">
        <v>226</v>
      </c>
      <c r="B228" s="3191" t="s">
        <v>4410</v>
      </c>
      <c r="C228" s="3193" t="s">
        <v>4762</v>
      </c>
      <c r="D228" s="3193">
        <v>50.7</v>
      </c>
      <c r="E228" s="3192" t="s">
        <v>4763</v>
      </c>
      <c r="F228" s="3192" t="s">
        <v>4764</v>
      </c>
      <c r="I228" s="3198">
        <v>226</v>
      </c>
      <c r="J228" s="3179" t="s">
        <v>5411</v>
      </c>
      <c r="K228" s="3179" t="s">
        <v>4410</v>
      </c>
      <c r="L228" s="3179">
        <v>21.585063000000002</v>
      </c>
    </row>
    <row r="229" spans="1:12">
      <c r="A229" s="3191">
        <v>227</v>
      </c>
      <c r="B229" s="3191" t="s">
        <v>4410</v>
      </c>
      <c r="C229" s="3193" t="s">
        <v>4765</v>
      </c>
      <c r="D229" s="3193">
        <v>175.58</v>
      </c>
      <c r="E229" s="3192" t="s">
        <v>4398</v>
      </c>
      <c r="F229" s="3192" t="s">
        <v>4430</v>
      </c>
      <c r="I229" s="3198">
        <v>227</v>
      </c>
      <c r="J229" s="3179" t="s">
        <v>5412</v>
      </c>
      <c r="K229" s="3179" t="s">
        <v>4410</v>
      </c>
      <c r="L229" s="3179">
        <v>79.034471999999994</v>
      </c>
    </row>
    <row r="230" spans="1:12">
      <c r="A230" s="3191">
        <v>228</v>
      </c>
      <c r="B230" s="3191" t="s">
        <v>4410</v>
      </c>
      <c r="C230" s="3193" t="s">
        <v>4766</v>
      </c>
      <c r="D230" s="3193">
        <v>80.680000000000007</v>
      </c>
      <c r="E230" s="3192" t="s">
        <v>4767</v>
      </c>
      <c r="F230" s="3192" t="s">
        <v>4768</v>
      </c>
      <c r="I230" s="3198">
        <v>228</v>
      </c>
      <c r="J230" s="3179" t="s">
        <v>5413</v>
      </c>
      <c r="K230" s="3179" t="s">
        <v>4410</v>
      </c>
      <c r="L230" s="3179">
        <v>28.960106</v>
      </c>
    </row>
    <row r="231" spans="1:12">
      <c r="A231" s="3191">
        <v>229</v>
      </c>
      <c r="B231" s="3191" t="s">
        <v>4410</v>
      </c>
      <c r="C231" s="3193" t="s">
        <v>4769</v>
      </c>
      <c r="D231" s="3193">
        <v>448.34</v>
      </c>
      <c r="E231" s="3192" t="s">
        <v>4398</v>
      </c>
      <c r="F231" s="3192" t="s">
        <v>4430</v>
      </c>
      <c r="I231" s="3198">
        <v>229</v>
      </c>
      <c r="J231" s="3179" t="s">
        <v>5414</v>
      </c>
      <c r="K231" s="3179" t="s">
        <v>4410</v>
      </c>
      <c r="L231" s="3179">
        <v>87.742130000000003</v>
      </c>
    </row>
    <row r="232" spans="1:12">
      <c r="A232" s="3191">
        <v>230</v>
      </c>
      <c r="B232" s="3191" t="s">
        <v>4410</v>
      </c>
      <c r="C232" s="3193" t="s">
        <v>4770</v>
      </c>
      <c r="D232" s="3193">
        <v>95.8</v>
      </c>
      <c r="E232" s="3192" t="s">
        <v>4771</v>
      </c>
      <c r="F232" s="3192" t="s">
        <v>4772</v>
      </c>
      <c r="I232" s="3198">
        <v>230</v>
      </c>
      <c r="J232" s="3179" t="s">
        <v>5415</v>
      </c>
      <c r="K232" s="3179" t="s">
        <v>4410</v>
      </c>
      <c r="L232" s="3179">
        <v>56.108046000000002</v>
      </c>
    </row>
    <row r="233" spans="1:12">
      <c r="A233" s="3191">
        <v>231</v>
      </c>
      <c r="B233" s="3191" t="s">
        <v>4410</v>
      </c>
      <c r="C233" s="3193" t="s">
        <v>4773</v>
      </c>
      <c r="D233" s="3193">
        <v>305.83</v>
      </c>
      <c r="E233" s="3192" t="s">
        <v>4398</v>
      </c>
      <c r="F233" s="3192" t="s">
        <v>4430</v>
      </c>
      <c r="I233" s="3198">
        <v>231</v>
      </c>
      <c r="J233" s="3179" t="s">
        <v>5416</v>
      </c>
      <c r="K233" s="3179" t="s">
        <v>4410</v>
      </c>
      <c r="L233" s="3179">
        <v>107.99811099999999</v>
      </c>
    </row>
    <row r="234" spans="1:12">
      <c r="A234" s="3191">
        <v>232</v>
      </c>
      <c r="B234" s="3191" t="s">
        <v>4410</v>
      </c>
      <c r="C234" s="3193" t="s">
        <v>4774</v>
      </c>
      <c r="D234" s="3193">
        <v>120.57</v>
      </c>
      <c r="E234" s="3192" t="s">
        <v>4775</v>
      </c>
      <c r="F234" s="3192" t="s">
        <v>4772</v>
      </c>
      <c r="I234" s="3198">
        <v>232</v>
      </c>
      <c r="J234" s="3179" t="s">
        <v>5417</v>
      </c>
      <c r="K234" s="3179" t="s">
        <v>4410</v>
      </c>
      <c r="L234" s="3179">
        <v>37.458534999999998</v>
      </c>
    </row>
    <row r="235" spans="1:12">
      <c r="A235" s="3191">
        <v>233</v>
      </c>
      <c r="B235" s="3191" t="s">
        <v>4410</v>
      </c>
      <c r="C235" s="3193" t="s">
        <v>4776</v>
      </c>
      <c r="D235" s="3193">
        <v>201.19</v>
      </c>
      <c r="E235" s="3192" t="s">
        <v>4777</v>
      </c>
      <c r="F235" s="3192" t="s">
        <v>4457</v>
      </c>
      <c r="I235" s="3198">
        <v>233</v>
      </c>
      <c r="J235" s="3179" t="s">
        <v>5418</v>
      </c>
      <c r="K235" s="3179" t="s">
        <v>4410</v>
      </c>
      <c r="L235" s="3179">
        <v>49.526828000000002</v>
      </c>
    </row>
    <row r="236" spans="1:12">
      <c r="A236" s="3191">
        <v>234</v>
      </c>
      <c r="B236" s="3191" t="s">
        <v>4410</v>
      </c>
      <c r="C236" s="3193" t="s">
        <v>4778</v>
      </c>
      <c r="D236" s="3193">
        <v>471.42</v>
      </c>
      <c r="E236" s="3192" t="s">
        <v>4398</v>
      </c>
      <c r="F236" s="3192" t="s">
        <v>4623</v>
      </c>
      <c r="I236" s="3198">
        <v>234</v>
      </c>
      <c r="J236" s="3179" t="s">
        <v>5419</v>
      </c>
      <c r="K236" s="3179" t="s">
        <v>4410</v>
      </c>
      <c r="L236" s="3179">
        <v>21.44961</v>
      </c>
    </row>
    <row r="237" spans="1:12">
      <c r="A237" s="3191">
        <v>235</v>
      </c>
      <c r="B237" s="3191" t="s">
        <v>4410</v>
      </c>
      <c r="C237" s="3193" t="s">
        <v>4779</v>
      </c>
      <c r="D237" s="3193">
        <v>52.43</v>
      </c>
      <c r="E237" s="3192" t="s">
        <v>4398</v>
      </c>
      <c r="F237" s="3192" t="s">
        <v>4464</v>
      </c>
      <c r="I237" s="3198">
        <v>235</v>
      </c>
      <c r="J237" s="3179" t="s">
        <v>5420</v>
      </c>
      <c r="K237" s="3179" t="s">
        <v>4410</v>
      </c>
      <c r="L237" s="3179">
        <v>17.173711999999998</v>
      </c>
    </row>
    <row r="238" spans="1:12">
      <c r="A238" s="3191">
        <v>236</v>
      </c>
      <c r="B238" s="3191" t="s">
        <v>4410</v>
      </c>
      <c r="C238" s="3193" t="s">
        <v>4780</v>
      </c>
      <c r="D238" s="3193">
        <v>129.85</v>
      </c>
      <c r="E238" s="3192" t="s">
        <v>4398</v>
      </c>
      <c r="F238" s="3192" t="s">
        <v>4417</v>
      </c>
      <c r="I238" s="3198">
        <v>236</v>
      </c>
      <c r="J238" s="3179" t="s">
        <v>5421</v>
      </c>
      <c r="K238" s="3179" t="s">
        <v>4410</v>
      </c>
      <c r="L238" s="3179">
        <v>9.5460860000000007</v>
      </c>
    </row>
    <row r="239" spans="1:12">
      <c r="A239" s="3191">
        <v>237</v>
      </c>
      <c r="B239" s="3191" t="s">
        <v>4410</v>
      </c>
      <c r="C239" s="3193" t="s">
        <v>4781</v>
      </c>
      <c r="D239" s="3193">
        <v>166.66</v>
      </c>
      <c r="E239" s="3192" t="s">
        <v>4398</v>
      </c>
      <c r="F239" s="3192" t="s">
        <v>4417</v>
      </c>
      <c r="I239" s="3198">
        <v>237</v>
      </c>
      <c r="J239" s="3179" t="s">
        <v>5422</v>
      </c>
      <c r="K239" s="3179" t="s">
        <v>4410</v>
      </c>
      <c r="L239" s="3179">
        <v>34.487110999999999</v>
      </c>
    </row>
    <row r="240" spans="1:12">
      <c r="A240" s="3191">
        <v>238</v>
      </c>
      <c r="B240" s="3191" t="s">
        <v>4410</v>
      </c>
      <c r="C240" s="3193" t="s">
        <v>4782</v>
      </c>
      <c r="D240" s="3193">
        <v>32.57</v>
      </c>
      <c r="E240" s="3192" t="s">
        <v>4412</v>
      </c>
      <c r="F240" s="3192" t="s">
        <v>4417</v>
      </c>
      <c r="I240" s="3198">
        <v>238</v>
      </c>
      <c r="J240" s="3179" t="s">
        <v>5423</v>
      </c>
      <c r="K240" s="3179" t="s">
        <v>4410</v>
      </c>
      <c r="L240" s="3179">
        <v>1.740612</v>
      </c>
    </row>
    <row r="241" spans="1:12">
      <c r="A241" s="3191">
        <v>239</v>
      </c>
      <c r="B241" s="3191" t="s">
        <v>4410</v>
      </c>
      <c r="C241" s="3193" t="s">
        <v>4783</v>
      </c>
      <c r="D241" s="3193">
        <v>64.03</v>
      </c>
      <c r="E241" s="3192" t="s">
        <v>4784</v>
      </c>
      <c r="F241" s="3192" t="s">
        <v>4547</v>
      </c>
      <c r="I241" s="3198">
        <v>239</v>
      </c>
      <c r="J241" s="3179" t="s">
        <v>5424</v>
      </c>
      <c r="K241" s="3179" t="s">
        <v>4410</v>
      </c>
      <c r="L241" s="3179">
        <v>27.295508999999999</v>
      </c>
    </row>
    <row r="242" spans="1:12">
      <c r="A242" s="3191">
        <v>240</v>
      </c>
      <c r="B242" s="3191" t="s">
        <v>4410</v>
      </c>
      <c r="C242" s="3193" t="s">
        <v>4785</v>
      </c>
      <c r="D242" s="3193">
        <v>25.9</v>
      </c>
      <c r="E242" s="3192" t="s">
        <v>4398</v>
      </c>
      <c r="F242" s="3192" t="s">
        <v>4721</v>
      </c>
      <c r="I242" s="3198">
        <v>240</v>
      </c>
      <c r="J242" s="3179" t="s">
        <v>5425</v>
      </c>
      <c r="K242" s="3179" t="s">
        <v>4410</v>
      </c>
      <c r="L242" s="3179">
        <v>1.7694000000000001</v>
      </c>
    </row>
    <row r="243" spans="1:12">
      <c r="A243" s="3191">
        <v>241</v>
      </c>
      <c r="B243" s="3191" t="s">
        <v>4410</v>
      </c>
      <c r="C243" s="3193" t="s">
        <v>4786</v>
      </c>
      <c r="D243" s="3193">
        <v>119.77</v>
      </c>
      <c r="E243" s="3192" t="s">
        <v>4398</v>
      </c>
      <c r="F243" s="3192" t="s">
        <v>4417</v>
      </c>
      <c r="I243" s="3198">
        <v>241</v>
      </c>
      <c r="J243" s="3179" t="s">
        <v>5426</v>
      </c>
      <c r="K243" s="3179" t="s">
        <v>4410</v>
      </c>
      <c r="L243" s="3179">
        <v>45.659326999999998</v>
      </c>
    </row>
    <row r="244" spans="1:12">
      <c r="A244" s="3191">
        <v>242</v>
      </c>
      <c r="B244" s="3191" t="s">
        <v>4410</v>
      </c>
      <c r="C244" s="3193" t="s">
        <v>4787</v>
      </c>
      <c r="D244" s="3193">
        <v>144.53</v>
      </c>
      <c r="E244" s="3192" t="s">
        <v>4398</v>
      </c>
      <c r="F244" s="3192" t="s">
        <v>4417</v>
      </c>
      <c r="I244" s="3198">
        <v>242</v>
      </c>
      <c r="J244" s="3179" t="s">
        <v>5427</v>
      </c>
      <c r="K244" s="3179" t="s">
        <v>4410</v>
      </c>
      <c r="L244" s="3179">
        <v>4.1184019999999997</v>
      </c>
    </row>
    <row r="245" spans="1:12">
      <c r="A245" s="3191">
        <v>243</v>
      </c>
      <c r="B245" s="3191" t="s">
        <v>4410</v>
      </c>
      <c r="C245" s="3193" t="s">
        <v>4788</v>
      </c>
      <c r="D245" s="3193">
        <v>196.85</v>
      </c>
      <c r="E245" s="3192" t="s">
        <v>4789</v>
      </c>
      <c r="F245" s="3192" t="s">
        <v>4573</v>
      </c>
      <c r="I245" s="3198">
        <v>243</v>
      </c>
      <c r="J245" s="3179" t="s">
        <v>5428</v>
      </c>
      <c r="K245" s="3179" t="s">
        <v>4410</v>
      </c>
      <c r="L245" s="3179">
        <v>44.923191000000003</v>
      </c>
    </row>
    <row r="246" spans="1:12">
      <c r="A246" s="3191">
        <v>244</v>
      </c>
      <c r="B246" s="3191" t="s">
        <v>4410</v>
      </c>
      <c r="C246" s="3193" t="s">
        <v>4790</v>
      </c>
      <c r="D246" s="3193">
        <v>114.51</v>
      </c>
      <c r="E246" s="3192" t="s">
        <v>4405</v>
      </c>
      <c r="F246" s="3192" t="s">
        <v>4791</v>
      </c>
      <c r="I246" s="3198">
        <v>244</v>
      </c>
      <c r="J246" s="3179" t="s">
        <v>5429</v>
      </c>
      <c r="K246" s="3179" t="s">
        <v>4410</v>
      </c>
      <c r="L246" s="3179">
        <v>4.4900760000000002</v>
      </c>
    </row>
    <row r="247" spans="1:12">
      <c r="A247" s="3191">
        <v>245</v>
      </c>
      <c r="B247" s="3191" t="s">
        <v>4410</v>
      </c>
      <c r="C247" s="3193" t="s">
        <v>4792</v>
      </c>
      <c r="D247" s="3193">
        <v>302.86</v>
      </c>
      <c r="E247" s="3192" t="s">
        <v>4398</v>
      </c>
      <c r="F247" s="3192" t="s">
        <v>4430</v>
      </c>
      <c r="I247" s="3198">
        <v>245</v>
      </c>
      <c r="J247" s="3179" t="s">
        <v>5430</v>
      </c>
      <c r="K247" s="3179" t="s">
        <v>4410</v>
      </c>
      <c r="L247" s="3179">
        <v>102.657748</v>
      </c>
    </row>
    <row r="248" spans="1:12">
      <c r="A248" s="3191">
        <v>246</v>
      </c>
      <c r="B248" s="3191" t="s">
        <v>4410</v>
      </c>
      <c r="C248" s="3193" t="s">
        <v>4793</v>
      </c>
      <c r="D248" s="3193">
        <v>27.17</v>
      </c>
      <c r="E248" s="3192" t="s">
        <v>4794</v>
      </c>
      <c r="F248" s="3192" t="s">
        <v>4795</v>
      </c>
      <c r="I248" s="3198">
        <v>246</v>
      </c>
      <c r="J248" s="3179" t="s">
        <v>5431</v>
      </c>
      <c r="K248" s="3179" t="s">
        <v>4410</v>
      </c>
      <c r="L248" s="3179">
        <v>18.611708</v>
      </c>
    </row>
    <row r="249" spans="1:12">
      <c r="A249" s="3191">
        <v>247</v>
      </c>
      <c r="B249" s="3191" t="s">
        <v>4410</v>
      </c>
      <c r="C249" s="3193" t="s">
        <v>4796</v>
      </c>
      <c r="D249" s="3193">
        <v>104.98</v>
      </c>
      <c r="E249" s="3192" t="s">
        <v>4412</v>
      </c>
      <c r="F249" s="3192" t="s">
        <v>4417</v>
      </c>
      <c r="I249" s="3198">
        <v>247</v>
      </c>
      <c r="J249" s="3179" t="s">
        <v>5432</v>
      </c>
      <c r="K249" s="3179" t="s">
        <v>4410</v>
      </c>
      <c r="L249" s="3179">
        <v>30.012239000000001</v>
      </c>
    </row>
    <row r="250" spans="1:12">
      <c r="A250" s="3191">
        <v>248</v>
      </c>
      <c r="B250" s="3191" t="s">
        <v>4410</v>
      </c>
      <c r="C250" s="3193" t="s">
        <v>4797</v>
      </c>
      <c r="D250" s="3193">
        <v>122.95</v>
      </c>
      <c r="E250" s="3192" t="s">
        <v>4798</v>
      </c>
      <c r="F250" s="3192" t="s">
        <v>4500</v>
      </c>
      <c r="I250" s="3198">
        <v>248</v>
      </c>
      <c r="J250" s="3179" t="s">
        <v>5433</v>
      </c>
      <c r="K250" s="3179" t="s">
        <v>4410</v>
      </c>
      <c r="L250" s="3179">
        <v>28.278428999999999</v>
      </c>
    </row>
    <row r="251" spans="1:12">
      <c r="A251" s="3191">
        <v>249</v>
      </c>
      <c r="B251" s="3191" t="s">
        <v>4410</v>
      </c>
      <c r="C251" s="3193" t="s">
        <v>4799</v>
      </c>
      <c r="D251" s="3193">
        <v>113.01</v>
      </c>
      <c r="E251" s="3192" t="s">
        <v>4398</v>
      </c>
      <c r="F251" s="3192" t="s">
        <v>4417</v>
      </c>
      <c r="I251" s="3198">
        <v>249</v>
      </c>
      <c r="J251" s="3179" t="s">
        <v>5434</v>
      </c>
      <c r="K251" s="3179" t="s">
        <v>4410</v>
      </c>
      <c r="L251" s="3179">
        <v>38.945732999999997</v>
      </c>
    </row>
    <row r="252" spans="1:12">
      <c r="A252" s="3191">
        <v>250</v>
      </c>
      <c r="B252" s="3191" t="s">
        <v>4410</v>
      </c>
      <c r="C252" s="3193" t="s">
        <v>4800</v>
      </c>
      <c r="D252" s="3193">
        <v>77.38</v>
      </c>
      <c r="E252" s="3192" t="s">
        <v>4801</v>
      </c>
      <c r="F252" s="3192" t="s">
        <v>4802</v>
      </c>
      <c r="I252" s="3198">
        <v>250</v>
      </c>
      <c r="J252" s="3179" t="s">
        <v>5435</v>
      </c>
      <c r="K252" s="3179" t="s">
        <v>4410</v>
      </c>
      <c r="L252" s="3179">
        <v>78.043047999999999</v>
      </c>
    </row>
    <row r="253" spans="1:12">
      <c r="A253" s="3191">
        <v>251</v>
      </c>
      <c r="B253" s="3191" t="s">
        <v>4410</v>
      </c>
      <c r="C253" s="3193" t="s">
        <v>4803</v>
      </c>
      <c r="D253" s="3193">
        <v>91.83</v>
      </c>
      <c r="E253" s="3192" t="s">
        <v>4398</v>
      </c>
      <c r="F253" s="3192" t="s">
        <v>4417</v>
      </c>
      <c r="I253" s="3198">
        <v>251</v>
      </c>
      <c r="J253" s="3179" t="s">
        <v>5436</v>
      </c>
      <c r="K253" s="3179" t="s">
        <v>4410</v>
      </c>
      <c r="L253" s="3179">
        <v>26.868272000000001</v>
      </c>
    </row>
    <row r="254" spans="1:12">
      <c r="A254" s="3191">
        <v>252</v>
      </c>
      <c r="B254" s="3191" t="s">
        <v>4410</v>
      </c>
      <c r="C254" s="3193" t="s">
        <v>4804</v>
      </c>
      <c r="D254" s="3193">
        <v>767.99</v>
      </c>
      <c r="E254" s="3192" t="s">
        <v>4398</v>
      </c>
      <c r="F254" s="3192" t="s">
        <v>4623</v>
      </c>
      <c r="I254" s="3198">
        <v>252</v>
      </c>
      <c r="J254" s="3179" t="s">
        <v>5437</v>
      </c>
      <c r="K254" s="3179" t="s">
        <v>4410</v>
      </c>
      <c r="L254" s="3179">
        <v>92.274730000000005</v>
      </c>
    </row>
    <row r="255" spans="1:12">
      <c r="A255" s="3191">
        <v>253</v>
      </c>
      <c r="B255" s="3191" t="s">
        <v>4410</v>
      </c>
      <c r="C255" s="3193" t="s">
        <v>4805</v>
      </c>
      <c r="D255" s="3193">
        <v>307.73</v>
      </c>
      <c r="E255" s="3192" t="s">
        <v>4398</v>
      </c>
      <c r="F255" s="3192" t="s">
        <v>4420</v>
      </c>
      <c r="I255" s="3198">
        <v>253</v>
      </c>
      <c r="J255" s="3179" t="s">
        <v>5438</v>
      </c>
      <c r="K255" s="3179" t="s">
        <v>4410</v>
      </c>
      <c r="L255" s="3179">
        <v>63.258451000000001</v>
      </c>
    </row>
    <row r="256" spans="1:12">
      <c r="A256" s="3191">
        <v>254</v>
      </c>
      <c r="B256" s="3191" t="s">
        <v>4410</v>
      </c>
      <c r="C256" s="3193" t="s">
        <v>4806</v>
      </c>
      <c r="D256" s="3193">
        <v>142.80000000000001</v>
      </c>
      <c r="E256" s="3192" t="s">
        <v>4807</v>
      </c>
      <c r="F256" s="3192" t="s">
        <v>4808</v>
      </c>
      <c r="I256" s="3198">
        <v>254</v>
      </c>
      <c r="J256" s="3179" t="s">
        <v>5439</v>
      </c>
      <c r="K256" s="3179" t="s">
        <v>4410</v>
      </c>
      <c r="L256" s="3179">
        <v>51.754790999999997</v>
      </c>
    </row>
    <row r="257" spans="1:12">
      <c r="A257" s="3191">
        <v>255</v>
      </c>
      <c r="B257" s="3191" t="s">
        <v>4410</v>
      </c>
      <c r="C257" s="3193" t="s">
        <v>4809</v>
      </c>
      <c r="D257" s="3193">
        <v>43.7</v>
      </c>
      <c r="E257" s="3192" t="s">
        <v>4810</v>
      </c>
      <c r="F257" s="3192" t="s">
        <v>4662</v>
      </c>
      <c r="I257" s="3198">
        <v>255</v>
      </c>
      <c r="J257" s="3179" t="s">
        <v>5440</v>
      </c>
      <c r="K257" s="3179" t="s">
        <v>4410</v>
      </c>
      <c r="L257" s="3179">
        <v>12.445339000000001</v>
      </c>
    </row>
    <row r="258" spans="1:12">
      <c r="A258" s="3191">
        <v>256</v>
      </c>
      <c r="B258" s="3191" t="s">
        <v>4410</v>
      </c>
      <c r="C258" s="3193" t="s">
        <v>4811</v>
      </c>
      <c r="D258" s="3193">
        <v>82.08</v>
      </c>
      <c r="E258" s="3192" t="s">
        <v>4398</v>
      </c>
      <c r="F258" s="3192" t="s">
        <v>4417</v>
      </c>
      <c r="I258" s="3198">
        <v>256</v>
      </c>
      <c r="J258" s="3179" t="s">
        <v>5441</v>
      </c>
      <c r="K258" s="3179" t="s">
        <v>4410</v>
      </c>
      <c r="L258" s="3179">
        <v>32.386136</v>
      </c>
    </row>
    <row r="259" spans="1:12">
      <c r="A259" s="3191">
        <v>257</v>
      </c>
      <c r="B259" s="3191" t="s">
        <v>4410</v>
      </c>
      <c r="C259" s="3193" t="s">
        <v>4812</v>
      </c>
      <c r="D259" s="3193">
        <v>56.41</v>
      </c>
      <c r="E259" s="3192" t="s">
        <v>4398</v>
      </c>
      <c r="F259" s="3192" t="s">
        <v>4464</v>
      </c>
      <c r="I259" s="3198">
        <v>257</v>
      </c>
      <c r="J259" s="3179" t="s">
        <v>5442</v>
      </c>
      <c r="K259" s="3179" t="s">
        <v>4410</v>
      </c>
      <c r="L259" s="3179">
        <v>3.3881899999999998</v>
      </c>
    </row>
    <row r="260" spans="1:12">
      <c r="A260" s="3191">
        <v>258</v>
      </c>
      <c r="B260" s="3191" t="s">
        <v>4410</v>
      </c>
      <c r="C260" s="3193" t="s">
        <v>4813</v>
      </c>
      <c r="D260" s="3193">
        <v>463.85</v>
      </c>
      <c r="E260" s="3192" t="s">
        <v>4814</v>
      </c>
      <c r="F260" s="3192" t="s">
        <v>4815</v>
      </c>
      <c r="I260" s="3198">
        <v>258</v>
      </c>
      <c r="J260" s="3179" t="s">
        <v>5443</v>
      </c>
      <c r="K260" s="3179" t="s">
        <v>4410</v>
      </c>
      <c r="L260" s="3179">
        <v>43.340466999999997</v>
      </c>
    </row>
    <row r="261" spans="1:12">
      <c r="A261" s="3191">
        <v>259</v>
      </c>
      <c r="B261" s="3191" t="s">
        <v>4410</v>
      </c>
      <c r="C261" s="3193" t="s">
        <v>4816</v>
      </c>
      <c r="D261" s="3193">
        <v>154.29</v>
      </c>
      <c r="E261" s="3192" t="s">
        <v>4398</v>
      </c>
      <c r="F261" s="3192" t="s">
        <v>4636</v>
      </c>
      <c r="I261" s="3198">
        <v>259</v>
      </c>
      <c r="J261" s="3179" t="s">
        <v>5444</v>
      </c>
      <c r="K261" s="3179" t="s">
        <v>4410</v>
      </c>
      <c r="L261" s="3179">
        <v>54.375186999999997</v>
      </c>
    </row>
    <row r="262" spans="1:12">
      <c r="A262" s="3191">
        <v>260</v>
      </c>
      <c r="B262" s="3191" t="s">
        <v>4410</v>
      </c>
      <c r="C262" s="3193" t="s">
        <v>4817</v>
      </c>
      <c r="D262" s="3193">
        <v>118.73</v>
      </c>
      <c r="E262" s="3192" t="s">
        <v>4398</v>
      </c>
      <c r="F262" s="3192" t="s">
        <v>4417</v>
      </c>
      <c r="I262" s="3198">
        <v>260</v>
      </c>
      <c r="J262" s="3179" t="s">
        <v>5445</v>
      </c>
      <c r="K262" s="3179" t="s">
        <v>4410</v>
      </c>
      <c r="L262" s="3179">
        <v>4.8091999999999997</v>
      </c>
    </row>
    <row r="263" spans="1:12">
      <c r="A263" s="3191">
        <v>261</v>
      </c>
      <c r="B263" s="3191" t="s">
        <v>4410</v>
      </c>
      <c r="C263" s="3193" t="s">
        <v>4818</v>
      </c>
      <c r="D263" s="3193">
        <v>396.23</v>
      </c>
      <c r="E263" s="3192" t="s">
        <v>4819</v>
      </c>
      <c r="F263" s="3192" t="s">
        <v>4820</v>
      </c>
      <c r="I263" s="3198">
        <v>261</v>
      </c>
      <c r="J263" s="3179" t="s">
        <v>5446</v>
      </c>
      <c r="K263" s="3179" t="s">
        <v>4410</v>
      </c>
      <c r="L263" s="3179">
        <v>56.167216000000003</v>
      </c>
    </row>
    <row r="264" spans="1:12">
      <c r="A264" s="3191">
        <v>262</v>
      </c>
      <c r="B264" s="3191" t="s">
        <v>4410</v>
      </c>
      <c r="C264" s="3193" t="s">
        <v>4821</v>
      </c>
      <c r="D264" s="3193">
        <v>20</v>
      </c>
      <c r="E264" s="3192" t="s">
        <v>4822</v>
      </c>
      <c r="F264" s="3192" t="s">
        <v>4823</v>
      </c>
      <c r="I264" s="3198">
        <v>262</v>
      </c>
      <c r="J264" s="3179" t="s">
        <v>5447</v>
      </c>
      <c r="K264" s="3179" t="s">
        <v>4410</v>
      </c>
      <c r="L264" s="3179">
        <v>2.8251620000000002</v>
      </c>
    </row>
    <row r="265" spans="1:12">
      <c r="A265" s="3191">
        <v>263</v>
      </c>
      <c r="B265" s="3191" t="s">
        <v>4410</v>
      </c>
      <c r="C265" s="3193" t="s">
        <v>4824</v>
      </c>
      <c r="D265" s="3193">
        <v>19.579999999999998</v>
      </c>
      <c r="E265" s="3192" t="s">
        <v>4825</v>
      </c>
      <c r="F265" s="3192" t="s">
        <v>4826</v>
      </c>
      <c r="I265" s="3198">
        <v>263</v>
      </c>
      <c r="J265" s="3179" t="s">
        <v>5448</v>
      </c>
      <c r="K265" s="3179" t="s">
        <v>4410</v>
      </c>
      <c r="L265" s="3179">
        <v>4.8949999999999996</v>
      </c>
    </row>
    <row r="266" spans="1:12">
      <c r="A266" s="3191">
        <v>264</v>
      </c>
      <c r="B266" s="3191" t="s">
        <v>4410</v>
      </c>
      <c r="C266" s="3193" t="s">
        <v>4422</v>
      </c>
      <c r="D266" s="3193">
        <v>37.46</v>
      </c>
      <c r="E266" s="3192" t="s">
        <v>4827</v>
      </c>
      <c r="F266" s="3192" t="s">
        <v>4442</v>
      </c>
      <c r="I266" s="3198">
        <v>264</v>
      </c>
      <c r="J266" s="3179" t="s">
        <v>5449</v>
      </c>
      <c r="K266" s="3179" t="s">
        <v>4410</v>
      </c>
      <c r="L266" s="3179">
        <v>7.8758359999999996</v>
      </c>
    </row>
    <row r="267" spans="1:12">
      <c r="A267" s="3191">
        <v>265</v>
      </c>
      <c r="B267" s="3191" t="s">
        <v>4410</v>
      </c>
      <c r="C267" s="3193" t="s">
        <v>4828</v>
      </c>
      <c r="D267" s="3193">
        <v>34.04</v>
      </c>
      <c r="E267" s="3192" t="s">
        <v>4829</v>
      </c>
      <c r="F267" s="3192" t="s">
        <v>4830</v>
      </c>
      <c r="I267" s="3198">
        <v>265</v>
      </c>
      <c r="J267" s="3179" t="s">
        <v>5450</v>
      </c>
      <c r="K267" s="3179" t="s">
        <v>4410</v>
      </c>
      <c r="L267" s="3179">
        <v>4.4127999999999998</v>
      </c>
    </row>
    <row r="268" spans="1:12">
      <c r="A268" s="3191">
        <v>266</v>
      </c>
      <c r="B268" s="3191" t="s">
        <v>4410</v>
      </c>
      <c r="C268" s="3193" t="s">
        <v>4831</v>
      </c>
      <c r="D268" s="3193">
        <v>25.75</v>
      </c>
      <c r="E268" s="3192" t="s">
        <v>4832</v>
      </c>
      <c r="F268" s="3192" t="s">
        <v>4833</v>
      </c>
      <c r="I268" s="3198">
        <v>266</v>
      </c>
      <c r="J268" s="3179" t="s">
        <v>5451</v>
      </c>
      <c r="K268" s="3179" t="s">
        <v>4410</v>
      </c>
      <c r="L268" s="3179">
        <v>6.3015739999999996</v>
      </c>
    </row>
    <row r="269" spans="1:12">
      <c r="A269" s="3191">
        <v>267</v>
      </c>
      <c r="B269" s="3191" t="s">
        <v>4410</v>
      </c>
      <c r="C269" s="3193" t="s">
        <v>4834</v>
      </c>
      <c r="D269" s="3193">
        <v>133.51</v>
      </c>
      <c r="E269" s="3192" t="s">
        <v>4835</v>
      </c>
      <c r="F269" s="3192" t="s">
        <v>4836</v>
      </c>
      <c r="I269" s="3198">
        <v>267</v>
      </c>
      <c r="J269" s="3179" t="s">
        <v>5452</v>
      </c>
      <c r="K269" s="3179" t="s">
        <v>4410</v>
      </c>
      <c r="L269" s="3179">
        <v>12.401612</v>
      </c>
    </row>
    <row r="270" spans="1:12">
      <c r="A270" s="3191">
        <v>268</v>
      </c>
      <c r="B270" s="3191" t="s">
        <v>4410</v>
      </c>
      <c r="C270" s="3193" t="s">
        <v>4837</v>
      </c>
      <c r="D270" s="3193">
        <v>44.2</v>
      </c>
      <c r="E270" s="3192" t="s">
        <v>4838</v>
      </c>
      <c r="F270" s="3192" t="s">
        <v>4529</v>
      </c>
      <c r="I270" s="3198">
        <v>268</v>
      </c>
      <c r="J270" s="3179" t="s">
        <v>5453</v>
      </c>
      <c r="K270" s="3179" t="s">
        <v>4410</v>
      </c>
      <c r="L270" s="3179">
        <v>5.3604089999999998</v>
      </c>
    </row>
    <row r="271" spans="1:12">
      <c r="A271" s="3191">
        <v>269</v>
      </c>
      <c r="B271" s="3191" t="s">
        <v>4410</v>
      </c>
      <c r="C271" s="3193" t="s">
        <v>4839</v>
      </c>
      <c r="D271" s="3193">
        <v>15.81</v>
      </c>
      <c r="E271" s="3192" t="s">
        <v>4838</v>
      </c>
      <c r="F271" s="3192" t="s">
        <v>4448</v>
      </c>
      <c r="I271" s="3198">
        <v>269</v>
      </c>
      <c r="J271" s="3179" t="s">
        <v>5454</v>
      </c>
      <c r="K271" s="3179" t="s">
        <v>4410</v>
      </c>
      <c r="L271" s="3179">
        <v>3.0132300000000001</v>
      </c>
    </row>
    <row r="272" spans="1:12">
      <c r="A272" s="3191">
        <v>270</v>
      </c>
      <c r="B272" s="3191" t="s">
        <v>4410</v>
      </c>
      <c r="C272" s="3193" t="s">
        <v>4840</v>
      </c>
      <c r="D272" s="3193">
        <v>41</v>
      </c>
      <c r="E272" s="3192" t="s">
        <v>4841</v>
      </c>
      <c r="F272" s="3192" t="s">
        <v>4842</v>
      </c>
      <c r="I272" s="3198">
        <v>270</v>
      </c>
      <c r="J272" s="3179" t="s">
        <v>5455</v>
      </c>
      <c r="K272" s="3179" t="s">
        <v>4410</v>
      </c>
      <c r="L272" s="3179">
        <v>2.3333020000000002</v>
      </c>
    </row>
    <row r="273" spans="1:12">
      <c r="A273" s="3191">
        <v>271</v>
      </c>
      <c r="B273" s="3191" t="s">
        <v>4410</v>
      </c>
      <c r="C273" s="3193" t="s">
        <v>4414</v>
      </c>
      <c r="D273" s="3193">
        <v>64.599999999999994</v>
      </c>
      <c r="E273" s="3192" t="s">
        <v>4827</v>
      </c>
      <c r="F273" s="3192" t="s">
        <v>4417</v>
      </c>
      <c r="I273" s="3198">
        <v>271</v>
      </c>
      <c r="J273" s="3179" t="s">
        <v>5456</v>
      </c>
      <c r="K273" s="3179" t="s">
        <v>4410</v>
      </c>
      <c r="L273" s="3179">
        <v>1.250038</v>
      </c>
    </row>
    <row r="274" spans="1:12">
      <c r="A274" s="3191">
        <v>272</v>
      </c>
      <c r="B274" s="3191" t="s">
        <v>4410</v>
      </c>
      <c r="C274" s="3193" t="s">
        <v>4843</v>
      </c>
      <c r="D274" s="3193">
        <v>12.95</v>
      </c>
      <c r="E274" s="3192" t="s">
        <v>4844</v>
      </c>
      <c r="F274" s="3192" t="s">
        <v>4512</v>
      </c>
      <c r="I274" s="3198">
        <v>272</v>
      </c>
      <c r="J274" s="3179" t="s">
        <v>5457</v>
      </c>
      <c r="K274" s="3179" t="s">
        <v>4410</v>
      </c>
      <c r="L274" s="3179">
        <v>0.70736100000000002</v>
      </c>
    </row>
    <row r="275" spans="1:12">
      <c r="A275" s="3191">
        <v>273</v>
      </c>
      <c r="B275" s="3191" t="s">
        <v>4410</v>
      </c>
      <c r="C275" s="3193" t="s">
        <v>4845</v>
      </c>
      <c r="D275" s="3193">
        <v>225.72</v>
      </c>
      <c r="E275" s="3192" t="s">
        <v>4398</v>
      </c>
      <c r="F275" s="3192" t="s">
        <v>4846</v>
      </c>
      <c r="I275" s="3198">
        <v>273</v>
      </c>
      <c r="J275" s="3183" t="s">
        <v>5458</v>
      </c>
      <c r="K275" s="3179" t="s">
        <v>4410</v>
      </c>
      <c r="L275" s="3179">
        <v>27.031980000000001</v>
      </c>
    </row>
    <row r="276" spans="1:12">
      <c r="A276" s="3191">
        <v>274</v>
      </c>
      <c r="B276" s="3191" t="s">
        <v>4410</v>
      </c>
      <c r="C276" s="3193" t="s">
        <v>4847</v>
      </c>
      <c r="D276" s="3193">
        <v>70.23</v>
      </c>
      <c r="E276" s="3192" t="s">
        <v>4417</v>
      </c>
      <c r="F276" s="3192" t="s">
        <v>4559</v>
      </c>
      <c r="I276" s="3198">
        <v>274</v>
      </c>
      <c r="J276" s="3179" t="s">
        <v>5459</v>
      </c>
      <c r="K276" s="3179" t="s">
        <v>4410</v>
      </c>
      <c r="L276" s="3179">
        <v>4.1935169999999999</v>
      </c>
    </row>
    <row r="277" spans="1:12">
      <c r="A277" s="3191">
        <v>275</v>
      </c>
      <c r="B277" s="3191" t="s">
        <v>4410</v>
      </c>
      <c r="C277" s="3193" t="s">
        <v>4848</v>
      </c>
      <c r="D277" s="3193">
        <v>25.88</v>
      </c>
      <c r="E277" s="3192" t="s">
        <v>4417</v>
      </c>
      <c r="F277" s="3192" t="s">
        <v>4430</v>
      </c>
      <c r="I277" s="3198">
        <v>275</v>
      </c>
      <c r="J277" s="3179" t="s">
        <v>5460</v>
      </c>
      <c r="K277" s="3179" t="s">
        <v>4410</v>
      </c>
      <c r="L277" s="3179">
        <v>2.5856159999999999</v>
      </c>
    </row>
    <row r="278" spans="1:12">
      <c r="A278" s="3191">
        <v>276</v>
      </c>
      <c r="B278" s="3191" t="s">
        <v>4410</v>
      </c>
      <c r="C278" s="3193" t="s">
        <v>4849</v>
      </c>
      <c r="D278" s="3193">
        <v>146.49</v>
      </c>
      <c r="E278" s="3192" t="s">
        <v>4417</v>
      </c>
      <c r="F278" s="3192" t="s">
        <v>4559</v>
      </c>
      <c r="I278" s="3198">
        <v>276</v>
      </c>
      <c r="J278" s="3179" t="s">
        <v>5461</v>
      </c>
      <c r="K278" s="3179" t="s">
        <v>4410</v>
      </c>
      <c r="L278" s="3179">
        <v>8.2379420000000003</v>
      </c>
    </row>
    <row r="279" spans="1:12">
      <c r="A279" s="3191">
        <v>277</v>
      </c>
      <c r="B279" s="3191" t="s">
        <v>4410</v>
      </c>
      <c r="C279" s="3193" t="s">
        <v>4850</v>
      </c>
      <c r="D279" s="3193">
        <v>53.86</v>
      </c>
      <c r="E279" s="3192" t="s">
        <v>4851</v>
      </c>
      <c r="F279" s="3192" t="s">
        <v>4554</v>
      </c>
      <c r="I279" s="3198">
        <v>277</v>
      </c>
      <c r="J279" s="3179" t="s">
        <v>5462</v>
      </c>
      <c r="K279" s="3179" t="s">
        <v>4410</v>
      </c>
      <c r="L279" s="3179">
        <v>7.856471</v>
      </c>
    </row>
    <row r="280" spans="1:12">
      <c r="A280" s="3191">
        <v>278</v>
      </c>
      <c r="B280" s="3191" t="s">
        <v>4410</v>
      </c>
      <c r="C280" s="3193" t="s">
        <v>4852</v>
      </c>
      <c r="D280" s="3193">
        <v>26.4</v>
      </c>
      <c r="E280" s="3192" t="s">
        <v>4825</v>
      </c>
      <c r="F280" s="3192" t="s">
        <v>4826</v>
      </c>
      <c r="I280" s="3198">
        <v>278</v>
      </c>
      <c r="J280" s="3179" t="s">
        <v>5463</v>
      </c>
      <c r="K280" s="3179" t="s">
        <v>4410</v>
      </c>
      <c r="L280" s="3179">
        <v>4.7279999999999998</v>
      </c>
    </row>
    <row r="281" spans="1:12">
      <c r="A281" s="3191">
        <v>279</v>
      </c>
      <c r="B281" s="3191" t="s">
        <v>4410</v>
      </c>
      <c r="C281" s="3193" t="s">
        <v>4845</v>
      </c>
      <c r="D281" s="3193">
        <v>225.72</v>
      </c>
      <c r="E281" s="3192" t="s">
        <v>4827</v>
      </c>
      <c r="F281" s="3192" t="s">
        <v>4853</v>
      </c>
      <c r="I281" s="3198">
        <v>279</v>
      </c>
      <c r="J281" s="3179" t="s">
        <v>5464</v>
      </c>
      <c r="K281" s="3179" t="s">
        <v>4410</v>
      </c>
      <c r="L281" s="3179">
        <v>15.916325000000001</v>
      </c>
    </row>
    <row r="282" spans="1:12">
      <c r="A282" s="3191">
        <v>280</v>
      </c>
      <c r="B282" s="3191" t="s">
        <v>4410</v>
      </c>
      <c r="C282" s="3193" t="s">
        <v>4654</v>
      </c>
      <c r="D282" s="3193">
        <v>26.9</v>
      </c>
      <c r="E282" s="3192" t="s">
        <v>4854</v>
      </c>
      <c r="F282" s="3192" t="s">
        <v>4855</v>
      </c>
      <c r="I282" s="3198">
        <v>280</v>
      </c>
      <c r="J282" s="3179" t="s">
        <v>5465</v>
      </c>
      <c r="K282" s="3179" t="s">
        <v>4410</v>
      </c>
      <c r="L282" s="3179">
        <v>2.8311510000000002</v>
      </c>
    </row>
    <row r="283" spans="1:12">
      <c r="A283" s="3191">
        <v>281</v>
      </c>
      <c r="B283" s="3191" t="s">
        <v>4856</v>
      </c>
      <c r="C283" s="3193" t="s">
        <v>4816</v>
      </c>
      <c r="D283" s="3193">
        <v>11.58</v>
      </c>
      <c r="E283" s="3193" t="s">
        <v>4857</v>
      </c>
      <c r="F283" s="3193" t="s">
        <v>4858</v>
      </c>
      <c r="I283" s="3198">
        <v>281</v>
      </c>
      <c r="J283" s="3179" t="s">
        <v>5466</v>
      </c>
      <c r="K283" s="3179" t="s">
        <v>4856</v>
      </c>
      <c r="L283" s="3179">
        <v>2.032149</v>
      </c>
    </row>
    <row r="284" spans="1:12">
      <c r="A284" s="3191">
        <v>282</v>
      </c>
      <c r="B284" s="3191" t="s">
        <v>4856</v>
      </c>
      <c r="C284" s="3193" t="s">
        <v>4859</v>
      </c>
      <c r="D284" s="3193">
        <v>10.02</v>
      </c>
      <c r="E284" s="3193" t="s">
        <v>4860</v>
      </c>
      <c r="F284" s="3193" t="s">
        <v>4695</v>
      </c>
      <c r="I284" s="3198">
        <v>282</v>
      </c>
      <c r="J284" s="3179" t="s">
        <v>5467</v>
      </c>
      <c r="K284" s="3179" t="s">
        <v>4856</v>
      </c>
      <c r="L284" s="3179">
        <v>0.47029399999999999</v>
      </c>
    </row>
    <row r="285" spans="1:12">
      <c r="A285" s="3191">
        <v>283</v>
      </c>
      <c r="B285" s="3191" t="s">
        <v>4856</v>
      </c>
      <c r="C285" s="3193" t="s">
        <v>4692</v>
      </c>
      <c r="D285" s="3193">
        <v>14.7</v>
      </c>
      <c r="E285" s="3193" t="s">
        <v>4861</v>
      </c>
      <c r="F285" s="3193" t="s">
        <v>4862</v>
      </c>
      <c r="I285" s="3198">
        <v>283</v>
      </c>
      <c r="J285" s="3179" t="s">
        <v>5468</v>
      </c>
      <c r="K285" s="3179" t="s">
        <v>4856</v>
      </c>
      <c r="L285" s="3179">
        <v>0.11812499999999999</v>
      </c>
    </row>
    <row r="286" spans="1:12">
      <c r="A286" s="3191">
        <v>284</v>
      </c>
      <c r="B286" s="3191" t="s">
        <v>4856</v>
      </c>
      <c r="C286" s="3193" t="s">
        <v>4602</v>
      </c>
      <c r="D286" s="3193">
        <v>12.9</v>
      </c>
      <c r="E286" s="3193" t="s">
        <v>4751</v>
      </c>
      <c r="F286" s="3193" t="s">
        <v>4541</v>
      </c>
      <c r="I286" s="3198">
        <v>284</v>
      </c>
      <c r="J286" s="3179" t="s">
        <v>5469</v>
      </c>
      <c r="K286" s="3179" t="s">
        <v>4856</v>
      </c>
      <c r="L286" s="3179">
        <v>1.2770999999999999</v>
      </c>
    </row>
    <row r="287" spans="1:12">
      <c r="A287" s="3191">
        <v>285</v>
      </c>
      <c r="B287" s="3191" t="s">
        <v>4856</v>
      </c>
      <c r="C287" s="3193" t="s">
        <v>4812</v>
      </c>
      <c r="D287" s="3193">
        <v>20.79</v>
      </c>
      <c r="E287" s="3193" t="s">
        <v>4825</v>
      </c>
      <c r="F287" s="3193" t="s">
        <v>4420</v>
      </c>
      <c r="I287" s="3198">
        <v>285</v>
      </c>
      <c r="J287" s="3179" t="s">
        <v>5470</v>
      </c>
      <c r="K287" s="3179" t="s">
        <v>4856</v>
      </c>
      <c r="L287" s="3179">
        <v>1.3721399999999999</v>
      </c>
    </row>
    <row r="288" spans="1:12">
      <c r="A288" s="3191">
        <v>286</v>
      </c>
      <c r="B288" s="3191" t="s">
        <v>4856</v>
      </c>
      <c r="C288" s="3193" t="s">
        <v>4753</v>
      </c>
      <c r="D288" s="3193">
        <v>10.02</v>
      </c>
      <c r="E288" s="3193" t="s">
        <v>4863</v>
      </c>
      <c r="F288" s="3193" t="s">
        <v>4417</v>
      </c>
      <c r="I288" s="3198">
        <v>286</v>
      </c>
      <c r="J288" s="3179" t="s">
        <v>5471</v>
      </c>
      <c r="K288" s="3179" t="s">
        <v>4856</v>
      </c>
      <c r="L288" s="3179">
        <v>0.77331799999999995</v>
      </c>
    </row>
    <row r="289" spans="1:12">
      <c r="A289" s="3191">
        <v>287</v>
      </c>
      <c r="B289" s="3191" t="s">
        <v>4856</v>
      </c>
      <c r="C289" s="3193" t="s">
        <v>4508</v>
      </c>
      <c r="D289" s="3193">
        <v>12.5</v>
      </c>
      <c r="E289" s="3193" t="s">
        <v>4864</v>
      </c>
      <c r="F289" s="3193" t="s">
        <v>4865</v>
      </c>
      <c r="I289" s="3198">
        <v>287</v>
      </c>
      <c r="J289" s="3179" t="s">
        <v>5472</v>
      </c>
      <c r="K289" s="3179" t="s">
        <v>4856</v>
      </c>
      <c r="L289" s="3179">
        <v>0.12096800000000001</v>
      </c>
    </row>
    <row r="290" spans="1:12">
      <c r="A290" s="3191">
        <v>288</v>
      </c>
      <c r="B290" s="3191" t="s">
        <v>4856</v>
      </c>
      <c r="C290" s="3193" t="s">
        <v>4571</v>
      </c>
      <c r="D290" s="3193">
        <v>15</v>
      </c>
      <c r="E290" s="3193" t="s">
        <v>4866</v>
      </c>
      <c r="F290" s="3193" t="s">
        <v>4867</v>
      </c>
      <c r="I290" s="3198">
        <v>288</v>
      </c>
      <c r="J290" s="3179" t="s">
        <v>5473</v>
      </c>
      <c r="K290" s="3179" t="s">
        <v>4856</v>
      </c>
      <c r="L290" s="3179">
        <v>1.4291130000000001</v>
      </c>
    </row>
    <row r="291" spans="1:12">
      <c r="A291" s="3191">
        <v>289</v>
      </c>
      <c r="B291" s="3191" t="s">
        <v>4856</v>
      </c>
      <c r="C291" s="3193" t="s">
        <v>4651</v>
      </c>
      <c r="D291" s="3193">
        <v>6.22</v>
      </c>
      <c r="E291" s="3193" t="s">
        <v>4868</v>
      </c>
      <c r="F291" s="3193" t="s">
        <v>4869</v>
      </c>
      <c r="I291" s="3198">
        <v>289</v>
      </c>
      <c r="J291" s="3179" t="s">
        <v>5474</v>
      </c>
      <c r="K291" s="3179" t="s">
        <v>4856</v>
      </c>
      <c r="L291" s="3179">
        <v>0.65683199999999997</v>
      </c>
    </row>
    <row r="292" spans="1:12">
      <c r="A292" s="3191">
        <v>290</v>
      </c>
      <c r="B292" s="3191" t="s">
        <v>4856</v>
      </c>
      <c r="C292" s="3193" t="s">
        <v>4800</v>
      </c>
      <c r="D292" s="3193">
        <v>33.94</v>
      </c>
      <c r="E292" s="3193" t="s">
        <v>4870</v>
      </c>
      <c r="F292" s="3193" t="s">
        <v>4871</v>
      </c>
      <c r="I292" s="3198">
        <v>290</v>
      </c>
      <c r="J292" s="3179" t="s">
        <v>5475</v>
      </c>
      <c r="K292" s="3179" t="s">
        <v>4856</v>
      </c>
      <c r="L292" s="3179">
        <v>4.0728</v>
      </c>
    </row>
    <row r="293" spans="1:12">
      <c r="A293" s="3191">
        <v>291</v>
      </c>
      <c r="B293" s="3191" t="s">
        <v>4856</v>
      </c>
      <c r="C293" s="3193" t="s">
        <v>4611</v>
      </c>
      <c r="D293" s="3193">
        <v>16.96</v>
      </c>
      <c r="E293" s="3193" t="s">
        <v>4872</v>
      </c>
      <c r="F293" s="3193" t="s">
        <v>4873</v>
      </c>
      <c r="I293" s="3198">
        <v>291</v>
      </c>
      <c r="J293" s="3179" t="s">
        <v>5476</v>
      </c>
      <c r="K293" s="3179" t="s">
        <v>4856</v>
      </c>
      <c r="L293" s="3179">
        <v>2.0220699999999998</v>
      </c>
    </row>
    <row r="294" spans="1:12">
      <c r="A294" s="3191">
        <v>292</v>
      </c>
      <c r="B294" s="3191" t="s">
        <v>4856</v>
      </c>
      <c r="C294" s="3193" t="s">
        <v>4592</v>
      </c>
      <c r="D294" s="3193">
        <v>10</v>
      </c>
      <c r="E294" s="3193" t="s">
        <v>4872</v>
      </c>
      <c r="F294" s="3193" t="s">
        <v>4873</v>
      </c>
      <c r="I294" s="3198">
        <v>292</v>
      </c>
      <c r="J294" s="3179" t="s">
        <v>5477</v>
      </c>
      <c r="K294" s="3179" t="s">
        <v>4856</v>
      </c>
      <c r="L294" s="3179">
        <v>1.192258</v>
      </c>
    </row>
    <row r="295" spans="1:12">
      <c r="A295" s="3191">
        <v>293</v>
      </c>
      <c r="B295" s="3191" t="s">
        <v>4856</v>
      </c>
      <c r="C295" s="3193" t="s">
        <v>4505</v>
      </c>
      <c r="D295" s="3193">
        <v>19.86</v>
      </c>
      <c r="E295" s="3193" t="s">
        <v>4506</v>
      </c>
      <c r="F295" s="3193" t="s">
        <v>4874</v>
      </c>
      <c r="I295" s="3198">
        <v>293</v>
      </c>
      <c r="J295" s="3179" t="s">
        <v>5478</v>
      </c>
      <c r="K295" s="3179" t="s">
        <v>4856</v>
      </c>
      <c r="L295" s="3179">
        <v>2.7406799999999998</v>
      </c>
    </row>
    <row r="296" spans="1:12">
      <c r="A296" s="3191">
        <v>294</v>
      </c>
      <c r="B296" s="3191" t="s">
        <v>4856</v>
      </c>
      <c r="C296" s="3193" t="s">
        <v>4508</v>
      </c>
      <c r="D296" s="3193">
        <v>12.5</v>
      </c>
      <c r="E296" s="3193" t="s">
        <v>4875</v>
      </c>
      <c r="F296" s="3193" t="s">
        <v>4876</v>
      </c>
      <c r="I296" s="3198">
        <v>294</v>
      </c>
      <c r="J296" s="3179" t="s">
        <v>5479</v>
      </c>
      <c r="K296" s="3179" t="s">
        <v>4856</v>
      </c>
      <c r="L296" s="3179">
        <v>1.662069</v>
      </c>
    </row>
    <row r="297" spans="1:12">
      <c r="A297" s="3191">
        <v>295</v>
      </c>
      <c r="B297" s="3191" t="s">
        <v>4856</v>
      </c>
      <c r="C297" s="3193" t="s">
        <v>4585</v>
      </c>
      <c r="D297" s="3193">
        <v>22.11</v>
      </c>
      <c r="E297" s="3193" t="s">
        <v>4877</v>
      </c>
      <c r="F297" s="3193" t="s">
        <v>4564</v>
      </c>
      <c r="I297" s="3198">
        <v>295</v>
      </c>
      <c r="J297" s="3179" t="s">
        <v>5480</v>
      </c>
      <c r="K297" s="3179" t="s">
        <v>4856</v>
      </c>
      <c r="L297" s="3179">
        <v>3.3828299999999998</v>
      </c>
    </row>
    <row r="298" spans="1:12">
      <c r="A298" s="3191">
        <v>296</v>
      </c>
      <c r="B298" s="3191" t="s">
        <v>4856</v>
      </c>
      <c r="C298" s="3193" t="s">
        <v>4588</v>
      </c>
      <c r="D298" s="3193">
        <v>13.5</v>
      </c>
      <c r="E298" s="3193" t="s">
        <v>4878</v>
      </c>
      <c r="F298" s="3193" t="s">
        <v>4879</v>
      </c>
      <c r="I298" s="3198">
        <v>296</v>
      </c>
      <c r="J298" s="3179" t="s">
        <v>5481</v>
      </c>
      <c r="K298" s="3179" t="s">
        <v>4856</v>
      </c>
      <c r="L298" s="3179">
        <v>1.8225</v>
      </c>
    </row>
    <row r="299" spans="1:12">
      <c r="A299" s="3191">
        <v>297</v>
      </c>
      <c r="B299" s="3191" t="s">
        <v>4856</v>
      </c>
      <c r="C299" s="3193" t="s">
        <v>4813</v>
      </c>
      <c r="D299" s="3193">
        <v>22.26</v>
      </c>
      <c r="E299" s="3193" t="s">
        <v>4878</v>
      </c>
      <c r="F299" s="3193" t="s">
        <v>4879</v>
      </c>
      <c r="I299" s="3198">
        <v>297</v>
      </c>
      <c r="J299" s="3179" t="s">
        <v>5482</v>
      </c>
      <c r="K299" s="3179" t="s">
        <v>4856</v>
      </c>
      <c r="L299" s="3179">
        <v>3.0051000000000001</v>
      </c>
    </row>
    <row r="300" spans="1:12">
      <c r="A300" s="3191">
        <v>298</v>
      </c>
      <c r="B300" s="3191" t="s">
        <v>4856</v>
      </c>
      <c r="C300" s="3193" t="s">
        <v>4578</v>
      </c>
      <c r="D300" s="3193">
        <v>22.26</v>
      </c>
      <c r="E300" s="3193" t="s">
        <v>4499</v>
      </c>
      <c r="F300" s="3193" t="s">
        <v>4552</v>
      </c>
      <c r="I300" s="3198">
        <v>298</v>
      </c>
      <c r="J300" s="3179" t="s">
        <v>5483</v>
      </c>
      <c r="K300" s="3179" t="s">
        <v>4856</v>
      </c>
      <c r="L300" s="3179">
        <v>3.10527</v>
      </c>
    </row>
    <row r="301" spans="1:12">
      <c r="A301" s="3191">
        <v>299</v>
      </c>
      <c r="B301" s="3191" t="s">
        <v>4856</v>
      </c>
      <c r="C301" s="3193" t="s">
        <v>4816</v>
      </c>
      <c r="D301" s="3193">
        <v>41.09</v>
      </c>
      <c r="E301" s="3193" t="s">
        <v>4880</v>
      </c>
      <c r="F301" s="3193" t="s">
        <v>4881</v>
      </c>
      <c r="I301" s="3198">
        <v>299</v>
      </c>
      <c r="J301" s="3179" t="s">
        <v>5484</v>
      </c>
      <c r="K301" s="3179" t="s">
        <v>4856</v>
      </c>
      <c r="L301" s="3179">
        <v>5.9416140000000004</v>
      </c>
    </row>
    <row r="302" spans="1:12">
      <c r="A302" s="3191">
        <v>300</v>
      </c>
      <c r="B302" s="3191" t="s">
        <v>4856</v>
      </c>
      <c r="C302" s="3193" t="s">
        <v>4882</v>
      </c>
      <c r="D302" s="3193">
        <v>8.32</v>
      </c>
      <c r="E302" s="3193" t="s">
        <v>4883</v>
      </c>
      <c r="F302" s="3193" t="s">
        <v>4884</v>
      </c>
      <c r="I302" s="3198">
        <v>300</v>
      </c>
      <c r="J302" s="3179" t="s">
        <v>5485</v>
      </c>
      <c r="K302" s="3179" t="s">
        <v>4856</v>
      </c>
      <c r="L302" s="3179">
        <v>0.186303</v>
      </c>
    </row>
    <row r="303" spans="1:12">
      <c r="A303" s="3191">
        <v>301</v>
      </c>
      <c r="B303" s="3191" t="s">
        <v>4856</v>
      </c>
      <c r="C303" s="3193" t="s">
        <v>4414</v>
      </c>
      <c r="D303" s="3193">
        <v>16.559999999999999</v>
      </c>
      <c r="E303" s="3193" t="s">
        <v>4751</v>
      </c>
      <c r="F303" s="3193" t="s">
        <v>4846</v>
      </c>
      <c r="I303" s="3198">
        <v>301</v>
      </c>
      <c r="J303" s="3179" t="s">
        <v>5486</v>
      </c>
      <c r="K303" s="3179" t="s">
        <v>4856</v>
      </c>
      <c r="L303" s="3179">
        <v>0.78454800000000002</v>
      </c>
    </row>
    <row r="304" spans="1:12">
      <c r="A304" s="3191">
        <v>302</v>
      </c>
      <c r="B304" s="3191" t="s">
        <v>4856</v>
      </c>
      <c r="C304" s="3193" t="s">
        <v>4624</v>
      </c>
      <c r="D304" s="3193">
        <v>25.55</v>
      </c>
      <c r="E304" s="3193" t="s">
        <v>4801</v>
      </c>
      <c r="F304" s="3193" t="s">
        <v>4885</v>
      </c>
      <c r="I304" s="3198">
        <v>302</v>
      </c>
      <c r="J304" s="3179" t="s">
        <v>5487</v>
      </c>
      <c r="K304" s="3179" t="s">
        <v>4856</v>
      </c>
      <c r="L304" s="3179">
        <v>2.1639200000000001</v>
      </c>
    </row>
    <row r="305" spans="1:12">
      <c r="A305" s="3191">
        <v>303</v>
      </c>
      <c r="B305" s="3191" t="s">
        <v>4856</v>
      </c>
      <c r="C305" s="3193" t="s">
        <v>4800</v>
      </c>
      <c r="D305" s="3193">
        <v>22.1</v>
      </c>
      <c r="E305" s="3193" t="s">
        <v>4777</v>
      </c>
      <c r="F305" s="3193" t="s">
        <v>4886</v>
      </c>
      <c r="I305" s="3198">
        <v>303</v>
      </c>
      <c r="J305" s="3179" t="s">
        <v>5488</v>
      </c>
      <c r="K305" s="3179" t="s">
        <v>4856</v>
      </c>
      <c r="L305" s="3179">
        <v>0.33150000000000002</v>
      </c>
    </row>
    <row r="306" spans="1:12">
      <c r="A306" s="3191">
        <v>304</v>
      </c>
      <c r="B306" s="3191" t="s">
        <v>4856</v>
      </c>
      <c r="C306" s="3193" t="s">
        <v>4568</v>
      </c>
      <c r="D306" s="3193">
        <v>7.98</v>
      </c>
      <c r="E306" s="3193" t="s">
        <v>4887</v>
      </c>
      <c r="F306" s="3193" t="s">
        <v>4886</v>
      </c>
      <c r="I306" s="3198">
        <v>304</v>
      </c>
      <c r="J306" s="3179" t="s">
        <v>5489</v>
      </c>
      <c r="K306" s="3179" t="s">
        <v>4856</v>
      </c>
      <c r="L306" s="3179">
        <v>0.120003</v>
      </c>
    </row>
    <row r="307" spans="1:12">
      <c r="A307" s="3191">
        <v>305</v>
      </c>
      <c r="B307" s="3191" t="s">
        <v>4856</v>
      </c>
      <c r="C307" s="3193" t="s">
        <v>4533</v>
      </c>
      <c r="D307" s="3193">
        <v>11.47</v>
      </c>
      <c r="E307" s="3193" t="s">
        <v>4521</v>
      </c>
      <c r="F307" s="3193" t="s">
        <v>4888</v>
      </c>
      <c r="I307" s="3198">
        <v>305</v>
      </c>
      <c r="J307" s="3179" t="s">
        <v>5490</v>
      </c>
      <c r="K307" s="3179" t="s">
        <v>4856</v>
      </c>
      <c r="L307" s="3179">
        <v>1.5484500000000001</v>
      </c>
    </row>
    <row r="308" spans="1:12">
      <c r="A308" s="3191">
        <v>306</v>
      </c>
      <c r="B308" s="3191" t="s">
        <v>4856</v>
      </c>
      <c r="C308" s="3193" t="s">
        <v>4724</v>
      </c>
      <c r="D308" s="3193">
        <v>21.28</v>
      </c>
      <c r="E308" s="3193" t="s">
        <v>4432</v>
      </c>
      <c r="F308" s="3193" t="s">
        <v>4889</v>
      </c>
      <c r="I308" s="3198">
        <v>306</v>
      </c>
      <c r="J308" s="3179" t="s">
        <v>5491</v>
      </c>
      <c r="K308" s="3179" t="s">
        <v>4856</v>
      </c>
      <c r="L308" s="3179">
        <v>3.0643199999999999</v>
      </c>
    </row>
    <row r="309" spans="1:12">
      <c r="A309" s="3191">
        <v>307</v>
      </c>
      <c r="B309" s="3191" t="s">
        <v>4856</v>
      </c>
      <c r="C309" s="3193" t="s">
        <v>4890</v>
      </c>
      <c r="D309" s="3193">
        <v>20.79</v>
      </c>
      <c r="E309" s="3193" t="s">
        <v>4784</v>
      </c>
      <c r="F309" s="3193" t="s">
        <v>4500</v>
      </c>
      <c r="I309" s="3198">
        <v>307</v>
      </c>
      <c r="J309" s="3179" t="s">
        <v>5492</v>
      </c>
      <c r="K309" s="3179" t="s">
        <v>4856</v>
      </c>
      <c r="L309" s="3179">
        <v>2.8066499999999999</v>
      </c>
    </row>
    <row r="310" spans="1:12">
      <c r="A310" s="3191">
        <v>308</v>
      </c>
      <c r="B310" s="3191" t="s">
        <v>4856</v>
      </c>
      <c r="C310" s="3193" t="s">
        <v>4678</v>
      </c>
      <c r="D310" s="3193">
        <v>22.25</v>
      </c>
      <c r="E310" s="3193" t="s">
        <v>4784</v>
      </c>
      <c r="F310" s="3193" t="s">
        <v>4500</v>
      </c>
      <c r="I310" s="3198">
        <v>308</v>
      </c>
      <c r="J310" s="3179" t="s">
        <v>5493</v>
      </c>
      <c r="K310" s="3179" t="s">
        <v>4856</v>
      </c>
      <c r="L310" s="3179">
        <v>3.2040000000000002</v>
      </c>
    </row>
    <row r="311" spans="1:12">
      <c r="A311" s="3191">
        <v>309</v>
      </c>
      <c r="B311" s="3191" t="s">
        <v>4856</v>
      </c>
      <c r="C311" s="3193" t="s">
        <v>4891</v>
      </c>
      <c r="D311" s="3193">
        <v>9.84</v>
      </c>
      <c r="E311" s="3193" t="s">
        <v>4412</v>
      </c>
      <c r="F311" s="3193" t="s">
        <v>4417</v>
      </c>
      <c r="I311" s="3198">
        <v>309</v>
      </c>
      <c r="J311" s="3179" t="s">
        <v>5494</v>
      </c>
      <c r="K311" s="3179" t="s">
        <v>4856</v>
      </c>
      <c r="L311" s="3179">
        <v>1.200008</v>
      </c>
    </row>
    <row r="312" spans="1:12">
      <c r="A312" s="3191">
        <v>310</v>
      </c>
      <c r="B312" s="3191" t="s">
        <v>4856</v>
      </c>
      <c r="C312" s="3193" t="s">
        <v>4711</v>
      </c>
      <c r="D312" s="3193">
        <v>9</v>
      </c>
      <c r="E312" s="3193" t="s">
        <v>4880</v>
      </c>
      <c r="F312" s="3193" t="s">
        <v>4892</v>
      </c>
      <c r="I312" s="3198">
        <v>310</v>
      </c>
      <c r="J312" s="3179" t="s">
        <v>5495</v>
      </c>
      <c r="K312" s="3179" t="s">
        <v>4856</v>
      </c>
      <c r="L312" s="3179">
        <v>1.2356130000000001</v>
      </c>
    </row>
    <row r="313" spans="1:12">
      <c r="A313" s="3191">
        <v>311</v>
      </c>
      <c r="B313" s="3191" t="s">
        <v>4856</v>
      </c>
      <c r="C313" s="3193" t="s">
        <v>4558</v>
      </c>
      <c r="D313" s="3193">
        <v>8.7100000000000009</v>
      </c>
      <c r="E313" s="3193" t="s">
        <v>4412</v>
      </c>
      <c r="F313" s="3193" t="s">
        <v>4417</v>
      </c>
      <c r="I313" s="3198">
        <v>311</v>
      </c>
      <c r="J313" s="3179" t="s">
        <v>5496</v>
      </c>
      <c r="K313" s="3179" t="s">
        <v>4856</v>
      </c>
      <c r="L313" s="3179">
        <v>1.200032</v>
      </c>
    </row>
    <row r="314" spans="1:12">
      <c r="A314" s="3191">
        <v>312</v>
      </c>
      <c r="B314" s="3191" t="s">
        <v>4856</v>
      </c>
      <c r="C314" s="3193" t="s">
        <v>4792</v>
      </c>
      <c r="D314" s="3193">
        <v>20.79</v>
      </c>
      <c r="E314" s="3193" t="s">
        <v>4880</v>
      </c>
      <c r="F314" s="3193" t="s">
        <v>4892</v>
      </c>
      <c r="I314" s="3198">
        <v>312</v>
      </c>
      <c r="J314" s="3179" t="s">
        <v>5497</v>
      </c>
      <c r="K314" s="3179" t="s">
        <v>4856</v>
      </c>
      <c r="L314" s="3179">
        <v>2.6758739999999999</v>
      </c>
    </row>
    <row r="315" spans="1:12">
      <c r="A315" s="3191">
        <v>313</v>
      </c>
      <c r="B315" s="3191" t="s">
        <v>4856</v>
      </c>
      <c r="C315" s="3193" t="s">
        <v>4668</v>
      </c>
      <c r="D315" s="3193">
        <v>25.36</v>
      </c>
      <c r="E315" s="3193" t="s">
        <v>4880</v>
      </c>
      <c r="F315" s="3193" t="s">
        <v>4892</v>
      </c>
      <c r="I315" s="3198">
        <v>313</v>
      </c>
      <c r="J315" s="3179" t="s">
        <v>5498</v>
      </c>
      <c r="K315" s="3179" t="s">
        <v>4856</v>
      </c>
      <c r="L315" s="3179">
        <v>3.2640769999999999</v>
      </c>
    </row>
    <row r="316" spans="1:12">
      <c r="A316" s="3191">
        <v>314</v>
      </c>
      <c r="B316" s="3191" t="s">
        <v>4856</v>
      </c>
      <c r="C316" s="3193" t="s">
        <v>4454</v>
      </c>
      <c r="D316" s="3193">
        <v>20.91</v>
      </c>
      <c r="E316" s="3193" t="s">
        <v>4408</v>
      </c>
      <c r="F316" s="3193" t="s">
        <v>4576</v>
      </c>
      <c r="I316" s="3198">
        <v>314</v>
      </c>
      <c r="J316" s="3179" t="s">
        <v>5499</v>
      </c>
      <c r="K316" s="3179" t="s">
        <v>4856</v>
      </c>
      <c r="L316" s="3179">
        <v>1.509708</v>
      </c>
    </row>
    <row r="317" spans="1:12">
      <c r="A317" s="3191">
        <v>315</v>
      </c>
      <c r="B317" s="3191" t="s">
        <v>4856</v>
      </c>
      <c r="C317" s="3193" t="s">
        <v>4726</v>
      </c>
      <c r="D317" s="3193">
        <v>14.07</v>
      </c>
      <c r="E317" s="3193" t="s">
        <v>4676</v>
      </c>
      <c r="F317" s="3193" t="s">
        <v>4893</v>
      </c>
      <c r="I317" s="3198">
        <v>315</v>
      </c>
      <c r="J317" s="3179" t="s">
        <v>5500</v>
      </c>
      <c r="K317" s="3179" t="s">
        <v>4856</v>
      </c>
      <c r="L317" s="3179">
        <v>1.4984550000000001</v>
      </c>
    </row>
    <row r="318" spans="1:12">
      <c r="A318" s="3191">
        <v>316</v>
      </c>
      <c r="B318" s="3191" t="s">
        <v>4856</v>
      </c>
      <c r="C318" s="3193" t="s">
        <v>4568</v>
      </c>
      <c r="D318" s="3193">
        <v>20.8</v>
      </c>
      <c r="E318" s="3193" t="s">
        <v>4894</v>
      </c>
      <c r="F318" s="3193" t="s">
        <v>4512</v>
      </c>
      <c r="I318" s="3198">
        <v>316</v>
      </c>
      <c r="J318" s="3179" t="s">
        <v>5501</v>
      </c>
      <c r="K318" s="3179" t="s">
        <v>4856</v>
      </c>
      <c r="L318" s="3179">
        <v>2.1840000000000002</v>
      </c>
    </row>
    <row r="319" spans="1:12">
      <c r="A319" s="3191">
        <v>317</v>
      </c>
      <c r="B319" s="3191" t="s">
        <v>4856</v>
      </c>
      <c r="C319" s="3193" t="s">
        <v>4671</v>
      </c>
      <c r="D319" s="3193">
        <v>19</v>
      </c>
      <c r="E319" s="3193" t="s">
        <v>4895</v>
      </c>
      <c r="F319" s="3193" t="s">
        <v>4896</v>
      </c>
      <c r="I319" s="3198">
        <v>317</v>
      </c>
      <c r="J319" s="3179" t="s">
        <v>5502</v>
      </c>
      <c r="K319" s="3179" t="s">
        <v>4856</v>
      </c>
      <c r="L319" s="3179">
        <v>2.0299360000000002</v>
      </c>
    </row>
    <row r="320" spans="1:12">
      <c r="A320" s="3191">
        <v>318</v>
      </c>
      <c r="B320" s="3191" t="s">
        <v>4856</v>
      </c>
      <c r="C320" s="3193" t="s">
        <v>4477</v>
      </c>
      <c r="D320" s="3193">
        <v>12.9</v>
      </c>
      <c r="E320" s="3193" t="s">
        <v>4897</v>
      </c>
      <c r="F320" s="3193" t="s">
        <v>4413</v>
      </c>
      <c r="I320" s="3198">
        <v>318</v>
      </c>
      <c r="J320" s="3179" t="s">
        <v>5503</v>
      </c>
      <c r="K320" s="3179" t="s">
        <v>4856</v>
      </c>
      <c r="L320" s="3179">
        <v>0.20000200000000001</v>
      </c>
    </row>
    <row r="321" spans="1:12">
      <c r="A321" s="3191">
        <v>319</v>
      </c>
      <c r="B321" s="3191" t="s">
        <v>4856</v>
      </c>
      <c r="C321" s="3193" t="s">
        <v>4686</v>
      </c>
      <c r="D321" s="3193">
        <v>14.7</v>
      </c>
      <c r="E321" s="3193" t="s">
        <v>4898</v>
      </c>
      <c r="F321" s="3193" t="s">
        <v>4899</v>
      </c>
      <c r="I321" s="3198">
        <v>319</v>
      </c>
      <c r="J321" s="3179" t="s">
        <v>5504</v>
      </c>
      <c r="K321" s="3179" t="s">
        <v>4856</v>
      </c>
      <c r="L321" s="3179">
        <v>1.418787</v>
      </c>
    </row>
    <row r="322" spans="1:12">
      <c r="A322" s="3191">
        <v>320</v>
      </c>
      <c r="B322" s="3191" t="s">
        <v>4856</v>
      </c>
      <c r="C322" s="3193" t="s">
        <v>4477</v>
      </c>
      <c r="D322" s="3193">
        <v>12.9</v>
      </c>
      <c r="E322" s="3193" t="s">
        <v>4877</v>
      </c>
      <c r="F322" s="3193" t="s">
        <v>4872</v>
      </c>
      <c r="I322" s="3198">
        <v>320</v>
      </c>
      <c r="J322" s="3179" t="s">
        <v>5505</v>
      </c>
      <c r="K322" s="3179" t="s">
        <v>4856</v>
      </c>
      <c r="L322" s="3179">
        <v>0.40000400000000003</v>
      </c>
    </row>
    <row r="323" spans="1:12">
      <c r="A323" s="3191">
        <v>321</v>
      </c>
      <c r="B323" s="3191" t="s">
        <v>4856</v>
      </c>
      <c r="C323" s="3193" t="s">
        <v>4414</v>
      </c>
      <c r="D323" s="3193">
        <v>16.559999999999999</v>
      </c>
      <c r="E323" s="3193" t="s">
        <v>4877</v>
      </c>
      <c r="F323" s="3193" t="s">
        <v>4413</v>
      </c>
      <c r="I323" s="3198">
        <v>321</v>
      </c>
      <c r="J323" s="3179" t="s">
        <v>5506</v>
      </c>
      <c r="K323" s="3179" t="s">
        <v>4856</v>
      </c>
      <c r="L323" s="3179">
        <v>0.75016799999999995</v>
      </c>
    </row>
    <row r="324" spans="1:12">
      <c r="A324" s="3191">
        <v>322</v>
      </c>
      <c r="B324" s="3191" t="s">
        <v>4856</v>
      </c>
      <c r="C324" s="3193" t="s">
        <v>4602</v>
      </c>
      <c r="D324" s="3193">
        <v>21.29</v>
      </c>
      <c r="E324" s="3193" t="s">
        <v>4900</v>
      </c>
      <c r="F324" s="3193" t="s">
        <v>4901</v>
      </c>
      <c r="I324" s="3198">
        <v>322</v>
      </c>
      <c r="J324" s="3179" t="s">
        <v>5507</v>
      </c>
      <c r="K324" s="3179" t="s">
        <v>4856</v>
      </c>
      <c r="L324" s="3179">
        <v>2.8741500000000002</v>
      </c>
    </row>
    <row r="325" spans="1:12">
      <c r="A325" s="3191">
        <v>323</v>
      </c>
      <c r="B325" s="3191" t="s">
        <v>4856</v>
      </c>
      <c r="C325" s="3193" t="s">
        <v>4715</v>
      </c>
      <c r="D325" s="3193">
        <v>12</v>
      </c>
      <c r="E325" s="3193" t="s">
        <v>4412</v>
      </c>
      <c r="F325" s="3193" t="s">
        <v>4417</v>
      </c>
      <c r="I325" s="3198">
        <v>323</v>
      </c>
      <c r="J325" s="3179" t="s">
        <v>5508</v>
      </c>
      <c r="K325" s="3179" t="s">
        <v>4856</v>
      </c>
      <c r="L325" s="3179">
        <v>1.536</v>
      </c>
    </row>
    <row r="326" spans="1:12">
      <c r="A326" s="3191">
        <v>324</v>
      </c>
      <c r="B326" s="3191" t="s">
        <v>4856</v>
      </c>
      <c r="C326" s="3193" t="s">
        <v>4902</v>
      </c>
      <c r="D326" s="3193">
        <v>8.32</v>
      </c>
      <c r="E326" s="3193" t="s">
        <v>4903</v>
      </c>
      <c r="F326" s="3193" t="s">
        <v>4424</v>
      </c>
      <c r="I326" s="3198">
        <v>324</v>
      </c>
      <c r="J326" s="3179" t="s">
        <v>5509</v>
      </c>
      <c r="K326" s="3179" t="s">
        <v>4856</v>
      </c>
      <c r="L326" s="3179">
        <v>0.64000800000000002</v>
      </c>
    </row>
    <row r="327" spans="1:12">
      <c r="A327" s="3191">
        <v>325</v>
      </c>
      <c r="B327" s="3191" t="s">
        <v>4856</v>
      </c>
      <c r="C327" s="3193" t="s">
        <v>4788</v>
      </c>
      <c r="D327" s="3193">
        <v>22.38</v>
      </c>
      <c r="E327" s="3193" t="s">
        <v>4894</v>
      </c>
      <c r="F327" s="3193" t="s">
        <v>4512</v>
      </c>
      <c r="I327" s="3198">
        <v>325</v>
      </c>
      <c r="J327" s="3179" t="s">
        <v>5510</v>
      </c>
      <c r="K327" s="3179" t="s">
        <v>4856</v>
      </c>
      <c r="L327" s="3179">
        <v>2.3498999999999999</v>
      </c>
    </row>
    <row r="328" spans="1:12">
      <c r="A328" s="3191">
        <v>326</v>
      </c>
      <c r="B328" s="3191" t="s">
        <v>4856</v>
      </c>
      <c r="C328" s="3193" t="s">
        <v>4904</v>
      </c>
      <c r="D328" s="3193">
        <v>22.1</v>
      </c>
      <c r="E328" s="3193" t="s">
        <v>4905</v>
      </c>
      <c r="F328" s="3193" t="s">
        <v>4906</v>
      </c>
      <c r="I328" s="3198">
        <v>326</v>
      </c>
      <c r="J328" s="3179" t="s">
        <v>5511</v>
      </c>
      <c r="K328" s="3179" t="s">
        <v>4856</v>
      </c>
      <c r="L328" s="3179">
        <v>0.33150000000000002</v>
      </c>
    </row>
    <row r="329" spans="1:12">
      <c r="A329" s="3191">
        <v>327</v>
      </c>
      <c r="B329" s="3191" t="s">
        <v>4856</v>
      </c>
      <c r="C329" s="3193" t="s">
        <v>4904</v>
      </c>
      <c r="D329" s="3193">
        <v>22.1</v>
      </c>
      <c r="E329" s="3193" t="s">
        <v>4907</v>
      </c>
      <c r="F329" s="3193" t="s">
        <v>4575</v>
      </c>
      <c r="I329" s="3198">
        <v>327</v>
      </c>
      <c r="J329" s="3179" t="s">
        <v>5512</v>
      </c>
      <c r="K329" s="3179" t="s">
        <v>4856</v>
      </c>
      <c r="L329" s="3179">
        <v>0.33150000000000002</v>
      </c>
    </row>
    <row r="330" spans="1:12">
      <c r="A330" s="3191">
        <v>328</v>
      </c>
      <c r="B330" s="3191" t="s">
        <v>4856</v>
      </c>
      <c r="C330" s="3193" t="s">
        <v>4908</v>
      </c>
      <c r="D330" s="3193">
        <v>9.1300000000000008</v>
      </c>
      <c r="E330" s="3193" t="s">
        <v>4516</v>
      </c>
      <c r="F330" s="3193" t="s">
        <v>4417</v>
      </c>
      <c r="I330" s="3198">
        <v>328</v>
      </c>
      <c r="J330" s="3179" t="s">
        <v>5513</v>
      </c>
      <c r="K330" s="3179" t="s">
        <v>4856</v>
      </c>
      <c r="L330" s="3179">
        <v>0.60404000000000002</v>
      </c>
    </row>
    <row r="331" spans="1:12">
      <c r="A331" s="3191">
        <v>329</v>
      </c>
      <c r="B331" s="3191" t="s">
        <v>4856</v>
      </c>
      <c r="C331" s="3193" t="s">
        <v>4909</v>
      </c>
      <c r="D331" s="3193">
        <v>22.1</v>
      </c>
      <c r="E331" s="3193" t="s">
        <v>4910</v>
      </c>
      <c r="F331" s="3193" t="s">
        <v>4911</v>
      </c>
      <c r="I331" s="3198">
        <v>329</v>
      </c>
      <c r="J331" s="3179" t="s">
        <v>5514</v>
      </c>
      <c r="K331" s="3179" t="s">
        <v>4856</v>
      </c>
      <c r="L331" s="3179">
        <v>0.33684700000000001</v>
      </c>
    </row>
    <row r="332" spans="1:12">
      <c r="A332" s="3191">
        <v>330</v>
      </c>
      <c r="B332" s="3191" t="s">
        <v>4856</v>
      </c>
      <c r="C332" s="3193" t="s">
        <v>4706</v>
      </c>
      <c r="D332" s="3193">
        <v>20.91</v>
      </c>
      <c r="E332" s="3193" t="s">
        <v>4912</v>
      </c>
      <c r="F332" s="3193" t="s">
        <v>4417</v>
      </c>
      <c r="I332" s="3198">
        <v>330</v>
      </c>
      <c r="J332" s="3179" t="s">
        <v>5515</v>
      </c>
      <c r="K332" s="3179" t="s">
        <v>4856</v>
      </c>
      <c r="L332" s="3179">
        <v>2.1672199999999999</v>
      </c>
    </row>
    <row r="333" spans="1:12">
      <c r="A333" s="3191">
        <v>331</v>
      </c>
      <c r="B333" s="3191" t="s">
        <v>4856</v>
      </c>
      <c r="C333" s="3193" t="s">
        <v>4817</v>
      </c>
      <c r="D333" s="3193">
        <v>7.17</v>
      </c>
      <c r="E333" s="3193" t="s">
        <v>4913</v>
      </c>
      <c r="F333" s="3193" t="s">
        <v>4884</v>
      </c>
      <c r="I333" s="3198">
        <v>331</v>
      </c>
      <c r="J333" s="3179" t="s">
        <v>5516</v>
      </c>
      <c r="K333" s="3179" t="s">
        <v>4856</v>
      </c>
      <c r="L333" s="3179">
        <v>0.71040099999999995</v>
      </c>
    </row>
    <row r="334" spans="1:12">
      <c r="A334" s="3191">
        <v>332</v>
      </c>
      <c r="B334" s="3191" t="s">
        <v>4856</v>
      </c>
      <c r="C334" s="3193" t="s">
        <v>4812</v>
      </c>
      <c r="D334" s="3193">
        <v>20.79</v>
      </c>
      <c r="E334" s="3193" t="s">
        <v>4914</v>
      </c>
      <c r="F334" s="3193" t="s">
        <v>4915</v>
      </c>
      <c r="I334" s="3198">
        <v>332</v>
      </c>
      <c r="J334" s="3179" t="s">
        <v>5517</v>
      </c>
      <c r="K334" s="3179" t="s">
        <v>4856</v>
      </c>
      <c r="L334" s="3179">
        <v>1.55925</v>
      </c>
    </row>
    <row r="335" spans="1:12">
      <c r="A335" s="3191">
        <v>333</v>
      </c>
      <c r="B335" s="3191" t="s">
        <v>4856</v>
      </c>
      <c r="C335" s="3193" t="s">
        <v>4750</v>
      </c>
      <c r="D335" s="3193">
        <v>9.1300000000000008</v>
      </c>
      <c r="E335" s="3193" t="s">
        <v>4916</v>
      </c>
      <c r="F335" s="3193" t="s">
        <v>4424</v>
      </c>
      <c r="I335" s="3198">
        <v>333</v>
      </c>
      <c r="J335" s="3179" t="s">
        <v>5518</v>
      </c>
      <c r="K335" s="3179" t="s">
        <v>4856</v>
      </c>
      <c r="L335" s="3179">
        <v>0.56606000000000001</v>
      </c>
    </row>
    <row r="336" spans="1:12">
      <c r="A336" s="3191">
        <v>334</v>
      </c>
      <c r="B336" s="3191" t="s">
        <v>4856</v>
      </c>
      <c r="C336" s="3193" t="s">
        <v>4651</v>
      </c>
      <c r="D336" s="3193">
        <v>6.22</v>
      </c>
      <c r="E336" s="3193" t="s">
        <v>4730</v>
      </c>
      <c r="F336" s="3193" t="s">
        <v>4917</v>
      </c>
      <c r="I336" s="3198">
        <v>334</v>
      </c>
      <c r="J336" s="3179" t="s">
        <v>5519</v>
      </c>
      <c r="K336" s="3179" t="s">
        <v>4856</v>
      </c>
      <c r="L336" s="3179">
        <v>0.25863700000000001</v>
      </c>
    </row>
    <row r="337" spans="1:12">
      <c r="A337" s="3191">
        <v>335</v>
      </c>
      <c r="B337" s="3191" t="s">
        <v>4856</v>
      </c>
      <c r="C337" s="3193" t="s">
        <v>4592</v>
      </c>
      <c r="D337" s="3193">
        <v>10</v>
      </c>
      <c r="E337" s="3193" t="s">
        <v>4918</v>
      </c>
      <c r="F337" s="3193" t="s">
        <v>4919</v>
      </c>
      <c r="I337" s="3198">
        <v>335</v>
      </c>
      <c r="J337" s="3179" t="s">
        <v>5520</v>
      </c>
      <c r="K337" s="3179" t="s">
        <v>4856</v>
      </c>
      <c r="L337" s="3179">
        <v>0.31448300000000001</v>
      </c>
    </row>
    <row r="338" spans="1:12">
      <c r="A338" s="3191">
        <v>336</v>
      </c>
      <c r="B338" s="3191" t="s">
        <v>4856</v>
      </c>
      <c r="C338" s="3193" t="s">
        <v>4611</v>
      </c>
      <c r="D338" s="3193">
        <v>16.96</v>
      </c>
      <c r="E338" s="3193" t="s">
        <v>4918</v>
      </c>
      <c r="F338" s="3193" t="s">
        <v>4919</v>
      </c>
      <c r="I338" s="3198">
        <v>336</v>
      </c>
      <c r="J338" s="3179" t="s">
        <v>5521</v>
      </c>
      <c r="K338" s="3179" t="s">
        <v>4856</v>
      </c>
      <c r="L338" s="3179">
        <v>0.53336300000000003</v>
      </c>
    </row>
    <row r="339" spans="1:12">
      <c r="A339" s="3191">
        <v>337</v>
      </c>
      <c r="B339" s="3191" t="s">
        <v>4856</v>
      </c>
      <c r="C339" s="3193" t="s">
        <v>4571</v>
      </c>
      <c r="D339" s="3193">
        <v>15</v>
      </c>
      <c r="E339" s="3193" t="s">
        <v>4920</v>
      </c>
      <c r="F339" s="3193" t="s">
        <v>4427</v>
      </c>
      <c r="I339" s="3198">
        <v>337</v>
      </c>
      <c r="J339" s="3179" t="s">
        <v>5522</v>
      </c>
      <c r="K339" s="3179" t="s">
        <v>4856</v>
      </c>
      <c r="L339" s="3179">
        <v>0.72580599999999995</v>
      </c>
    </row>
    <row r="340" spans="1:12">
      <c r="A340" s="3191">
        <v>338</v>
      </c>
      <c r="B340" s="3191" t="s">
        <v>4856</v>
      </c>
      <c r="C340" s="3193" t="s">
        <v>4568</v>
      </c>
      <c r="D340" s="3193">
        <v>20.8</v>
      </c>
      <c r="E340" s="3193" t="s">
        <v>4838</v>
      </c>
      <c r="F340" s="3193" t="s">
        <v>4448</v>
      </c>
      <c r="I340" s="3198">
        <v>338</v>
      </c>
      <c r="J340" s="3179" t="s">
        <v>5523</v>
      </c>
      <c r="K340" s="3179" t="s">
        <v>4856</v>
      </c>
      <c r="L340" s="3179">
        <v>0.68640000000000001</v>
      </c>
    </row>
    <row r="341" spans="1:12">
      <c r="A341" s="3191">
        <v>339</v>
      </c>
      <c r="B341" s="3191" t="s">
        <v>4856</v>
      </c>
      <c r="C341" s="3193" t="s">
        <v>4882</v>
      </c>
      <c r="D341" s="3193">
        <v>8.32</v>
      </c>
      <c r="E341" s="3193" t="s">
        <v>4921</v>
      </c>
      <c r="F341" s="3193" t="s">
        <v>4922</v>
      </c>
      <c r="I341" s="3198">
        <v>339</v>
      </c>
      <c r="J341" s="3179" t="s">
        <v>5524</v>
      </c>
      <c r="K341" s="3179" t="s">
        <v>4856</v>
      </c>
      <c r="L341" s="3179">
        <v>1.0815999999999999E-2</v>
      </c>
    </row>
    <row r="342" spans="1:12">
      <c r="A342" s="3191">
        <v>340</v>
      </c>
      <c r="B342" s="3191" t="s">
        <v>4856</v>
      </c>
      <c r="C342" s="3193" t="s">
        <v>4414</v>
      </c>
      <c r="D342" s="3193">
        <v>16.559999999999999</v>
      </c>
      <c r="E342" s="3193" t="s">
        <v>4827</v>
      </c>
      <c r="F342" s="3193" t="s">
        <v>4417</v>
      </c>
      <c r="I342" s="3198">
        <v>340</v>
      </c>
      <c r="J342" s="3179" t="s">
        <v>5525</v>
      </c>
      <c r="K342" s="3179" t="s">
        <v>4856</v>
      </c>
      <c r="L342" s="3179">
        <v>0.52303200000000005</v>
      </c>
    </row>
    <row r="343" spans="1:12">
      <c r="A343" s="3191">
        <v>341</v>
      </c>
      <c r="B343" s="3191" t="s">
        <v>4856</v>
      </c>
      <c r="C343" s="3193" t="s">
        <v>4831</v>
      </c>
      <c r="D343" s="3193">
        <v>8.32</v>
      </c>
      <c r="E343" s="3193" t="s">
        <v>4832</v>
      </c>
      <c r="F343" s="3193" t="s">
        <v>4833</v>
      </c>
      <c r="I343" s="3198">
        <v>341</v>
      </c>
      <c r="J343" s="3179" t="s">
        <v>5526</v>
      </c>
      <c r="K343" s="3179" t="s">
        <v>4856</v>
      </c>
      <c r="L343" s="3179">
        <v>0.43510900000000002</v>
      </c>
    </row>
    <row r="344" spans="1:12">
      <c r="A344" s="3191">
        <v>342</v>
      </c>
      <c r="B344" s="3191" t="s">
        <v>4856</v>
      </c>
      <c r="C344" s="3193" t="s">
        <v>4788</v>
      </c>
      <c r="D344" s="3193">
        <v>22.38</v>
      </c>
      <c r="E344" s="3193" t="s">
        <v>4838</v>
      </c>
      <c r="F344" s="3193" t="s">
        <v>4448</v>
      </c>
      <c r="I344" s="3198">
        <v>342</v>
      </c>
      <c r="J344" s="3179" t="s">
        <v>5527</v>
      </c>
      <c r="K344" s="3179" t="s">
        <v>4856</v>
      </c>
      <c r="L344" s="3179">
        <v>0.73853999999999997</v>
      </c>
    </row>
    <row r="345" spans="1:12">
      <c r="A345" s="3191">
        <v>343</v>
      </c>
      <c r="B345" s="3191" t="s">
        <v>4856</v>
      </c>
      <c r="C345" s="3193" t="s">
        <v>4686</v>
      </c>
      <c r="D345" s="3193">
        <v>14.7</v>
      </c>
      <c r="E345" s="3193" t="s">
        <v>4923</v>
      </c>
      <c r="F345" s="3193" t="s">
        <v>4924</v>
      </c>
      <c r="I345" s="3198">
        <v>343</v>
      </c>
      <c r="J345" s="3179" t="s">
        <v>5528</v>
      </c>
      <c r="K345" s="3179" t="s">
        <v>4856</v>
      </c>
      <c r="L345" s="3179">
        <v>0.55551799999999996</v>
      </c>
    </row>
    <row r="346" spans="1:12">
      <c r="A346" s="3191">
        <v>344</v>
      </c>
      <c r="B346" s="3191" t="s">
        <v>4856</v>
      </c>
      <c r="C346" s="3193" t="s">
        <v>4837</v>
      </c>
      <c r="D346" s="3193">
        <v>22.1</v>
      </c>
      <c r="E346" s="3193" t="s">
        <v>4838</v>
      </c>
      <c r="F346" s="3193" t="s">
        <v>4892</v>
      </c>
      <c r="I346" s="3198">
        <v>344</v>
      </c>
      <c r="J346" s="3179" t="s">
        <v>5529</v>
      </c>
      <c r="K346" s="3179" t="s">
        <v>4856</v>
      </c>
      <c r="L346" s="3179">
        <v>0.53039999999999998</v>
      </c>
    </row>
    <row r="347" spans="1:12">
      <c r="A347" s="3191">
        <v>345</v>
      </c>
      <c r="B347" s="3191" t="s">
        <v>4856</v>
      </c>
      <c r="C347" s="3193" t="s">
        <v>4671</v>
      </c>
      <c r="D347" s="3193">
        <v>19</v>
      </c>
      <c r="E347" s="3193" t="s">
        <v>4899</v>
      </c>
      <c r="F347" s="3193" t="s">
        <v>4500</v>
      </c>
      <c r="I347" s="3198">
        <v>345</v>
      </c>
      <c r="J347" s="3179" t="s">
        <v>5530</v>
      </c>
      <c r="K347" s="3179" t="s">
        <v>4856</v>
      </c>
      <c r="L347" s="3179">
        <v>0.72812900000000003</v>
      </c>
    </row>
    <row r="348" spans="1:12">
      <c r="A348" s="3191">
        <v>346</v>
      </c>
      <c r="B348" s="3191" t="s">
        <v>4856</v>
      </c>
      <c r="C348" s="3193" t="s">
        <v>4726</v>
      </c>
      <c r="D348" s="3193">
        <v>14.07</v>
      </c>
      <c r="E348" s="3193" t="s">
        <v>4925</v>
      </c>
      <c r="F348" s="3193" t="s">
        <v>4926</v>
      </c>
      <c r="I348" s="3198">
        <v>346</v>
      </c>
      <c r="J348" s="3179" t="s">
        <v>5531</v>
      </c>
      <c r="K348" s="3179" t="s">
        <v>4856</v>
      </c>
      <c r="L348" s="3179">
        <v>0.44184299999999999</v>
      </c>
    </row>
    <row r="349" spans="1:12">
      <c r="A349" s="3191">
        <v>347</v>
      </c>
      <c r="B349" s="3191" t="s">
        <v>4856</v>
      </c>
      <c r="C349" s="3193" t="s">
        <v>4786</v>
      </c>
      <c r="D349" s="3193">
        <v>20.91</v>
      </c>
      <c r="E349" s="3193" t="s">
        <v>4927</v>
      </c>
      <c r="F349" s="3193" t="s">
        <v>4500</v>
      </c>
      <c r="I349" s="3198">
        <v>347</v>
      </c>
      <c r="J349" s="3179" t="s">
        <v>5532</v>
      </c>
      <c r="K349" s="3179" t="s">
        <v>4856</v>
      </c>
      <c r="L349" s="3179">
        <v>0.43409199999999998</v>
      </c>
    </row>
    <row r="350" spans="1:12">
      <c r="A350" s="3191">
        <v>348</v>
      </c>
      <c r="B350" s="3191" t="s">
        <v>4856</v>
      </c>
      <c r="C350" s="3193" t="s">
        <v>4817</v>
      </c>
      <c r="D350" s="3193">
        <v>7.17</v>
      </c>
      <c r="E350" s="3193" t="s">
        <v>4921</v>
      </c>
      <c r="F350" s="3193" t="s">
        <v>4417</v>
      </c>
      <c r="I350" s="3198">
        <v>348</v>
      </c>
      <c r="J350" s="3179" t="s">
        <v>5533</v>
      </c>
      <c r="K350" s="3179" t="s">
        <v>4856</v>
      </c>
      <c r="L350" s="3179">
        <v>0.21371200000000001</v>
      </c>
    </row>
    <row r="351" spans="1:12">
      <c r="A351" s="3191">
        <v>349</v>
      </c>
      <c r="B351" s="3191" t="s">
        <v>4928</v>
      </c>
      <c r="C351" s="3193" t="s">
        <v>4929</v>
      </c>
      <c r="D351" s="3193">
        <v>4.5</v>
      </c>
      <c r="E351" s="3193" t="s">
        <v>4432</v>
      </c>
      <c r="F351" s="3193" t="s">
        <v>4889</v>
      </c>
      <c r="I351" s="3198">
        <v>349</v>
      </c>
      <c r="J351" s="3179" t="s">
        <v>5534</v>
      </c>
      <c r="K351" s="3179" t="s">
        <v>4928</v>
      </c>
      <c r="L351" s="3179">
        <v>0.180225</v>
      </c>
    </row>
    <row r="352" spans="1:12">
      <c r="A352" s="3191">
        <v>350</v>
      </c>
      <c r="B352" s="3191" t="s">
        <v>4928</v>
      </c>
      <c r="C352" s="3193" t="s">
        <v>4793</v>
      </c>
      <c r="D352" s="3193">
        <v>14.54</v>
      </c>
      <c r="E352" s="3193" t="s">
        <v>4930</v>
      </c>
      <c r="F352" s="3193" t="s">
        <v>4795</v>
      </c>
      <c r="I352" s="3198">
        <v>350</v>
      </c>
      <c r="J352" s="3179" t="s">
        <v>5535</v>
      </c>
      <c r="K352" s="3179" t="s">
        <v>4928</v>
      </c>
      <c r="L352" s="3179">
        <v>1.17774</v>
      </c>
    </row>
    <row r="353" spans="1:12">
      <c r="A353" s="3191">
        <v>351</v>
      </c>
      <c r="B353" s="3191" t="s">
        <v>4928</v>
      </c>
      <c r="C353" s="3193" t="s">
        <v>4931</v>
      </c>
      <c r="D353" s="3193">
        <v>5</v>
      </c>
      <c r="E353" s="3193" t="s">
        <v>4499</v>
      </c>
      <c r="F353" s="3193" t="s">
        <v>4932</v>
      </c>
      <c r="I353" s="3198">
        <v>351</v>
      </c>
      <c r="J353" s="3179" t="s">
        <v>5536</v>
      </c>
      <c r="K353" s="3179" t="s">
        <v>4928</v>
      </c>
      <c r="L353" s="3179">
        <v>0.79967699999999997</v>
      </c>
    </row>
    <row r="354" spans="1:12">
      <c r="A354" s="3191">
        <v>352</v>
      </c>
      <c r="B354" s="3191" t="s">
        <v>4928</v>
      </c>
      <c r="C354" s="3193" t="s">
        <v>4933</v>
      </c>
      <c r="D354" s="3193">
        <v>5.0199999999999996</v>
      </c>
      <c r="E354" s="3193" t="s">
        <v>4801</v>
      </c>
      <c r="F354" s="3193" t="s">
        <v>4934</v>
      </c>
      <c r="I354" s="3198">
        <v>352</v>
      </c>
      <c r="J354" s="3179" t="s">
        <v>5537</v>
      </c>
      <c r="K354" s="3179" t="s">
        <v>4928</v>
      </c>
      <c r="L354" s="3179">
        <v>3.3433199999999998</v>
      </c>
    </row>
    <row r="355" spans="1:12">
      <c r="A355" s="3191">
        <v>353</v>
      </c>
      <c r="B355" s="3191" t="s">
        <v>4928</v>
      </c>
      <c r="C355" s="3193" t="s">
        <v>4935</v>
      </c>
      <c r="D355" s="3193">
        <v>36.9</v>
      </c>
      <c r="E355" s="3193" t="s">
        <v>4877</v>
      </c>
      <c r="F355" s="3193" t="s">
        <v>4564</v>
      </c>
      <c r="I355" s="3198">
        <v>353</v>
      </c>
      <c r="J355" s="3179" t="s">
        <v>5538</v>
      </c>
      <c r="K355" s="3179" t="s">
        <v>4928</v>
      </c>
      <c r="L355" s="3179">
        <v>11.9556</v>
      </c>
    </row>
    <row r="356" spans="1:12">
      <c r="A356" s="3191">
        <v>354</v>
      </c>
      <c r="B356" s="3191" t="s">
        <v>4928</v>
      </c>
      <c r="C356" s="3193" t="s">
        <v>4936</v>
      </c>
      <c r="D356" s="3193">
        <v>1.7</v>
      </c>
      <c r="E356" s="3193" t="s">
        <v>4937</v>
      </c>
      <c r="F356" s="3193" t="s">
        <v>4938</v>
      </c>
      <c r="I356" s="3198">
        <v>354</v>
      </c>
      <c r="J356" s="3179" t="s">
        <v>5539</v>
      </c>
      <c r="K356" s="3179" t="s">
        <v>4928</v>
      </c>
      <c r="L356" s="3179">
        <v>3.235703</v>
      </c>
    </row>
    <row r="357" spans="1:12">
      <c r="A357" s="3191">
        <v>355</v>
      </c>
      <c r="B357" s="3191" t="s">
        <v>4928</v>
      </c>
      <c r="C357" s="3193" t="s">
        <v>4792</v>
      </c>
      <c r="D357" s="3193">
        <v>3</v>
      </c>
      <c r="E357" s="3193" t="s">
        <v>4897</v>
      </c>
      <c r="F357" s="3193" t="s">
        <v>4873</v>
      </c>
      <c r="I357" s="3198">
        <v>355</v>
      </c>
      <c r="J357" s="3179" t="s">
        <v>5540</v>
      </c>
      <c r="K357" s="3179" t="s">
        <v>4928</v>
      </c>
      <c r="L357" s="3179">
        <v>0.85329999999999995</v>
      </c>
    </row>
    <row r="358" spans="1:12">
      <c r="A358" s="3191">
        <v>356</v>
      </c>
      <c r="B358" s="3191" t="s">
        <v>4928</v>
      </c>
      <c r="C358" s="3193" t="s">
        <v>4939</v>
      </c>
      <c r="D358" s="3193">
        <v>4.5</v>
      </c>
      <c r="E358" s="3193" t="s">
        <v>4940</v>
      </c>
      <c r="F358" s="3193" t="s">
        <v>4941</v>
      </c>
      <c r="I358" s="3198">
        <v>356</v>
      </c>
      <c r="J358" s="3179" t="s">
        <v>5541</v>
      </c>
      <c r="K358" s="3179" t="s">
        <v>4928</v>
      </c>
      <c r="L358" s="3179">
        <v>2.2905730000000002</v>
      </c>
    </row>
    <row r="359" spans="1:12">
      <c r="A359" s="3191">
        <v>357</v>
      </c>
      <c r="B359" s="3191" t="s">
        <v>4928</v>
      </c>
      <c r="C359" s="3193" t="s">
        <v>4942</v>
      </c>
      <c r="D359" s="3193">
        <v>3</v>
      </c>
      <c r="E359" s="3193" t="s">
        <v>4751</v>
      </c>
      <c r="F359" s="3193" t="s">
        <v>4541</v>
      </c>
      <c r="I359" s="3198">
        <v>357</v>
      </c>
      <c r="J359" s="3179" t="s">
        <v>5542</v>
      </c>
      <c r="K359" s="3179" t="s">
        <v>4928</v>
      </c>
      <c r="L359" s="3179">
        <v>1.3859999999999999</v>
      </c>
    </row>
    <row r="360" spans="1:12">
      <c r="A360" s="3191">
        <v>358</v>
      </c>
      <c r="B360" s="3191" t="s">
        <v>4943</v>
      </c>
      <c r="C360" s="3195" t="s">
        <v>4944</v>
      </c>
      <c r="D360" s="3193">
        <v>60.51</v>
      </c>
      <c r="E360" s="3193" t="s">
        <v>4945</v>
      </c>
      <c r="F360" s="3193" t="s">
        <v>4826</v>
      </c>
      <c r="I360" s="3198">
        <v>358</v>
      </c>
      <c r="J360" s="3179" t="s">
        <v>5543</v>
      </c>
      <c r="K360" s="3179" t="s">
        <v>4943</v>
      </c>
      <c r="L360" s="3179">
        <v>10.799999</v>
      </c>
    </row>
    <row r="361" spans="1:12">
      <c r="A361" s="3191">
        <v>359</v>
      </c>
      <c r="B361" s="3191" t="s">
        <v>4943</v>
      </c>
      <c r="C361" s="3195" t="s">
        <v>4946</v>
      </c>
      <c r="D361" s="3193">
        <v>301</v>
      </c>
      <c r="E361" s="3193" t="s">
        <v>4947</v>
      </c>
      <c r="F361" s="3193" t="s">
        <v>4829</v>
      </c>
      <c r="I361" s="3198">
        <v>359</v>
      </c>
      <c r="J361" s="3179" t="s">
        <v>5544</v>
      </c>
      <c r="K361" s="3179" t="s">
        <v>4943</v>
      </c>
      <c r="L361" s="3179">
        <v>5.7866660000000003</v>
      </c>
    </row>
    <row r="362" spans="1:12">
      <c r="A362" s="3191">
        <v>360</v>
      </c>
      <c r="B362" s="3191" t="s">
        <v>4943</v>
      </c>
      <c r="C362" s="3195" t="s">
        <v>4948</v>
      </c>
      <c r="D362" s="3193">
        <v>30</v>
      </c>
      <c r="E362" s="3193" t="s">
        <v>4488</v>
      </c>
      <c r="F362" s="3193" t="s">
        <v>4949</v>
      </c>
      <c r="I362" s="3198">
        <v>360</v>
      </c>
      <c r="J362" s="3179" t="s">
        <v>5545</v>
      </c>
      <c r="K362" s="3179" t="s">
        <v>4943</v>
      </c>
      <c r="L362" s="3179">
        <v>0.18756900000000001</v>
      </c>
    </row>
    <row r="363" spans="1:12">
      <c r="A363" s="3191">
        <v>361</v>
      </c>
      <c r="B363" s="3191" t="s">
        <v>4943</v>
      </c>
      <c r="C363" s="3195" t="s">
        <v>4950</v>
      </c>
      <c r="D363" s="3193">
        <v>69.959999999999994</v>
      </c>
      <c r="E363" s="3193" t="s">
        <v>4462</v>
      </c>
      <c r="F363" s="3193" t="s">
        <v>4662</v>
      </c>
      <c r="I363" s="3198">
        <v>361</v>
      </c>
      <c r="J363" s="3179" t="s">
        <v>5546</v>
      </c>
      <c r="K363" s="3179" t="s">
        <v>4943</v>
      </c>
      <c r="L363" s="3179">
        <v>7.92</v>
      </c>
    </row>
    <row r="364" spans="1:12">
      <c r="A364" s="3191">
        <v>362</v>
      </c>
      <c r="B364" s="3191" t="s">
        <v>4943</v>
      </c>
      <c r="C364" s="3195" t="s">
        <v>4951</v>
      </c>
      <c r="D364" s="3193">
        <v>6.27</v>
      </c>
      <c r="E364" s="3193" t="s">
        <v>4952</v>
      </c>
      <c r="F364" s="3193" t="s">
        <v>4953</v>
      </c>
      <c r="I364" s="3198">
        <v>362</v>
      </c>
      <c r="J364" s="3179" t="s">
        <v>5547</v>
      </c>
      <c r="K364" s="3179" t="s">
        <v>4943</v>
      </c>
      <c r="L364" s="3179">
        <v>0.13548299999999999</v>
      </c>
    </row>
    <row r="365" spans="1:12">
      <c r="A365" s="3191">
        <v>363</v>
      </c>
      <c r="B365" s="3191" t="s">
        <v>4943</v>
      </c>
      <c r="C365" s="3195" t="s">
        <v>4792</v>
      </c>
      <c r="D365" s="3193">
        <v>3</v>
      </c>
      <c r="E365" s="3193" t="s">
        <v>4918</v>
      </c>
      <c r="F365" s="3193" t="s">
        <v>4872</v>
      </c>
      <c r="I365" s="3198">
        <v>363</v>
      </c>
      <c r="J365" s="3179" t="s">
        <v>5548</v>
      </c>
      <c r="K365" s="3179" t="s">
        <v>4943</v>
      </c>
      <c r="L365" s="3179">
        <v>0.23</v>
      </c>
    </row>
    <row r="366" spans="1:12">
      <c r="A366" s="3191">
        <v>364</v>
      </c>
      <c r="B366" s="3191" t="s">
        <v>4943</v>
      </c>
      <c r="C366" s="3195" t="s">
        <v>4939</v>
      </c>
      <c r="D366" s="3193">
        <v>10</v>
      </c>
      <c r="E366" s="3193" t="s">
        <v>4954</v>
      </c>
      <c r="F366" s="3193" t="s">
        <v>4940</v>
      </c>
      <c r="I366" s="3198">
        <v>364</v>
      </c>
      <c r="J366" s="3179" t="s">
        <v>5549</v>
      </c>
      <c r="K366" s="3179" t="s">
        <v>4943</v>
      </c>
      <c r="L366" s="3179">
        <v>0.73290299999999997</v>
      </c>
    </row>
    <row r="367" spans="1:12">
      <c r="A367" s="3191">
        <v>365</v>
      </c>
      <c r="B367" s="3191" t="s">
        <v>4943</v>
      </c>
      <c r="C367" s="3195" t="s">
        <v>4955</v>
      </c>
      <c r="D367" s="3193">
        <v>20</v>
      </c>
      <c r="E367" s="3193" t="s">
        <v>4956</v>
      </c>
      <c r="F367" s="3193" t="s">
        <v>4957</v>
      </c>
      <c r="I367" s="3198">
        <v>365</v>
      </c>
      <c r="J367" s="3179" t="s">
        <v>5550</v>
      </c>
      <c r="K367" s="3179" t="s">
        <v>4943</v>
      </c>
      <c r="L367" s="3179">
        <v>8.1284159999999996</v>
      </c>
    </row>
    <row r="368" spans="1:12">
      <c r="A368" s="3191">
        <v>366</v>
      </c>
      <c r="B368" s="3191" t="s">
        <v>4943</v>
      </c>
      <c r="C368" s="3195" t="s">
        <v>4942</v>
      </c>
      <c r="D368" s="3193">
        <v>3</v>
      </c>
      <c r="E368" s="3193" t="s">
        <v>4958</v>
      </c>
      <c r="F368" s="3193" t="s">
        <v>4413</v>
      </c>
      <c r="I368" s="3198">
        <v>366</v>
      </c>
      <c r="J368" s="3179" t="s">
        <v>5551</v>
      </c>
      <c r="K368" s="3179" t="s">
        <v>4943</v>
      </c>
      <c r="L368" s="3179">
        <v>0.63</v>
      </c>
    </row>
    <row r="369" spans="1:12">
      <c r="A369" s="3191">
        <v>367</v>
      </c>
      <c r="B369" s="3191" t="s">
        <v>4943</v>
      </c>
      <c r="C369" s="3195" t="s">
        <v>4487</v>
      </c>
      <c r="D369" s="3193">
        <v>4</v>
      </c>
      <c r="E369" s="3193" t="s">
        <v>4959</v>
      </c>
      <c r="F369" s="3193" t="s">
        <v>4960</v>
      </c>
      <c r="I369" s="3198">
        <v>367</v>
      </c>
      <c r="J369" s="3179" t="s">
        <v>5552</v>
      </c>
      <c r="K369" s="3179" t="s">
        <v>4943</v>
      </c>
      <c r="L369" s="3179">
        <v>0.20799999999999999</v>
      </c>
    </row>
    <row r="370" spans="1:12">
      <c r="A370" s="3191">
        <v>368</v>
      </c>
      <c r="B370" s="3191" t="s">
        <v>4943</v>
      </c>
      <c r="C370" s="3195" t="s">
        <v>4961</v>
      </c>
      <c r="D370" s="3193">
        <v>69.38</v>
      </c>
      <c r="E370" s="3193" t="s">
        <v>4962</v>
      </c>
      <c r="F370" s="3193" t="s">
        <v>4424</v>
      </c>
      <c r="I370" s="3198">
        <v>368</v>
      </c>
      <c r="J370" s="3179" t="s">
        <v>5553</v>
      </c>
      <c r="K370" s="3179" t="s">
        <v>4943</v>
      </c>
      <c r="L370" s="3179">
        <v>9.728002</v>
      </c>
    </row>
    <row r="371" spans="1:12">
      <c r="A371" s="3191">
        <v>369</v>
      </c>
      <c r="B371" s="3191" t="s">
        <v>4943</v>
      </c>
      <c r="C371" s="3195" t="s">
        <v>4963</v>
      </c>
      <c r="D371" s="3193">
        <v>9</v>
      </c>
      <c r="E371" s="3193" t="s">
        <v>4964</v>
      </c>
      <c r="F371" s="3193" t="s">
        <v>4965</v>
      </c>
      <c r="I371" s="3198">
        <v>369</v>
      </c>
      <c r="J371" s="3179" t="s">
        <v>5554</v>
      </c>
      <c r="K371" s="3179" t="s">
        <v>4943</v>
      </c>
      <c r="L371" s="3179">
        <v>5.8133340000000002</v>
      </c>
    </row>
    <row r="372" spans="1:12">
      <c r="A372" s="3191">
        <v>370</v>
      </c>
      <c r="B372" s="3191" t="s">
        <v>4943</v>
      </c>
      <c r="C372" s="3195" t="s">
        <v>4966</v>
      </c>
      <c r="D372" s="3193">
        <v>24.97</v>
      </c>
      <c r="E372" s="3193" t="s">
        <v>4511</v>
      </c>
      <c r="F372" s="3193" t="s">
        <v>4424</v>
      </c>
      <c r="I372" s="3198">
        <v>370</v>
      </c>
      <c r="J372" s="3179" t="s">
        <v>5555</v>
      </c>
      <c r="K372" s="3179" t="s">
        <v>4943</v>
      </c>
      <c r="L372" s="3179">
        <v>3.6480000000000001</v>
      </c>
    </row>
    <row r="373" spans="1:12">
      <c r="A373" s="3191">
        <v>371</v>
      </c>
      <c r="B373" s="3191" t="s">
        <v>4943</v>
      </c>
      <c r="C373" s="3195" t="s">
        <v>4967</v>
      </c>
      <c r="D373" s="3193">
        <v>30</v>
      </c>
      <c r="E373" s="3193" t="s">
        <v>4968</v>
      </c>
      <c r="F373" s="3193" t="s">
        <v>4969</v>
      </c>
      <c r="I373" s="3198">
        <v>371</v>
      </c>
      <c r="J373" s="3179" t="s">
        <v>5556</v>
      </c>
      <c r="K373" s="3179" t="s">
        <v>4943</v>
      </c>
      <c r="L373" s="3179">
        <v>6.069</v>
      </c>
    </row>
    <row r="374" spans="1:12">
      <c r="A374" s="3191">
        <v>372</v>
      </c>
      <c r="B374" s="3191" t="s">
        <v>4943</v>
      </c>
      <c r="C374" s="3195" t="s">
        <v>4970</v>
      </c>
      <c r="D374" s="3193">
        <v>4</v>
      </c>
      <c r="E374" s="3193" t="s">
        <v>4971</v>
      </c>
      <c r="F374" s="3193" t="s">
        <v>4885</v>
      </c>
      <c r="I374" s="3198">
        <v>372</v>
      </c>
      <c r="J374" s="3179" t="s">
        <v>5557</v>
      </c>
      <c r="K374" s="3179" t="s">
        <v>4943</v>
      </c>
      <c r="L374" s="3179">
        <v>2.8333339999999998</v>
      </c>
    </row>
    <row r="375" spans="1:12">
      <c r="A375" s="3191">
        <v>373</v>
      </c>
      <c r="B375" s="3191" t="s">
        <v>4943</v>
      </c>
      <c r="C375" s="3195" t="s">
        <v>4972</v>
      </c>
      <c r="D375" s="3193">
        <v>15</v>
      </c>
      <c r="E375" s="3193" t="s">
        <v>4973</v>
      </c>
      <c r="F375" s="3193" t="s">
        <v>4846</v>
      </c>
      <c r="I375" s="3198">
        <v>373</v>
      </c>
      <c r="J375" s="3179" t="s">
        <v>5558</v>
      </c>
      <c r="K375" s="3179" t="s">
        <v>4943</v>
      </c>
      <c r="L375" s="3179">
        <v>9</v>
      </c>
    </row>
    <row r="376" spans="1:12">
      <c r="A376" s="3191">
        <v>374</v>
      </c>
      <c r="B376" s="3191" t="s">
        <v>4943</v>
      </c>
      <c r="C376" s="3195" t="s">
        <v>4974</v>
      </c>
      <c r="D376" s="3193">
        <v>8</v>
      </c>
      <c r="E376" s="3193" t="s">
        <v>4973</v>
      </c>
      <c r="F376" s="3193" t="s">
        <v>4846</v>
      </c>
      <c r="I376" s="3198">
        <v>374</v>
      </c>
      <c r="J376" s="3179" t="s">
        <v>5559</v>
      </c>
      <c r="K376" s="3179" t="s">
        <v>4943</v>
      </c>
      <c r="L376" s="3179">
        <v>0.64644999999999997</v>
      </c>
    </row>
    <row r="377" spans="1:12">
      <c r="A377" s="3191">
        <v>375</v>
      </c>
      <c r="B377" s="3191" t="s">
        <v>4943</v>
      </c>
      <c r="C377" s="3195" t="s">
        <v>4939</v>
      </c>
      <c r="D377" s="3193">
        <v>5.25</v>
      </c>
      <c r="E377" s="3193" t="s">
        <v>4894</v>
      </c>
      <c r="F377" s="3193" t="s">
        <v>4512</v>
      </c>
      <c r="I377" s="3198">
        <v>375</v>
      </c>
      <c r="J377" s="3179" t="s">
        <v>5560</v>
      </c>
      <c r="K377" s="3179" t="s">
        <v>4943</v>
      </c>
      <c r="L377" s="3179">
        <v>2.2400000000000002</v>
      </c>
    </row>
    <row r="378" spans="1:12">
      <c r="A378" s="3191">
        <v>376</v>
      </c>
      <c r="B378" s="3191" t="s">
        <v>4943</v>
      </c>
      <c r="C378" s="3195" t="s">
        <v>4975</v>
      </c>
      <c r="D378" s="3193">
        <v>3</v>
      </c>
      <c r="E378" s="3193" t="s">
        <v>4976</v>
      </c>
      <c r="F378" s="3193" t="s">
        <v>4838</v>
      </c>
      <c r="I378" s="3198">
        <v>376</v>
      </c>
      <c r="J378" s="3179" t="s">
        <v>5561</v>
      </c>
      <c r="K378" s="3179" t="s">
        <v>4943</v>
      </c>
      <c r="L378" s="3179">
        <v>2.46129</v>
      </c>
    </row>
    <row r="379" spans="1:12" ht="15.95" customHeight="1">
      <c r="A379" s="3191">
        <v>377</v>
      </c>
      <c r="B379" s="3191" t="s">
        <v>4943</v>
      </c>
      <c r="C379" s="3195" t="s">
        <v>4977</v>
      </c>
      <c r="D379" s="3193">
        <v>16.72</v>
      </c>
      <c r="E379" s="3193" t="s">
        <v>4978</v>
      </c>
      <c r="F379" s="3193" t="s">
        <v>4979</v>
      </c>
      <c r="I379" s="3198">
        <v>377</v>
      </c>
      <c r="J379" s="3179" t="s">
        <v>5562</v>
      </c>
      <c r="K379" s="3179" t="s">
        <v>4943</v>
      </c>
      <c r="L379" s="3179">
        <v>2.8933339999999999</v>
      </c>
    </row>
    <row r="380" spans="1:12">
      <c r="A380" s="3191">
        <v>378</v>
      </c>
      <c r="B380" s="3191" t="s">
        <v>4943</v>
      </c>
      <c r="C380" s="3195" t="s">
        <v>4980</v>
      </c>
      <c r="D380" s="3193">
        <v>6</v>
      </c>
      <c r="E380" s="3193" t="s">
        <v>4981</v>
      </c>
      <c r="F380" s="3193" t="s">
        <v>4982</v>
      </c>
      <c r="I380" s="3198">
        <v>378</v>
      </c>
      <c r="J380" s="3179" t="s">
        <v>5563</v>
      </c>
      <c r="K380" s="3179" t="s">
        <v>4943</v>
      </c>
      <c r="L380" s="3179">
        <v>0.91245799999999999</v>
      </c>
    </row>
    <row r="381" spans="1:12">
      <c r="A381" s="3191">
        <v>379</v>
      </c>
      <c r="B381" s="3191" t="s">
        <v>4943</v>
      </c>
      <c r="C381" s="3195" t="s">
        <v>4983</v>
      </c>
      <c r="D381" s="3193">
        <v>14.7</v>
      </c>
      <c r="E381" s="3193" t="s">
        <v>4984</v>
      </c>
      <c r="F381" s="3193" t="s">
        <v>4855</v>
      </c>
      <c r="I381" s="3198">
        <v>379</v>
      </c>
      <c r="J381" s="3179" t="s">
        <v>5564</v>
      </c>
      <c r="K381" s="3179" t="s">
        <v>4943</v>
      </c>
      <c r="L381" s="3179">
        <v>8.466666</v>
      </c>
    </row>
    <row r="382" spans="1:12">
      <c r="A382" s="3191">
        <v>380</v>
      </c>
      <c r="B382" s="3191" t="s">
        <v>4943</v>
      </c>
      <c r="C382" s="3195" t="s">
        <v>4985</v>
      </c>
      <c r="D382" s="3193">
        <v>12</v>
      </c>
      <c r="E382" s="3193" t="s">
        <v>4986</v>
      </c>
      <c r="F382" s="3193" t="s">
        <v>4987</v>
      </c>
      <c r="I382" s="3198">
        <v>380</v>
      </c>
      <c r="J382" s="3179" t="s">
        <v>5565</v>
      </c>
      <c r="K382" s="3179" t="s">
        <v>4943</v>
      </c>
      <c r="L382" s="3179">
        <v>6.468</v>
      </c>
    </row>
    <row r="383" spans="1:12">
      <c r="A383" s="3191">
        <v>381</v>
      </c>
      <c r="B383" s="3191" t="s">
        <v>4943</v>
      </c>
      <c r="C383" s="3195" t="s">
        <v>4988</v>
      </c>
      <c r="D383" s="3193">
        <v>4.5</v>
      </c>
      <c r="E383" s="3193" t="s">
        <v>4784</v>
      </c>
      <c r="F383" s="3193" t="s">
        <v>4413</v>
      </c>
      <c r="I383" s="3198">
        <v>381</v>
      </c>
      <c r="J383" s="3179" t="s">
        <v>5566</v>
      </c>
      <c r="K383" s="3179" t="s">
        <v>4943</v>
      </c>
      <c r="L383" s="3179">
        <v>2.4</v>
      </c>
    </row>
    <row r="384" spans="1:12">
      <c r="A384" s="3191">
        <v>382</v>
      </c>
      <c r="B384" s="3191" t="s">
        <v>4943</v>
      </c>
      <c r="C384" s="3195" t="s">
        <v>4710</v>
      </c>
      <c r="D384" s="3193">
        <v>57.24</v>
      </c>
      <c r="E384" s="3193" t="s">
        <v>4784</v>
      </c>
      <c r="F384" s="3193" t="s">
        <v>4417</v>
      </c>
      <c r="I384" s="3198">
        <v>382</v>
      </c>
      <c r="J384" s="3179" t="s">
        <v>5567</v>
      </c>
      <c r="K384" s="3179" t="s">
        <v>4943</v>
      </c>
      <c r="L384" s="3179">
        <v>7.04</v>
      </c>
    </row>
    <row r="385" spans="1:12">
      <c r="A385" s="3191">
        <v>383</v>
      </c>
      <c r="B385" s="3191" t="s">
        <v>4943</v>
      </c>
      <c r="C385" s="3195" t="s">
        <v>4989</v>
      </c>
      <c r="D385" s="3193">
        <v>35.35</v>
      </c>
      <c r="E385" s="3193" t="s">
        <v>4990</v>
      </c>
      <c r="F385" s="3193" t="s">
        <v>4991</v>
      </c>
      <c r="I385" s="3198">
        <v>383</v>
      </c>
      <c r="J385" s="3179" t="s">
        <v>5568</v>
      </c>
      <c r="K385" s="3179" t="s">
        <v>4943</v>
      </c>
      <c r="L385" s="3179">
        <v>11.7</v>
      </c>
    </row>
    <row r="386" spans="1:12">
      <c r="A386" s="3191">
        <v>384</v>
      </c>
      <c r="B386" s="3191" t="s">
        <v>4943</v>
      </c>
      <c r="C386" s="3195" t="s">
        <v>4617</v>
      </c>
      <c r="D386" s="3193">
        <v>82.68</v>
      </c>
      <c r="E386" s="3193" t="s">
        <v>4432</v>
      </c>
      <c r="F386" s="3193" t="s">
        <v>4417</v>
      </c>
      <c r="I386" s="3198">
        <v>384</v>
      </c>
      <c r="J386" s="3179" t="s">
        <v>5569</v>
      </c>
      <c r="K386" s="3179" t="s">
        <v>4943</v>
      </c>
      <c r="L386" s="3179">
        <v>6.0528000000000004</v>
      </c>
    </row>
    <row r="387" spans="1:12">
      <c r="A387" s="3191">
        <v>385</v>
      </c>
      <c r="B387" s="3191" t="s">
        <v>4943</v>
      </c>
      <c r="C387" s="3195" t="s">
        <v>4818</v>
      </c>
      <c r="D387" s="3193">
        <v>15.4</v>
      </c>
      <c r="E387" s="3193" t="s">
        <v>4992</v>
      </c>
      <c r="F387" s="3193" t="s">
        <v>4993</v>
      </c>
      <c r="I387" s="3198">
        <v>385</v>
      </c>
      <c r="J387" s="3179" t="s">
        <v>5570</v>
      </c>
      <c r="K387" s="3179" t="s">
        <v>4943</v>
      </c>
      <c r="L387" s="3179">
        <v>4.6263439999999996</v>
      </c>
    </row>
    <row r="388" spans="1:12">
      <c r="A388" s="3191">
        <v>386</v>
      </c>
      <c r="B388" s="3191" t="s">
        <v>4943</v>
      </c>
      <c r="C388" s="3195" t="s">
        <v>4744</v>
      </c>
      <c r="D388" s="3193">
        <v>5</v>
      </c>
      <c r="E388" s="3193" t="s">
        <v>4994</v>
      </c>
      <c r="F388" s="3193" t="s">
        <v>4529</v>
      </c>
      <c r="I388" s="3198">
        <v>386</v>
      </c>
      <c r="J388" s="3179" t="s">
        <v>5571</v>
      </c>
      <c r="K388" s="3179" t="s">
        <v>4943</v>
      </c>
      <c r="L388" s="3179">
        <v>1.98</v>
      </c>
    </row>
    <row r="389" spans="1:12">
      <c r="A389" s="3191">
        <v>387</v>
      </c>
      <c r="B389" s="3191" t="s">
        <v>4943</v>
      </c>
      <c r="C389" s="3195" t="s">
        <v>4995</v>
      </c>
      <c r="D389" s="3193">
        <v>10</v>
      </c>
      <c r="E389" s="3193" t="s">
        <v>4996</v>
      </c>
      <c r="F389" s="3193" t="s">
        <v>4877</v>
      </c>
      <c r="I389" s="3198">
        <v>387</v>
      </c>
      <c r="J389" s="3179" t="s">
        <v>5572</v>
      </c>
      <c r="K389" s="3179" t="s">
        <v>4943</v>
      </c>
      <c r="L389" s="3179">
        <v>4.1936000000000001E-2</v>
      </c>
    </row>
    <row r="390" spans="1:12">
      <c r="A390" s="3191">
        <v>388</v>
      </c>
      <c r="B390" s="3191" t="s">
        <v>4943</v>
      </c>
      <c r="C390" s="3195" t="s">
        <v>4735</v>
      </c>
      <c r="D390" s="3193">
        <v>40.01</v>
      </c>
      <c r="E390" s="3193" t="s">
        <v>4997</v>
      </c>
      <c r="F390" s="3193" t="s">
        <v>4698</v>
      </c>
      <c r="I390" s="3198">
        <v>388</v>
      </c>
      <c r="J390" s="3179" t="s">
        <v>5573</v>
      </c>
      <c r="K390" s="3179" t="s">
        <v>4943</v>
      </c>
      <c r="L390" s="3179">
        <v>1.1200000000000001</v>
      </c>
    </row>
    <row r="391" spans="1:12">
      <c r="A391" s="3191">
        <v>389</v>
      </c>
      <c r="B391" s="3191" t="s">
        <v>4943</v>
      </c>
      <c r="C391" s="3195" t="s">
        <v>4648</v>
      </c>
      <c r="D391" s="3193">
        <v>40</v>
      </c>
      <c r="E391" s="3193" t="s">
        <v>4998</v>
      </c>
      <c r="F391" s="3193" t="s">
        <v>4999</v>
      </c>
      <c r="I391" s="3198">
        <v>389</v>
      </c>
      <c r="J391" s="3179" t="s">
        <v>5574</v>
      </c>
      <c r="K391" s="3179" t="s">
        <v>4943</v>
      </c>
      <c r="L391" s="3179">
        <v>1</v>
      </c>
    </row>
    <row r="392" spans="1:12">
      <c r="A392" s="3191">
        <v>390</v>
      </c>
      <c r="B392" s="3191" t="s">
        <v>4943</v>
      </c>
      <c r="C392" s="3195" t="s">
        <v>4630</v>
      </c>
      <c r="D392" s="3193">
        <v>100</v>
      </c>
      <c r="E392" s="3193" t="s">
        <v>5000</v>
      </c>
      <c r="F392" s="3193" t="s">
        <v>5001</v>
      </c>
      <c r="I392" s="3198">
        <v>390</v>
      </c>
      <c r="J392" s="3179" t="s">
        <v>5575</v>
      </c>
      <c r="K392" s="3179" t="s">
        <v>4943</v>
      </c>
      <c r="L392" s="3179">
        <v>0.3</v>
      </c>
    </row>
    <row r="393" spans="1:12">
      <c r="A393" s="3191">
        <v>391</v>
      </c>
      <c r="B393" s="3191" t="s">
        <v>4943</v>
      </c>
      <c r="C393" s="3195" t="s">
        <v>5002</v>
      </c>
      <c r="D393" s="3193">
        <v>21</v>
      </c>
      <c r="E393" s="3193" t="s">
        <v>5000</v>
      </c>
      <c r="F393" s="3193" t="s">
        <v>5003</v>
      </c>
      <c r="I393" s="3198">
        <v>391</v>
      </c>
      <c r="J393" s="3179" t="s">
        <v>5576</v>
      </c>
      <c r="K393" s="3179" t="s">
        <v>4943</v>
      </c>
      <c r="L393" s="3179">
        <v>0.24</v>
      </c>
    </row>
    <row r="394" spans="1:12">
      <c r="A394" s="3191">
        <v>392</v>
      </c>
      <c r="B394" s="3191" t="s">
        <v>4943</v>
      </c>
      <c r="C394" s="3195" t="s">
        <v>5004</v>
      </c>
      <c r="D394" s="3193">
        <v>34.96</v>
      </c>
      <c r="E394" s="3193" t="s">
        <v>5005</v>
      </c>
      <c r="F394" s="3193" t="s">
        <v>4953</v>
      </c>
      <c r="I394" s="3198">
        <v>392</v>
      </c>
      <c r="J394" s="3179" t="s">
        <v>5577</v>
      </c>
      <c r="K394" s="3179" t="s">
        <v>4943</v>
      </c>
      <c r="L394" s="3179">
        <v>4.645162</v>
      </c>
    </row>
    <row r="395" spans="1:12">
      <c r="A395" s="3191">
        <v>393</v>
      </c>
      <c r="B395" s="3191" t="s">
        <v>4943</v>
      </c>
      <c r="C395" s="3195" t="s">
        <v>5006</v>
      </c>
      <c r="D395" s="3193">
        <v>810</v>
      </c>
      <c r="E395" s="3193" t="s">
        <v>4801</v>
      </c>
      <c r="F395" s="3193" t="s">
        <v>4872</v>
      </c>
      <c r="I395" s="3198">
        <v>393</v>
      </c>
      <c r="J395" s="3179" t="s">
        <v>5578</v>
      </c>
      <c r="K395" s="3179" t="s">
        <v>4943</v>
      </c>
      <c r="L395" s="3179">
        <v>3.3333339999999998</v>
      </c>
    </row>
    <row r="396" spans="1:12">
      <c r="A396" s="3191">
        <v>394</v>
      </c>
      <c r="B396" s="3191" t="s">
        <v>4943</v>
      </c>
      <c r="C396" s="3195" t="s">
        <v>5007</v>
      </c>
      <c r="D396" s="3193">
        <v>22.44</v>
      </c>
      <c r="E396" s="3193" t="s">
        <v>5008</v>
      </c>
      <c r="F396" s="3193" t="s">
        <v>5009</v>
      </c>
      <c r="I396" s="3198">
        <v>394</v>
      </c>
      <c r="J396" s="3179" t="s">
        <v>5579</v>
      </c>
      <c r="K396" s="3179" t="s">
        <v>4943</v>
      </c>
      <c r="L396" s="3179">
        <v>2.787096</v>
      </c>
    </row>
    <row r="397" spans="1:12">
      <c r="A397" s="3191">
        <v>395</v>
      </c>
      <c r="B397" s="3191" t="s">
        <v>4943</v>
      </c>
      <c r="C397" s="3195" t="s">
        <v>5010</v>
      </c>
      <c r="D397" s="3193">
        <v>20</v>
      </c>
      <c r="E397" s="3193" t="s">
        <v>4877</v>
      </c>
      <c r="F397" s="3193" t="s">
        <v>4886</v>
      </c>
      <c r="I397" s="3198">
        <v>395</v>
      </c>
      <c r="J397" s="3179" t="s">
        <v>5580</v>
      </c>
      <c r="K397" s="3179" t="s">
        <v>4943</v>
      </c>
      <c r="L397" s="3179">
        <v>3.5</v>
      </c>
    </row>
    <row r="398" spans="1:12">
      <c r="A398" s="3191">
        <v>396</v>
      </c>
      <c r="B398" s="3191" t="s">
        <v>4943</v>
      </c>
      <c r="C398" s="3195" t="s">
        <v>5011</v>
      </c>
      <c r="D398" s="3193">
        <v>25</v>
      </c>
      <c r="E398" s="3193" t="s">
        <v>4877</v>
      </c>
      <c r="F398" s="3193" t="s">
        <v>5012</v>
      </c>
      <c r="I398" s="3198">
        <v>396</v>
      </c>
      <c r="J398" s="3179" t="s">
        <v>5581</v>
      </c>
      <c r="K398" s="3179" t="s">
        <v>4943</v>
      </c>
      <c r="L398" s="3179">
        <v>22.2</v>
      </c>
    </row>
    <row r="399" spans="1:12">
      <c r="A399" s="3191">
        <v>397</v>
      </c>
      <c r="B399" s="3191" t="s">
        <v>4943</v>
      </c>
      <c r="C399" s="3195" t="s">
        <v>5013</v>
      </c>
      <c r="D399" s="3193">
        <v>48.16</v>
      </c>
      <c r="E399" s="3193" t="s">
        <v>4877</v>
      </c>
      <c r="F399" s="3193" t="s">
        <v>4564</v>
      </c>
      <c r="I399" s="3198">
        <v>397</v>
      </c>
      <c r="J399" s="3179" t="s">
        <v>5582</v>
      </c>
      <c r="K399" s="3179" t="s">
        <v>4943</v>
      </c>
      <c r="L399" s="3179">
        <v>15.104699999999999</v>
      </c>
    </row>
    <row r="400" spans="1:12">
      <c r="A400" s="3191">
        <v>398</v>
      </c>
      <c r="B400" s="3191" t="s">
        <v>4943</v>
      </c>
      <c r="C400" s="3195" t="s">
        <v>4582</v>
      </c>
      <c r="D400" s="3193">
        <v>10</v>
      </c>
      <c r="E400" s="3193" t="s">
        <v>4877</v>
      </c>
      <c r="F400" s="3193" t="s">
        <v>4564</v>
      </c>
      <c r="I400" s="3198">
        <v>398</v>
      </c>
      <c r="J400" s="3179" t="s">
        <v>5583</v>
      </c>
      <c r="K400" s="3179" t="s">
        <v>4943</v>
      </c>
      <c r="L400" s="3179">
        <v>4.0635000000000003</v>
      </c>
    </row>
    <row r="401" spans="1:12">
      <c r="A401" s="3191">
        <v>399</v>
      </c>
      <c r="B401" s="3191" t="s">
        <v>4943</v>
      </c>
      <c r="C401" s="3195" t="s">
        <v>4995</v>
      </c>
      <c r="D401" s="3193">
        <v>10</v>
      </c>
      <c r="E401" s="3193" t="s">
        <v>5001</v>
      </c>
      <c r="F401" s="3193" t="s">
        <v>4870</v>
      </c>
      <c r="I401" s="3198">
        <v>399</v>
      </c>
      <c r="J401" s="3179" t="s">
        <v>5584</v>
      </c>
      <c r="K401" s="3179" t="s">
        <v>4943</v>
      </c>
      <c r="L401" s="3179">
        <v>1.3</v>
      </c>
    </row>
    <row r="402" spans="1:12">
      <c r="A402" s="3191">
        <v>400</v>
      </c>
      <c r="B402" s="3191" t="s">
        <v>4943</v>
      </c>
      <c r="C402" s="3195" t="s">
        <v>5004</v>
      </c>
      <c r="D402" s="3193">
        <v>72</v>
      </c>
      <c r="E402" s="3193" t="s">
        <v>5014</v>
      </c>
      <c r="F402" s="3193" t="s">
        <v>5015</v>
      </c>
      <c r="I402" s="3198">
        <v>400</v>
      </c>
      <c r="J402" s="3179" t="s">
        <v>5585</v>
      </c>
      <c r="K402" s="3179" t="s">
        <v>4943</v>
      </c>
      <c r="L402" s="3179">
        <v>18.5</v>
      </c>
    </row>
    <row r="403" spans="1:12">
      <c r="A403" s="3191">
        <v>401</v>
      </c>
      <c r="B403" s="3191" t="s">
        <v>4943</v>
      </c>
      <c r="C403" s="3195" t="s">
        <v>5016</v>
      </c>
      <c r="D403" s="3193">
        <v>101.5</v>
      </c>
      <c r="E403" s="3193" t="s">
        <v>4865</v>
      </c>
      <c r="F403" s="3193" t="s">
        <v>4875</v>
      </c>
      <c r="I403" s="3198">
        <v>401</v>
      </c>
      <c r="J403" s="3179" t="s">
        <v>5586</v>
      </c>
      <c r="K403" s="3179" t="s">
        <v>4943</v>
      </c>
      <c r="L403" s="3179">
        <v>2</v>
      </c>
    </row>
    <row r="404" spans="1:12">
      <c r="A404" s="3191">
        <v>402</v>
      </c>
      <c r="B404" s="3191" t="s">
        <v>4943</v>
      </c>
      <c r="C404" s="3195" t="s">
        <v>4536</v>
      </c>
      <c r="D404" s="3193">
        <v>12.72</v>
      </c>
      <c r="E404" s="3193" t="s">
        <v>4865</v>
      </c>
      <c r="F404" s="3193" t="s">
        <v>5017</v>
      </c>
      <c r="I404" s="3198">
        <v>402</v>
      </c>
      <c r="J404" s="3179" t="s">
        <v>5587</v>
      </c>
      <c r="K404" s="3179" t="s">
        <v>4943</v>
      </c>
      <c r="L404" s="3179">
        <v>1.3838699999999999</v>
      </c>
    </row>
    <row r="405" spans="1:12">
      <c r="A405" s="3191">
        <v>403</v>
      </c>
      <c r="B405" s="3191" t="s">
        <v>4943</v>
      </c>
      <c r="C405" s="3195" t="s">
        <v>5007</v>
      </c>
      <c r="D405" s="3193">
        <v>22.44</v>
      </c>
      <c r="E405" s="3193" t="s">
        <v>5018</v>
      </c>
      <c r="F405" s="3193" t="s">
        <v>4413</v>
      </c>
      <c r="I405" s="3198">
        <v>403</v>
      </c>
      <c r="J405" s="3179" t="s">
        <v>5588</v>
      </c>
      <c r="K405" s="3179" t="s">
        <v>4943</v>
      </c>
      <c r="L405" s="3179">
        <v>4.74</v>
      </c>
    </row>
    <row r="406" spans="1:12">
      <c r="A406" s="3191">
        <v>404</v>
      </c>
      <c r="B406" s="3191" t="s">
        <v>4943</v>
      </c>
      <c r="C406" s="3195" t="s">
        <v>5010</v>
      </c>
      <c r="D406" s="3193">
        <v>20</v>
      </c>
      <c r="E406" s="3193" t="s">
        <v>4870</v>
      </c>
      <c r="F406" s="3193" t="s">
        <v>4413</v>
      </c>
      <c r="I406" s="3198">
        <v>404</v>
      </c>
      <c r="J406" s="3179" t="s">
        <v>5589</v>
      </c>
      <c r="K406" s="3179" t="s">
        <v>4943</v>
      </c>
      <c r="L406" s="3179">
        <v>4.9000000000000004</v>
      </c>
    </row>
    <row r="407" spans="1:12">
      <c r="A407" s="3191">
        <v>405</v>
      </c>
      <c r="B407" s="3191" t="s">
        <v>4943</v>
      </c>
      <c r="C407" s="3195" t="s">
        <v>4995</v>
      </c>
      <c r="D407" s="3193">
        <v>10</v>
      </c>
      <c r="E407" s="3193" t="s">
        <v>5019</v>
      </c>
      <c r="F407" s="3193" t="s">
        <v>4897</v>
      </c>
      <c r="I407" s="3198">
        <v>405</v>
      </c>
      <c r="J407" s="3179" t="s">
        <v>5590</v>
      </c>
      <c r="K407" s="3179" t="s">
        <v>4943</v>
      </c>
      <c r="L407" s="3179">
        <v>1.3</v>
      </c>
    </row>
    <row r="408" spans="1:12">
      <c r="A408" s="3191">
        <v>406</v>
      </c>
      <c r="B408" s="3191" t="s">
        <v>4943</v>
      </c>
      <c r="C408" s="3195" t="s">
        <v>5004</v>
      </c>
      <c r="D408" s="3193">
        <v>72</v>
      </c>
      <c r="E408" s="3193" t="s">
        <v>5020</v>
      </c>
      <c r="F408" s="3193" t="s">
        <v>5021</v>
      </c>
      <c r="I408" s="3198">
        <v>406</v>
      </c>
      <c r="J408" s="3179" t="s">
        <v>5591</v>
      </c>
      <c r="K408" s="3179" t="s">
        <v>4943</v>
      </c>
      <c r="L408" s="3179">
        <v>18.5</v>
      </c>
    </row>
    <row r="409" spans="1:12">
      <c r="A409" s="3191">
        <v>407</v>
      </c>
      <c r="B409" s="3191" t="s">
        <v>4943</v>
      </c>
      <c r="C409" s="3195" t="s">
        <v>4495</v>
      </c>
      <c r="D409" s="3193">
        <v>150</v>
      </c>
      <c r="E409" s="3193" t="s">
        <v>5022</v>
      </c>
      <c r="F409" s="3193" t="s">
        <v>5023</v>
      </c>
      <c r="I409" s="3198">
        <v>407</v>
      </c>
      <c r="J409" s="3179" t="s">
        <v>5592</v>
      </c>
      <c r="K409" s="3179" t="s">
        <v>4943</v>
      </c>
      <c r="L409" s="3179">
        <v>5</v>
      </c>
    </row>
    <row r="410" spans="1:12">
      <c r="A410" s="3191">
        <v>408</v>
      </c>
      <c r="B410" s="3191" t="s">
        <v>4943</v>
      </c>
      <c r="C410" s="3195" t="s">
        <v>4649</v>
      </c>
      <c r="D410" s="3193">
        <v>50</v>
      </c>
      <c r="E410" s="3193" t="s">
        <v>4919</v>
      </c>
      <c r="F410" s="3193" t="s">
        <v>5024</v>
      </c>
      <c r="I410" s="3198">
        <v>408</v>
      </c>
      <c r="J410" s="3179" t="s">
        <v>5593</v>
      </c>
      <c r="K410" s="3179" t="s">
        <v>4943</v>
      </c>
      <c r="L410" s="3179">
        <v>2.85</v>
      </c>
    </row>
    <row r="411" spans="1:12">
      <c r="A411" s="3191">
        <v>409</v>
      </c>
      <c r="B411" s="3191" t="s">
        <v>4943</v>
      </c>
      <c r="C411" s="3195" t="s">
        <v>4995</v>
      </c>
      <c r="D411" s="3193">
        <v>10</v>
      </c>
      <c r="E411" s="3193" t="s">
        <v>5025</v>
      </c>
      <c r="F411" s="3193" t="s">
        <v>4751</v>
      </c>
      <c r="I411" s="3198">
        <v>409</v>
      </c>
      <c r="J411" s="3179" t="s">
        <v>5594</v>
      </c>
      <c r="K411" s="3179" t="s">
        <v>4943</v>
      </c>
      <c r="L411" s="3179">
        <v>1.3</v>
      </c>
    </row>
    <row r="412" spans="1:12">
      <c r="A412" s="3191">
        <v>410</v>
      </c>
      <c r="B412" s="3191" t="s">
        <v>4943</v>
      </c>
      <c r="C412" s="3195" t="s">
        <v>4904</v>
      </c>
      <c r="D412" s="3193">
        <v>16.8</v>
      </c>
      <c r="E412" s="3193" t="s">
        <v>5021</v>
      </c>
      <c r="F412" s="3193" t="s">
        <v>4863</v>
      </c>
      <c r="I412" s="3198">
        <v>410</v>
      </c>
      <c r="J412" s="3179" t="s">
        <v>5595</v>
      </c>
      <c r="K412" s="3179" t="s">
        <v>4943</v>
      </c>
      <c r="L412" s="3179">
        <v>3</v>
      </c>
    </row>
    <row r="413" spans="1:12">
      <c r="A413" s="3191">
        <v>411</v>
      </c>
      <c r="B413" s="3191" t="s">
        <v>4943</v>
      </c>
      <c r="C413" s="3195" t="s">
        <v>5004</v>
      </c>
      <c r="D413" s="3193">
        <v>72</v>
      </c>
      <c r="E413" s="3193" t="s">
        <v>5026</v>
      </c>
      <c r="F413" s="3193" t="s">
        <v>5027</v>
      </c>
      <c r="I413" s="3198">
        <v>411</v>
      </c>
      <c r="J413" s="3179" t="s">
        <v>5596</v>
      </c>
      <c r="K413" s="3179" t="s">
        <v>4943</v>
      </c>
      <c r="L413" s="3179">
        <v>18.5</v>
      </c>
    </row>
    <row r="414" spans="1:12">
      <c r="A414" s="3191">
        <v>412</v>
      </c>
      <c r="B414" s="3191" t="s">
        <v>4943</v>
      </c>
      <c r="C414" s="3195" t="s">
        <v>4618</v>
      </c>
      <c r="D414" s="3193">
        <v>338</v>
      </c>
      <c r="E414" s="3193" t="s">
        <v>4910</v>
      </c>
      <c r="F414" s="3193" t="s">
        <v>5024</v>
      </c>
      <c r="I414" s="3198">
        <v>412</v>
      </c>
      <c r="J414" s="3179" t="s">
        <v>5597</v>
      </c>
      <c r="K414" s="3179" t="s">
        <v>4943</v>
      </c>
      <c r="L414" s="3179">
        <v>1.6</v>
      </c>
    </row>
    <row r="415" spans="1:12">
      <c r="A415" s="3191">
        <v>413</v>
      </c>
      <c r="B415" s="3191" t="s">
        <v>4943</v>
      </c>
      <c r="C415" s="3195" t="s">
        <v>4696</v>
      </c>
      <c r="D415" s="3193">
        <v>104.5</v>
      </c>
      <c r="E415" s="3193" t="s">
        <v>5028</v>
      </c>
      <c r="F415" s="3193" t="s">
        <v>4960</v>
      </c>
      <c r="I415" s="3198">
        <v>413</v>
      </c>
      <c r="J415" s="3179" t="s">
        <v>5598</v>
      </c>
      <c r="K415" s="3179" t="s">
        <v>4943</v>
      </c>
      <c r="L415" s="3179">
        <v>4.25</v>
      </c>
    </row>
    <row r="416" spans="1:12">
      <c r="A416" s="3191">
        <v>414</v>
      </c>
      <c r="B416" s="3191" t="s">
        <v>4943</v>
      </c>
      <c r="C416" s="3195" t="s">
        <v>5007</v>
      </c>
      <c r="D416" s="3193">
        <v>22.44</v>
      </c>
      <c r="E416" s="3193" t="s">
        <v>4751</v>
      </c>
      <c r="F416" s="3193" t="s">
        <v>4516</v>
      </c>
      <c r="I416" s="3198">
        <v>414</v>
      </c>
      <c r="J416" s="3179" t="s">
        <v>5599</v>
      </c>
      <c r="K416" s="3179" t="s">
        <v>4943</v>
      </c>
      <c r="L416" s="3179">
        <v>3.2</v>
      </c>
    </row>
    <row r="417" spans="1:12">
      <c r="A417" s="3191">
        <v>415</v>
      </c>
      <c r="B417" s="3191" t="s">
        <v>4943</v>
      </c>
      <c r="C417" s="3195" t="s">
        <v>5010</v>
      </c>
      <c r="D417" s="3193">
        <v>20.94</v>
      </c>
      <c r="E417" s="3193" t="s">
        <v>4751</v>
      </c>
      <c r="F417" s="3193" t="s">
        <v>4846</v>
      </c>
      <c r="I417" s="3198">
        <v>415</v>
      </c>
      <c r="J417" s="3179" t="s">
        <v>5600</v>
      </c>
      <c r="K417" s="3179" t="s">
        <v>4943</v>
      </c>
      <c r="L417" s="3179">
        <v>10.5</v>
      </c>
    </row>
    <row r="418" spans="1:12">
      <c r="A418" s="3191">
        <v>416</v>
      </c>
      <c r="B418" s="3191" t="s">
        <v>4943</v>
      </c>
      <c r="C418" s="3195" t="s">
        <v>4988</v>
      </c>
      <c r="D418" s="3193">
        <v>4.5</v>
      </c>
      <c r="E418" s="3193" t="s">
        <v>4751</v>
      </c>
      <c r="F418" s="3193" t="s">
        <v>4541</v>
      </c>
      <c r="I418" s="3198">
        <v>416</v>
      </c>
      <c r="J418" s="3179" t="s">
        <v>5601</v>
      </c>
      <c r="K418" s="3179" t="s">
        <v>4943</v>
      </c>
      <c r="L418" s="3179">
        <v>6</v>
      </c>
    </row>
    <row r="419" spans="1:12">
      <c r="A419" s="3191">
        <v>417</v>
      </c>
      <c r="B419" s="3191" t="s">
        <v>4943</v>
      </c>
      <c r="C419" s="3195" t="s">
        <v>4995</v>
      </c>
      <c r="D419" s="3193">
        <v>10</v>
      </c>
      <c r="E419" s="3193" t="s">
        <v>5029</v>
      </c>
      <c r="F419" s="3193" t="s">
        <v>4907</v>
      </c>
      <c r="I419" s="3198">
        <v>417</v>
      </c>
      <c r="J419" s="3179" t="s">
        <v>5602</v>
      </c>
      <c r="K419" s="3179" t="s">
        <v>4943</v>
      </c>
      <c r="L419" s="3179">
        <v>0.75</v>
      </c>
    </row>
    <row r="420" spans="1:12">
      <c r="A420" s="3191">
        <v>418</v>
      </c>
      <c r="B420" s="3191" t="s">
        <v>4943</v>
      </c>
      <c r="C420" s="3195" t="s">
        <v>5030</v>
      </c>
      <c r="D420" s="3193">
        <v>20</v>
      </c>
      <c r="E420" s="3193" t="s">
        <v>4866</v>
      </c>
      <c r="F420" s="3193" t="s">
        <v>5031</v>
      </c>
      <c r="I420" s="3198">
        <v>418</v>
      </c>
      <c r="J420" s="3179" t="s">
        <v>5603</v>
      </c>
      <c r="K420" s="3179" t="s">
        <v>4943</v>
      </c>
      <c r="L420" s="3179">
        <v>16.176477999999999</v>
      </c>
    </row>
    <row r="421" spans="1:12">
      <c r="A421" s="3191">
        <v>419</v>
      </c>
      <c r="B421" s="3191" t="s">
        <v>4943</v>
      </c>
      <c r="C421" s="3195" t="s">
        <v>4703</v>
      </c>
      <c r="D421" s="3193">
        <v>150</v>
      </c>
      <c r="E421" s="3193" t="s">
        <v>5032</v>
      </c>
      <c r="F421" s="3193" t="s">
        <v>5032</v>
      </c>
      <c r="I421" s="3198">
        <v>419</v>
      </c>
      <c r="J421" s="3179" t="s">
        <v>5604</v>
      </c>
      <c r="K421" s="3179" t="s">
        <v>4943</v>
      </c>
      <c r="L421" s="3179">
        <v>1</v>
      </c>
    </row>
    <row r="422" spans="1:12">
      <c r="A422" s="3191">
        <v>420</v>
      </c>
      <c r="B422" s="3191" t="s">
        <v>4943</v>
      </c>
      <c r="C422" s="3195" t="s">
        <v>5004</v>
      </c>
      <c r="D422" s="3193">
        <v>72</v>
      </c>
      <c r="E422" s="3193" t="s">
        <v>5032</v>
      </c>
      <c r="F422" s="3193" t="s">
        <v>5033</v>
      </c>
      <c r="I422" s="3198">
        <v>420</v>
      </c>
      <c r="J422" s="3179" t="s">
        <v>5605</v>
      </c>
      <c r="K422" s="3179" t="s">
        <v>4943</v>
      </c>
      <c r="L422" s="3179">
        <v>18.5</v>
      </c>
    </row>
    <row r="423" spans="1:12">
      <c r="A423" s="3191">
        <v>421</v>
      </c>
      <c r="B423" s="3191" t="s">
        <v>4943</v>
      </c>
      <c r="C423" s="3195" t="s">
        <v>4696</v>
      </c>
      <c r="D423" s="3193">
        <v>104.82</v>
      </c>
      <c r="E423" s="3193" t="s">
        <v>4911</v>
      </c>
      <c r="F423" s="3193" t="s">
        <v>5034</v>
      </c>
      <c r="I423" s="3198">
        <v>421</v>
      </c>
      <c r="J423" s="3179" t="s">
        <v>5606</v>
      </c>
      <c r="K423" s="3179" t="s">
        <v>4943</v>
      </c>
      <c r="L423" s="3179">
        <v>0.6</v>
      </c>
    </row>
    <row r="424" spans="1:12">
      <c r="A424" s="3191">
        <v>422</v>
      </c>
      <c r="B424" s="3191" t="s">
        <v>4943</v>
      </c>
      <c r="C424" s="3195" t="s">
        <v>4995</v>
      </c>
      <c r="D424" s="3193">
        <v>10</v>
      </c>
      <c r="E424" s="3193" t="s">
        <v>5035</v>
      </c>
      <c r="F424" s="3193" t="s">
        <v>5036</v>
      </c>
      <c r="I424" s="3198">
        <v>422</v>
      </c>
      <c r="J424" s="3179" t="s">
        <v>5607</v>
      </c>
      <c r="K424" s="3179" t="s">
        <v>4943</v>
      </c>
      <c r="L424" s="3179">
        <v>1.3</v>
      </c>
    </row>
    <row r="425" spans="1:12">
      <c r="A425" s="3191">
        <v>423</v>
      </c>
      <c r="B425" s="3191" t="s">
        <v>4943</v>
      </c>
      <c r="C425" s="3195" t="s">
        <v>5037</v>
      </c>
      <c r="D425" s="3193">
        <v>20</v>
      </c>
      <c r="E425" s="3193" t="s">
        <v>5034</v>
      </c>
      <c r="F425" s="3193" t="s">
        <v>4424</v>
      </c>
      <c r="I425" s="3198">
        <v>423</v>
      </c>
      <c r="J425" s="3179" t="s">
        <v>5608</v>
      </c>
      <c r="K425" s="3179" t="s">
        <v>4943</v>
      </c>
      <c r="L425" s="3179">
        <v>1.04</v>
      </c>
    </row>
    <row r="426" spans="1:12">
      <c r="A426" s="3191">
        <v>424</v>
      </c>
      <c r="B426" s="3191" t="s">
        <v>4943</v>
      </c>
      <c r="C426" s="3195" t="s">
        <v>4476</v>
      </c>
      <c r="D426" s="3193">
        <v>50.08</v>
      </c>
      <c r="E426" s="3193" t="s">
        <v>4965</v>
      </c>
      <c r="F426" s="3193" t="s">
        <v>5038</v>
      </c>
      <c r="I426" s="3198">
        <v>424</v>
      </c>
      <c r="J426" s="3179" t="s">
        <v>5609</v>
      </c>
      <c r="K426" s="3179" t="s">
        <v>4943</v>
      </c>
      <c r="L426" s="3179">
        <v>2.7</v>
      </c>
    </row>
    <row r="427" spans="1:12">
      <c r="A427" s="3191">
        <v>425</v>
      </c>
      <c r="B427" s="3191" t="s">
        <v>4943</v>
      </c>
      <c r="C427" s="3195" t="s">
        <v>4737</v>
      </c>
      <c r="D427" s="3193">
        <v>26.99</v>
      </c>
      <c r="E427" s="3193" t="s">
        <v>4965</v>
      </c>
      <c r="F427" s="3193" t="s">
        <v>5038</v>
      </c>
      <c r="I427" s="3198">
        <v>425</v>
      </c>
      <c r="J427" s="3179" t="s">
        <v>5610</v>
      </c>
      <c r="K427" s="3179" t="s">
        <v>4943</v>
      </c>
      <c r="L427" s="3179">
        <v>1.8</v>
      </c>
    </row>
    <row r="428" spans="1:12">
      <c r="A428" s="3191">
        <v>426</v>
      </c>
      <c r="B428" s="3191" t="s">
        <v>4943</v>
      </c>
      <c r="C428" s="3195" t="s">
        <v>4904</v>
      </c>
      <c r="D428" s="3193">
        <v>30</v>
      </c>
      <c r="E428" s="3193" t="s">
        <v>4965</v>
      </c>
      <c r="F428" s="3193" t="s">
        <v>4575</v>
      </c>
      <c r="I428" s="3198">
        <v>426</v>
      </c>
      <c r="J428" s="3179" t="s">
        <v>5611</v>
      </c>
      <c r="K428" s="3179" t="s">
        <v>4943</v>
      </c>
      <c r="L428" s="3179">
        <v>3</v>
      </c>
    </row>
    <row r="429" spans="1:12">
      <c r="A429" s="3191">
        <v>427</v>
      </c>
      <c r="B429" s="3191" t="s">
        <v>4943</v>
      </c>
      <c r="C429" s="3195" t="s">
        <v>5016</v>
      </c>
      <c r="D429" s="3193">
        <v>150</v>
      </c>
      <c r="E429" s="3193" t="s">
        <v>4713</v>
      </c>
      <c r="F429" s="3193" t="s">
        <v>4993</v>
      </c>
      <c r="I429" s="3198">
        <v>427</v>
      </c>
      <c r="J429" s="3179" t="s">
        <v>5612</v>
      </c>
      <c r="K429" s="3179" t="s">
        <v>4943</v>
      </c>
      <c r="L429" s="3179">
        <v>2.5</v>
      </c>
    </row>
    <row r="430" spans="1:12">
      <c r="A430" s="3191">
        <v>428</v>
      </c>
      <c r="B430" s="3191" t="s">
        <v>4943</v>
      </c>
      <c r="C430" s="3195" t="s">
        <v>4818</v>
      </c>
      <c r="D430" s="3193">
        <v>10.08</v>
      </c>
      <c r="E430" s="3193" t="s">
        <v>5039</v>
      </c>
      <c r="F430" s="3193" t="s">
        <v>4417</v>
      </c>
      <c r="I430" s="3198">
        <v>428</v>
      </c>
      <c r="J430" s="3179" t="s">
        <v>5613</v>
      </c>
      <c r="K430" s="3179" t="s">
        <v>4943</v>
      </c>
      <c r="L430" s="3179">
        <v>5.59</v>
      </c>
    </row>
    <row r="431" spans="1:12">
      <c r="A431" s="3191">
        <v>429</v>
      </c>
      <c r="B431" s="3191" t="s">
        <v>4943</v>
      </c>
      <c r="C431" s="3195" t="s">
        <v>5040</v>
      </c>
      <c r="D431" s="3193">
        <v>19.2</v>
      </c>
      <c r="E431" s="3193" t="s">
        <v>5041</v>
      </c>
      <c r="F431" s="3193" t="s">
        <v>4851</v>
      </c>
      <c r="I431" s="3198">
        <v>429</v>
      </c>
      <c r="J431" s="3179" t="s">
        <v>5614</v>
      </c>
      <c r="K431" s="3179" t="s">
        <v>4943</v>
      </c>
      <c r="L431" s="3179">
        <v>10.5</v>
      </c>
    </row>
    <row r="432" spans="1:12">
      <c r="A432" s="3191">
        <v>430</v>
      </c>
      <c r="B432" s="3191" t="s">
        <v>4943</v>
      </c>
      <c r="C432" s="3195" t="s">
        <v>5042</v>
      </c>
      <c r="D432" s="3193">
        <v>11.7</v>
      </c>
      <c r="E432" s="3193" t="s">
        <v>4516</v>
      </c>
      <c r="F432" s="3193" t="s">
        <v>5043</v>
      </c>
      <c r="I432" s="3198">
        <v>430</v>
      </c>
      <c r="J432" s="3179" t="s">
        <v>5615</v>
      </c>
      <c r="K432" s="3179" t="s">
        <v>4943</v>
      </c>
      <c r="L432" s="3179">
        <v>0.25</v>
      </c>
    </row>
    <row r="433" spans="1:12">
      <c r="A433" s="3191">
        <v>431</v>
      </c>
      <c r="B433" s="3191" t="s">
        <v>4943</v>
      </c>
      <c r="C433" s="3195" t="s">
        <v>4630</v>
      </c>
      <c r="D433" s="3193">
        <v>100</v>
      </c>
      <c r="E433" s="3193" t="s">
        <v>4516</v>
      </c>
      <c r="F433" s="3193" t="s">
        <v>5044</v>
      </c>
      <c r="I433" s="3198">
        <v>431</v>
      </c>
      <c r="J433" s="3179" t="s">
        <v>5616</v>
      </c>
      <c r="K433" s="3179" t="s">
        <v>4943</v>
      </c>
      <c r="L433" s="3179">
        <v>3.06</v>
      </c>
    </row>
    <row r="434" spans="1:12">
      <c r="A434" s="3191">
        <v>432</v>
      </c>
      <c r="B434" s="3191" t="s">
        <v>4943</v>
      </c>
      <c r="C434" s="3195" t="s">
        <v>5045</v>
      </c>
      <c r="D434" s="3193">
        <v>20</v>
      </c>
      <c r="E434" s="3193" t="s">
        <v>4516</v>
      </c>
      <c r="F434" s="3193" t="s">
        <v>4915</v>
      </c>
      <c r="I434" s="3198">
        <v>432</v>
      </c>
      <c r="J434" s="3179" t="s">
        <v>5617</v>
      </c>
      <c r="K434" s="3179" t="s">
        <v>4943</v>
      </c>
      <c r="L434" s="3179">
        <v>3</v>
      </c>
    </row>
    <row r="435" spans="1:12">
      <c r="A435" s="3191">
        <v>433</v>
      </c>
      <c r="B435" s="3191" t="s">
        <v>4943</v>
      </c>
      <c r="C435" s="3195" t="s">
        <v>5045</v>
      </c>
      <c r="D435" s="3193">
        <v>20</v>
      </c>
      <c r="E435" s="3193" t="s">
        <v>4516</v>
      </c>
      <c r="F435" s="3193" t="s">
        <v>4915</v>
      </c>
      <c r="I435" s="3198">
        <v>433</v>
      </c>
      <c r="J435" s="3179" t="s">
        <v>5618</v>
      </c>
      <c r="K435" s="3179" t="s">
        <v>4943</v>
      </c>
      <c r="L435" s="3179">
        <v>3.5</v>
      </c>
    </row>
    <row r="436" spans="1:12">
      <c r="A436" s="3191">
        <v>434</v>
      </c>
      <c r="B436" s="3191" t="s">
        <v>4943</v>
      </c>
      <c r="C436" s="3195" t="s">
        <v>4961</v>
      </c>
      <c r="D436" s="3193">
        <v>8</v>
      </c>
      <c r="E436" s="3193" t="s">
        <v>4516</v>
      </c>
      <c r="F436" s="3193" t="s">
        <v>4808</v>
      </c>
      <c r="I436" s="3198">
        <v>434</v>
      </c>
      <c r="J436" s="3179" t="s">
        <v>5619</v>
      </c>
      <c r="K436" s="3179" t="s">
        <v>4943</v>
      </c>
      <c r="L436" s="3179">
        <v>2.5</v>
      </c>
    </row>
    <row r="437" spans="1:12">
      <c r="A437" s="3191">
        <v>435</v>
      </c>
      <c r="B437" s="3191" t="s">
        <v>4943</v>
      </c>
      <c r="C437" s="3195" t="s">
        <v>5046</v>
      </c>
      <c r="D437" s="3193">
        <v>58.77</v>
      </c>
      <c r="E437" s="3193" t="s">
        <v>4516</v>
      </c>
      <c r="F437" s="3193" t="s">
        <v>4808</v>
      </c>
      <c r="I437" s="3198">
        <v>435</v>
      </c>
      <c r="J437" s="3179" t="s">
        <v>5620</v>
      </c>
      <c r="K437" s="3179" t="s">
        <v>4943</v>
      </c>
      <c r="L437" s="3179">
        <v>22.006848000000002</v>
      </c>
    </row>
    <row r="438" spans="1:12">
      <c r="A438" s="3191">
        <v>436</v>
      </c>
      <c r="B438" s="3191" t="s">
        <v>4943</v>
      </c>
      <c r="C438" s="3195" t="s">
        <v>5007</v>
      </c>
      <c r="D438" s="3193">
        <v>22.44</v>
      </c>
      <c r="E438" s="3193" t="s">
        <v>5047</v>
      </c>
      <c r="F438" s="3193" t="s">
        <v>4825</v>
      </c>
      <c r="I438" s="3198">
        <v>436</v>
      </c>
      <c r="J438" s="3179" t="s">
        <v>5621</v>
      </c>
      <c r="K438" s="3179" t="s">
        <v>4943</v>
      </c>
      <c r="L438" s="3179">
        <v>3.2</v>
      </c>
    </row>
    <row r="439" spans="1:12">
      <c r="A439" s="3191">
        <v>437</v>
      </c>
      <c r="B439" s="3191" t="s">
        <v>4943</v>
      </c>
      <c r="C439" s="3195" t="s">
        <v>5048</v>
      </c>
      <c r="D439" s="3193">
        <v>6</v>
      </c>
      <c r="E439" s="3193" t="s">
        <v>5043</v>
      </c>
      <c r="F439" s="3193" t="s">
        <v>4826</v>
      </c>
      <c r="I439" s="3198">
        <v>437</v>
      </c>
      <c r="J439" s="3179" t="s">
        <v>5622</v>
      </c>
      <c r="K439" s="3179" t="s">
        <v>4943</v>
      </c>
      <c r="L439" s="3179">
        <v>2.92258</v>
      </c>
    </row>
    <row r="440" spans="1:12">
      <c r="A440" s="3191">
        <v>438</v>
      </c>
      <c r="B440" s="3191" t="s">
        <v>4943</v>
      </c>
      <c r="C440" s="3195" t="s">
        <v>4793</v>
      </c>
      <c r="D440" s="3193">
        <v>10</v>
      </c>
      <c r="E440" s="3193" t="s">
        <v>5049</v>
      </c>
      <c r="F440" s="3193" t="s">
        <v>5050</v>
      </c>
      <c r="I440" s="3198">
        <v>438</v>
      </c>
      <c r="J440" s="3179" t="s">
        <v>5623</v>
      </c>
      <c r="K440" s="3179" t="s">
        <v>4943</v>
      </c>
      <c r="L440" s="3179">
        <v>0.31748399999999999</v>
      </c>
    </row>
    <row r="441" spans="1:12">
      <c r="A441" s="3191">
        <v>439</v>
      </c>
      <c r="B441" s="3191" t="s">
        <v>4943</v>
      </c>
      <c r="C441" s="3195" t="s">
        <v>5051</v>
      </c>
      <c r="D441" s="3193">
        <v>4</v>
      </c>
      <c r="E441" s="3193" t="s">
        <v>4798</v>
      </c>
      <c r="F441" s="3193" t="s">
        <v>4846</v>
      </c>
      <c r="I441" s="3198">
        <v>439</v>
      </c>
      <c r="J441" s="3179" t="s">
        <v>5624</v>
      </c>
      <c r="K441" s="3179" t="s">
        <v>4943</v>
      </c>
      <c r="L441" s="3179">
        <v>1.025806</v>
      </c>
    </row>
    <row r="442" spans="1:12">
      <c r="A442" s="3191">
        <v>440</v>
      </c>
      <c r="B442" s="3191" t="s">
        <v>4943</v>
      </c>
      <c r="C442" s="3195" t="s">
        <v>5004</v>
      </c>
      <c r="D442" s="3193">
        <v>72</v>
      </c>
      <c r="E442" s="3193" t="s">
        <v>5052</v>
      </c>
      <c r="F442" s="3193" t="s">
        <v>5053</v>
      </c>
      <c r="I442" s="3198">
        <v>440</v>
      </c>
      <c r="J442" s="3179" t="s">
        <v>5625</v>
      </c>
      <c r="K442" s="3179" t="s">
        <v>4943</v>
      </c>
      <c r="L442" s="3179">
        <v>18.5</v>
      </c>
    </row>
    <row r="443" spans="1:12">
      <c r="A443" s="3191">
        <v>441</v>
      </c>
      <c r="B443" s="3191" t="s">
        <v>4943</v>
      </c>
      <c r="C443" s="3195" t="s">
        <v>4995</v>
      </c>
      <c r="D443" s="3193">
        <v>10</v>
      </c>
      <c r="E443" s="3193" t="s">
        <v>5044</v>
      </c>
      <c r="F443" s="3193" t="s">
        <v>5054</v>
      </c>
      <c r="I443" s="3198">
        <v>441</v>
      </c>
      <c r="J443" s="3179" t="s">
        <v>5626</v>
      </c>
      <c r="K443" s="3179" t="s">
        <v>4943</v>
      </c>
      <c r="L443" s="3179">
        <v>1.4</v>
      </c>
    </row>
    <row r="444" spans="1:12">
      <c r="A444" s="3191">
        <v>442</v>
      </c>
      <c r="B444" s="3191" t="s">
        <v>4943</v>
      </c>
      <c r="C444" s="3195" t="s">
        <v>5016</v>
      </c>
      <c r="D444" s="3193">
        <v>150</v>
      </c>
      <c r="E444" s="3193" t="s">
        <v>4575</v>
      </c>
      <c r="F444" s="3193" t="s">
        <v>4905</v>
      </c>
      <c r="I444" s="3198">
        <v>442</v>
      </c>
      <c r="J444" s="3179" t="s">
        <v>5627</v>
      </c>
      <c r="K444" s="3179" t="s">
        <v>4943</v>
      </c>
      <c r="L444" s="3179">
        <v>2.5</v>
      </c>
    </row>
    <row r="445" spans="1:12">
      <c r="A445" s="3191">
        <v>443</v>
      </c>
      <c r="B445" s="3191" t="s">
        <v>4943</v>
      </c>
      <c r="C445" s="3195" t="s">
        <v>5055</v>
      </c>
      <c r="D445" s="3193">
        <v>50</v>
      </c>
      <c r="E445" s="3193" t="s">
        <v>4575</v>
      </c>
      <c r="F445" s="3193" t="s">
        <v>5056</v>
      </c>
      <c r="I445" s="3198">
        <v>443</v>
      </c>
      <c r="J445" s="3179" t="s">
        <v>5628</v>
      </c>
      <c r="K445" s="3179" t="s">
        <v>4943</v>
      </c>
      <c r="L445" s="3179">
        <v>0.45</v>
      </c>
    </row>
    <row r="446" spans="1:12">
      <c r="A446" s="3191">
        <v>444</v>
      </c>
      <c r="B446" s="3191" t="s">
        <v>4943</v>
      </c>
      <c r="C446" s="3195" t="s">
        <v>5057</v>
      </c>
      <c r="D446" s="3193">
        <v>300</v>
      </c>
      <c r="E446" s="3193" t="s">
        <v>4575</v>
      </c>
      <c r="F446" s="3193" t="s">
        <v>5056</v>
      </c>
      <c r="I446" s="3198">
        <v>444</v>
      </c>
      <c r="J446" s="3179" t="s">
        <v>5629</v>
      </c>
      <c r="K446" s="3179" t="s">
        <v>4943</v>
      </c>
      <c r="L446" s="3179">
        <v>4.5</v>
      </c>
    </row>
    <row r="447" spans="1:12">
      <c r="A447" s="3191">
        <v>445</v>
      </c>
      <c r="B447" s="3191" t="s">
        <v>4943</v>
      </c>
      <c r="C447" s="3195" t="s">
        <v>4904</v>
      </c>
      <c r="D447" s="3193">
        <v>30</v>
      </c>
      <c r="E447" s="3193" t="s">
        <v>4905</v>
      </c>
      <c r="F447" s="3193" t="s">
        <v>5058</v>
      </c>
      <c r="I447" s="3198">
        <v>445</v>
      </c>
      <c r="J447" s="3179" t="s">
        <v>5630</v>
      </c>
      <c r="K447" s="3179" t="s">
        <v>4943</v>
      </c>
      <c r="L447" s="3179">
        <v>0.7</v>
      </c>
    </row>
    <row r="448" spans="1:12">
      <c r="A448" s="3191">
        <v>446</v>
      </c>
      <c r="B448" s="3191" t="s">
        <v>4943</v>
      </c>
      <c r="C448" s="3195" t="s">
        <v>4527</v>
      </c>
      <c r="D448" s="3193">
        <v>120</v>
      </c>
      <c r="E448" s="3193" t="s">
        <v>5059</v>
      </c>
      <c r="F448" s="3193" t="s">
        <v>5060</v>
      </c>
      <c r="I448" s="3198">
        <v>446</v>
      </c>
      <c r="J448" s="3179" t="s">
        <v>5631</v>
      </c>
      <c r="K448" s="3179" t="s">
        <v>4943</v>
      </c>
      <c r="L448" s="3179">
        <v>3.2</v>
      </c>
    </row>
    <row r="449" spans="1:12">
      <c r="A449" s="3191">
        <v>447</v>
      </c>
      <c r="B449" s="3191" t="s">
        <v>4943</v>
      </c>
      <c r="C449" s="3195" t="s">
        <v>4904</v>
      </c>
      <c r="D449" s="3193">
        <v>30</v>
      </c>
      <c r="E449" s="3193" t="s">
        <v>5060</v>
      </c>
      <c r="F449" s="3193" t="s">
        <v>4915</v>
      </c>
      <c r="I449" s="3198">
        <v>447</v>
      </c>
      <c r="J449" s="3179" t="s">
        <v>5632</v>
      </c>
      <c r="K449" s="3179" t="s">
        <v>4943</v>
      </c>
      <c r="L449" s="3179">
        <v>0.6</v>
      </c>
    </row>
    <row r="450" spans="1:12">
      <c r="A450" s="3191">
        <v>448</v>
      </c>
      <c r="B450" s="3191" t="s">
        <v>4943</v>
      </c>
      <c r="C450" s="3195" t="s">
        <v>4495</v>
      </c>
      <c r="D450" s="3193">
        <v>149.80000000000001</v>
      </c>
      <c r="E450" s="3193" t="s">
        <v>5061</v>
      </c>
      <c r="F450" s="3193" t="s">
        <v>5062</v>
      </c>
      <c r="I450" s="3198">
        <v>448</v>
      </c>
      <c r="J450" s="3179" t="s">
        <v>5633</v>
      </c>
      <c r="K450" s="3179" t="s">
        <v>4943</v>
      </c>
      <c r="L450" s="3179">
        <v>4.5</v>
      </c>
    </row>
    <row r="451" spans="1:12">
      <c r="A451" s="3191">
        <v>449</v>
      </c>
      <c r="B451" s="3191" t="s">
        <v>4943</v>
      </c>
      <c r="C451" s="3195" t="s">
        <v>4440</v>
      </c>
      <c r="D451" s="3193">
        <v>29.79</v>
      </c>
      <c r="E451" s="3193" t="s">
        <v>5061</v>
      </c>
      <c r="F451" s="3193" t="s">
        <v>5063</v>
      </c>
      <c r="I451" s="3198">
        <v>449</v>
      </c>
      <c r="J451" s="3179" t="s">
        <v>5634</v>
      </c>
      <c r="K451" s="3179" t="s">
        <v>4943</v>
      </c>
      <c r="L451" s="3179">
        <v>0.4</v>
      </c>
    </row>
    <row r="452" spans="1:12">
      <c r="A452" s="3191">
        <v>450</v>
      </c>
      <c r="B452" s="3191" t="s">
        <v>4943</v>
      </c>
      <c r="C452" s="3195" t="s">
        <v>5064</v>
      </c>
      <c r="D452" s="3193">
        <v>24.32</v>
      </c>
      <c r="E452" s="3193" t="s">
        <v>5061</v>
      </c>
      <c r="F452" s="3193" t="s">
        <v>5065</v>
      </c>
      <c r="I452" s="3198">
        <v>450</v>
      </c>
      <c r="J452" s="3179" t="s">
        <v>5635</v>
      </c>
      <c r="K452" s="3179" t="s">
        <v>4943</v>
      </c>
      <c r="L452" s="3179">
        <v>3.5</v>
      </c>
    </row>
    <row r="453" spans="1:12">
      <c r="A453" s="3191">
        <v>451</v>
      </c>
      <c r="B453" s="3191" t="s">
        <v>4943</v>
      </c>
      <c r="C453" s="3195" t="s">
        <v>5066</v>
      </c>
      <c r="D453" s="3193">
        <v>20</v>
      </c>
      <c r="E453" s="3193" t="s">
        <v>4825</v>
      </c>
      <c r="F453" s="3193" t="s">
        <v>4846</v>
      </c>
      <c r="I453" s="3198">
        <v>451</v>
      </c>
      <c r="J453" s="3179" t="s">
        <v>5636</v>
      </c>
      <c r="K453" s="3179" t="s">
        <v>4943</v>
      </c>
      <c r="L453" s="3179">
        <v>3.2</v>
      </c>
    </row>
    <row r="454" spans="1:12">
      <c r="A454" s="3191">
        <v>452</v>
      </c>
      <c r="B454" s="3191" t="s">
        <v>4943</v>
      </c>
      <c r="C454" s="3195" t="s">
        <v>4904</v>
      </c>
      <c r="D454" s="3193">
        <v>30</v>
      </c>
      <c r="E454" s="3193" t="s">
        <v>4825</v>
      </c>
      <c r="F454" s="3193" t="s">
        <v>4846</v>
      </c>
      <c r="I454" s="3198">
        <v>452</v>
      </c>
      <c r="J454" s="3179" t="s">
        <v>5637</v>
      </c>
      <c r="K454" s="3179" t="s">
        <v>4943</v>
      </c>
      <c r="L454" s="3179">
        <v>3</v>
      </c>
    </row>
    <row r="455" spans="1:12">
      <c r="A455" s="3191">
        <v>453</v>
      </c>
      <c r="B455" s="3191" t="s">
        <v>4943</v>
      </c>
      <c r="C455" s="3195" t="s">
        <v>5007</v>
      </c>
      <c r="D455" s="3193">
        <v>22.44</v>
      </c>
      <c r="E455" s="3193" t="s">
        <v>4883</v>
      </c>
      <c r="F455" s="3193" t="s">
        <v>5067</v>
      </c>
      <c r="I455" s="3198">
        <v>453</v>
      </c>
      <c r="J455" s="3179" t="s">
        <v>5638</v>
      </c>
      <c r="K455" s="3179" t="s">
        <v>4943</v>
      </c>
      <c r="L455" s="3179">
        <v>6.4</v>
      </c>
    </row>
    <row r="456" spans="1:12">
      <c r="A456" s="3191">
        <v>454</v>
      </c>
      <c r="B456" s="3191" t="s">
        <v>4943</v>
      </c>
      <c r="C456" s="3195" t="s">
        <v>5068</v>
      </c>
      <c r="D456" s="3193">
        <v>20</v>
      </c>
      <c r="E456" s="3193" t="s">
        <v>5069</v>
      </c>
      <c r="F456" s="3193" t="s">
        <v>4884</v>
      </c>
      <c r="I456" s="3198">
        <v>454</v>
      </c>
      <c r="J456" s="3179" t="s">
        <v>5639</v>
      </c>
      <c r="K456" s="3179" t="s">
        <v>4943</v>
      </c>
      <c r="L456" s="3179">
        <v>3</v>
      </c>
    </row>
    <row r="457" spans="1:12">
      <c r="A457" s="3191">
        <v>455</v>
      </c>
      <c r="B457" s="3191" t="s">
        <v>4943</v>
      </c>
      <c r="C457" s="3195" t="s">
        <v>5016</v>
      </c>
      <c r="D457" s="3193">
        <v>250</v>
      </c>
      <c r="E457" s="3193" t="s">
        <v>5070</v>
      </c>
      <c r="F457" s="3193" t="s">
        <v>5071</v>
      </c>
      <c r="I457" s="3198">
        <v>455</v>
      </c>
      <c r="J457" s="3179" t="s">
        <v>5640</v>
      </c>
      <c r="K457" s="3179" t="s">
        <v>4943</v>
      </c>
      <c r="L457" s="3179">
        <v>4.5</v>
      </c>
    </row>
    <row r="458" spans="1:12">
      <c r="A458" s="3191">
        <v>456</v>
      </c>
      <c r="B458" s="3191" t="s">
        <v>4943</v>
      </c>
      <c r="C458" s="3195" t="s">
        <v>5072</v>
      </c>
      <c r="D458" s="3193">
        <v>5</v>
      </c>
      <c r="E458" s="3193" t="s">
        <v>5070</v>
      </c>
      <c r="F458" s="3193" t="s">
        <v>5063</v>
      </c>
      <c r="I458" s="3198">
        <v>456</v>
      </c>
      <c r="J458" s="3179" t="s">
        <v>5641</v>
      </c>
      <c r="K458" s="3179" t="s">
        <v>4943</v>
      </c>
      <c r="L458" s="3179">
        <v>0.5</v>
      </c>
    </row>
    <row r="459" spans="1:12">
      <c r="A459" s="3191">
        <v>457</v>
      </c>
      <c r="B459" s="3191" t="s">
        <v>4943</v>
      </c>
      <c r="C459" s="3195" t="s">
        <v>5004</v>
      </c>
      <c r="D459" s="3193">
        <v>72</v>
      </c>
      <c r="E459" s="3193" t="s">
        <v>5073</v>
      </c>
      <c r="F459" s="3193" t="s">
        <v>5074</v>
      </c>
      <c r="I459" s="3198">
        <v>457</v>
      </c>
      <c r="J459" s="3179" t="s">
        <v>5642</v>
      </c>
      <c r="K459" s="3179" t="s">
        <v>4943</v>
      </c>
      <c r="L459" s="3179">
        <v>18.5</v>
      </c>
    </row>
    <row r="460" spans="1:12">
      <c r="A460" s="3191">
        <v>458</v>
      </c>
      <c r="B460" s="3191" t="s">
        <v>4943</v>
      </c>
      <c r="C460" s="3195" t="s">
        <v>5072</v>
      </c>
      <c r="D460" s="3193">
        <v>5</v>
      </c>
      <c r="E460" s="3193" t="s">
        <v>5075</v>
      </c>
      <c r="F460" s="3193" t="s">
        <v>5054</v>
      </c>
      <c r="I460" s="3198">
        <v>458</v>
      </c>
      <c r="J460" s="3179" t="s">
        <v>5643</v>
      </c>
      <c r="K460" s="3179" t="s">
        <v>4943</v>
      </c>
      <c r="L460" s="3179">
        <v>0.5</v>
      </c>
    </row>
    <row r="461" spans="1:12">
      <c r="A461" s="3191">
        <v>459</v>
      </c>
      <c r="B461" s="3191" t="s">
        <v>4943</v>
      </c>
      <c r="C461" s="3195" t="s">
        <v>5076</v>
      </c>
      <c r="D461" s="3193">
        <v>1.3</v>
      </c>
      <c r="E461" s="3193" t="s">
        <v>5054</v>
      </c>
      <c r="F461" s="3193" t="s">
        <v>5077</v>
      </c>
      <c r="I461" s="3198">
        <v>459</v>
      </c>
      <c r="J461" s="3179" t="s">
        <v>5644</v>
      </c>
      <c r="K461" s="3179" t="s">
        <v>4943</v>
      </c>
      <c r="L461" s="3179">
        <v>1.05</v>
      </c>
    </row>
    <row r="462" spans="1:12">
      <c r="A462" s="3191">
        <v>460</v>
      </c>
      <c r="B462" s="3191" t="s">
        <v>4943</v>
      </c>
      <c r="C462" s="3195" t="s">
        <v>5078</v>
      </c>
      <c r="D462" s="3193">
        <v>10.89</v>
      </c>
      <c r="E462" s="3193" t="s">
        <v>5079</v>
      </c>
      <c r="F462" s="3193" t="s">
        <v>4626</v>
      </c>
      <c r="I462" s="3198">
        <v>460</v>
      </c>
      <c r="J462" s="3179" t="s">
        <v>5645</v>
      </c>
      <c r="K462" s="3179" t="s">
        <v>4943</v>
      </c>
      <c r="L462" s="3179">
        <v>1.4</v>
      </c>
    </row>
    <row r="463" spans="1:12">
      <c r="A463" s="3191">
        <v>461</v>
      </c>
      <c r="B463" s="3191" t="s">
        <v>4943</v>
      </c>
      <c r="C463" s="3195" t="s">
        <v>5080</v>
      </c>
      <c r="D463" s="3193">
        <v>1.5</v>
      </c>
      <c r="E463" s="3193" t="s">
        <v>5079</v>
      </c>
      <c r="F463" s="3193" t="s">
        <v>5081</v>
      </c>
      <c r="I463" s="3198">
        <v>461</v>
      </c>
      <c r="J463" s="3179" t="s">
        <v>5646</v>
      </c>
      <c r="K463" s="3179" t="s">
        <v>4943</v>
      </c>
      <c r="L463" s="3179">
        <v>1.333334</v>
      </c>
    </row>
    <row r="464" spans="1:12">
      <c r="A464" s="3191">
        <v>462</v>
      </c>
      <c r="B464" s="3191" t="s">
        <v>4943</v>
      </c>
      <c r="C464" s="3195" t="s">
        <v>5082</v>
      </c>
      <c r="D464" s="3193">
        <v>4.4000000000000004</v>
      </c>
      <c r="E464" s="3193" t="s">
        <v>5079</v>
      </c>
      <c r="F464" s="3193" t="s">
        <v>5081</v>
      </c>
      <c r="I464" s="3198">
        <v>462</v>
      </c>
      <c r="J464" s="3179" t="s">
        <v>5647</v>
      </c>
      <c r="K464" s="3179" t="s">
        <v>4943</v>
      </c>
      <c r="L464" s="3179">
        <v>1.916666</v>
      </c>
    </row>
    <row r="465" spans="1:12">
      <c r="A465" s="3191">
        <v>463</v>
      </c>
      <c r="B465" s="3191" t="s">
        <v>4943</v>
      </c>
      <c r="C465" s="3195" t="s">
        <v>5083</v>
      </c>
      <c r="D465" s="3193">
        <v>21.08</v>
      </c>
      <c r="E465" s="3193" t="s">
        <v>5084</v>
      </c>
      <c r="F465" s="3193" t="s">
        <v>4851</v>
      </c>
      <c r="I465" s="3198">
        <v>463</v>
      </c>
      <c r="J465" s="3179" t="s">
        <v>5648</v>
      </c>
      <c r="K465" s="3179" t="s">
        <v>4943</v>
      </c>
      <c r="L465" s="3179">
        <v>6</v>
      </c>
    </row>
    <row r="466" spans="1:12">
      <c r="A466" s="3191">
        <v>464</v>
      </c>
      <c r="B466" s="3191" t="s">
        <v>4943</v>
      </c>
      <c r="C466" s="3195" t="s">
        <v>5085</v>
      </c>
      <c r="D466" s="3193">
        <v>64</v>
      </c>
      <c r="E466" s="3193" t="s">
        <v>5086</v>
      </c>
      <c r="F466" s="3193" t="s">
        <v>5087</v>
      </c>
      <c r="I466" s="3198">
        <v>464</v>
      </c>
      <c r="J466" s="3179" t="s">
        <v>5649</v>
      </c>
      <c r="K466" s="3179" t="s">
        <v>4943</v>
      </c>
      <c r="L466" s="3179">
        <v>5.27</v>
      </c>
    </row>
    <row r="467" spans="1:12">
      <c r="A467" s="3191">
        <v>465</v>
      </c>
      <c r="B467" s="3191" t="s">
        <v>4943</v>
      </c>
      <c r="C467" s="3195" t="s">
        <v>5088</v>
      </c>
      <c r="D467" s="3193">
        <v>3.78</v>
      </c>
      <c r="E467" s="3193" t="s">
        <v>5065</v>
      </c>
      <c r="F467" s="3193" t="s">
        <v>4846</v>
      </c>
      <c r="I467" s="3198">
        <v>465</v>
      </c>
      <c r="J467" s="3179" t="s">
        <v>5650</v>
      </c>
      <c r="K467" s="3179" t="s">
        <v>4943</v>
      </c>
      <c r="L467" s="3179">
        <v>0.25</v>
      </c>
    </row>
    <row r="468" spans="1:12">
      <c r="A468" s="3191">
        <v>466</v>
      </c>
      <c r="B468" s="3191" t="s">
        <v>4943</v>
      </c>
      <c r="C468" s="3195" t="s">
        <v>5089</v>
      </c>
      <c r="D468" s="3193">
        <v>50</v>
      </c>
      <c r="E468" s="3193" t="s">
        <v>5065</v>
      </c>
      <c r="F468" s="3193" t="s">
        <v>4846</v>
      </c>
      <c r="I468" s="3198">
        <v>466</v>
      </c>
      <c r="J468" s="3179" t="s">
        <v>5651</v>
      </c>
      <c r="K468" s="3179" t="s">
        <v>4943</v>
      </c>
      <c r="L468" s="3179">
        <v>1.2</v>
      </c>
    </row>
    <row r="469" spans="1:12">
      <c r="A469" s="3191">
        <v>467</v>
      </c>
      <c r="B469" s="3191" t="s">
        <v>4943</v>
      </c>
      <c r="C469" s="3195" t="s">
        <v>5090</v>
      </c>
      <c r="D469" s="3193">
        <v>5</v>
      </c>
      <c r="E469" s="3193" t="s">
        <v>4884</v>
      </c>
      <c r="F469" s="3193" t="s">
        <v>5091</v>
      </c>
      <c r="I469" s="3198">
        <v>467</v>
      </c>
      <c r="J469" s="3179" t="s">
        <v>5652</v>
      </c>
      <c r="K469" s="3179" t="s">
        <v>4943</v>
      </c>
      <c r="L469" s="3179">
        <v>1.021936</v>
      </c>
    </row>
    <row r="470" spans="1:12">
      <c r="A470" s="3191">
        <v>468</v>
      </c>
      <c r="B470" s="3191" t="s">
        <v>4943</v>
      </c>
      <c r="C470" s="3195" t="s">
        <v>5092</v>
      </c>
      <c r="D470" s="3193">
        <v>12.16</v>
      </c>
      <c r="E470" s="3193" t="s">
        <v>5093</v>
      </c>
      <c r="F470" s="3193" t="s">
        <v>5094</v>
      </c>
      <c r="I470" s="3198">
        <v>468</v>
      </c>
      <c r="J470" s="3179" t="s">
        <v>5653</v>
      </c>
      <c r="K470" s="3179" t="s">
        <v>4943</v>
      </c>
      <c r="L470" s="3179">
        <v>1.5</v>
      </c>
    </row>
    <row r="471" spans="1:12">
      <c r="A471" s="3191">
        <v>469</v>
      </c>
      <c r="B471" s="3191" t="s">
        <v>4943</v>
      </c>
      <c r="C471" s="3195" t="s">
        <v>4560</v>
      </c>
      <c r="D471" s="3193">
        <v>6.52</v>
      </c>
      <c r="E471" s="3193" t="s">
        <v>4838</v>
      </c>
      <c r="F471" s="3193" t="s">
        <v>4500</v>
      </c>
      <c r="I471" s="3198">
        <v>469</v>
      </c>
      <c r="J471" s="3179" t="s">
        <v>5654</v>
      </c>
      <c r="K471" s="3179" t="s">
        <v>4943</v>
      </c>
      <c r="L471" s="3179">
        <v>2.2000000000000002</v>
      </c>
    </row>
    <row r="472" spans="1:12">
      <c r="A472" s="3191">
        <v>470</v>
      </c>
      <c r="B472" s="3191" t="s">
        <v>4943</v>
      </c>
      <c r="C472" s="3195" t="s">
        <v>5066</v>
      </c>
      <c r="D472" s="3193">
        <v>20</v>
      </c>
      <c r="E472" s="3193" t="s">
        <v>4838</v>
      </c>
      <c r="F472" s="3193" t="s">
        <v>4417</v>
      </c>
      <c r="I472" s="3198">
        <v>470</v>
      </c>
      <c r="J472" s="3179" t="s">
        <v>5655</v>
      </c>
      <c r="K472" s="3179" t="s">
        <v>4943</v>
      </c>
      <c r="L472" s="3179">
        <v>3.2</v>
      </c>
    </row>
    <row r="473" spans="1:12">
      <c r="A473" s="3191">
        <v>471</v>
      </c>
      <c r="B473" s="3191" t="s">
        <v>4943</v>
      </c>
      <c r="C473" s="3195" t="s">
        <v>5092</v>
      </c>
      <c r="D473" s="3193">
        <v>12.16</v>
      </c>
      <c r="E473" s="3193" t="s">
        <v>4851</v>
      </c>
      <c r="F473" s="3193" t="s">
        <v>5095</v>
      </c>
      <c r="I473" s="3198">
        <v>471</v>
      </c>
      <c r="J473" s="3179" t="s">
        <v>5656</v>
      </c>
      <c r="K473" s="3179" t="s">
        <v>4943</v>
      </c>
      <c r="L473" s="3179">
        <v>1.5</v>
      </c>
    </row>
    <row r="474" spans="1:12">
      <c r="A474" s="3191">
        <v>472</v>
      </c>
      <c r="B474" s="3191" t="s">
        <v>4943</v>
      </c>
      <c r="C474" s="3195" t="s">
        <v>5066</v>
      </c>
      <c r="D474" s="3193">
        <v>20</v>
      </c>
      <c r="E474" s="3193" t="s">
        <v>4827</v>
      </c>
      <c r="F474" s="3193" t="s">
        <v>4512</v>
      </c>
      <c r="I474" s="3198">
        <v>472</v>
      </c>
      <c r="J474" s="3179" t="s">
        <v>5657</v>
      </c>
      <c r="K474" s="3179" t="s">
        <v>4943</v>
      </c>
      <c r="L474" s="3179">
        <v>3.2</v>
      </c>
    </row>
    <row r="475" spans="1:12">
      <c r="A475" s="3191">
        <v>473</v>
      </c>
      <c r="B475" s="3191" t="s">
        <v>4943</v>
      </c>
      <c r="C475" s="3195" t="s">
        <v>5096</v>
      </c>
      <c r="D475" s="3193">
        <v>12.16</v>
      </c>
      <c r="E475" s="3193" t="s">
        <v>4851</v>
      </c>
      <c r="F475" s="3193" t="s">
        <v>5095</v>
      </c>
      <c r="I475" s="3198">
        <v>473</v>
      </c>
      <c r="J475" s="3179" t="s">
        <v>5658</v>
      </c>
      <c r="K475" s="3179" t="s">
        <v>4943</v>
      </c>
      <c r="L475" s="3179">
        <v>1.5</v>
      </c>
    </row>
    <row r="476" spans="1:12">
      <c r="A476" s="3191">
        <v>474</v>
      </c>
      <c r="B476" s="3191" t="s">
        <v>4943</v>
      </c>
      <c r="C476" s="3195" t="s">
        <v>4404</v>
      </c>
      <c r="D476" s="3193">
        <v>150</v>
      </c>
      <c r="E476" s="3193" t="s">
        <v>4835</v>
      </c>
      <c r="F476" s="3193" t="s">
        <v>4419</v>
      </c>
      <c r="I476" s="3198">
        <v>474</v>
      </c>
      <c r="J476" s="3179" t="s">
        <v>5659</v>
      </c>
      <c r="K476" s="3179" t="s">
        <v>4943</v>
      </c>
      <c r="L476" s="3179">
        <v>7.6956519999999999</v>
      </c>
    </row>
    <row r="477" spans="1:12">
      <c r="A477" s="3191">
        <v>475</v>
      </c>
      <c r="B477" s="3191" t="s">
        <v>4943</v>
      </c>
      <c r="C477" s="3195" t="s">
        <v>4495</v>
      </c>
      <c r="D477" s="3193">
        <v>150</v>
      </c>
      <c r="E477" s="3193" t="s">
        <v>5097</v>
      </c>
      <c r="F477" s="3193" t="s">
        <v>5098</v>
      </c>
      <c r="I477" s="3198">
        <v>475</v>
      </c>
      <c r="J477" s="3179" t="s">
        <v>5660</v>
      </c>
      <c r="K477" s="3179" t="s">
        <v>4943</v>
      </c>
      <c r="L477" s="3179">
        <v>1.6</v>
      </c>
    </row>
    <row r="478" spans="1:12">
      <c r="A478" s="3191">
        <v>476</v>
      </c>
      <c r="B478" s="3191" t="s">
        <v>4943</v>
      </c>
      <c r="C478" s="3195" t="s">
        <v>5099</v>
      </c>
      <c r="D478" s="3193">
        <v>30</v>
      </c>
      <c r="E478" s="3193" t="s">
        <v>5100</v>
      </c>
      <c r="F478" s="3193" t="s">
        <v>5101</v>
      </c>
      <c r="I478" s="3198">
        <v>476</v>
      </c>
      <c r="J478" s="3179" t="s">
        <v>5661</v>
      </c>
      <c r="K478" s="3179" t="s">
        <v>4943</v>
      </c>
      <c r="L478" s="3179">
        <v>0.2</v>
      </c>
    </row>
    <row r="479" spans="1:12">
      <c r="A479" s="3191">
        <v>477</v>
      </c>
      <c r="B479" s="3191" t="s">
        <v>4943</v>
      </c>
      <c r="C479" s="3195" t="s">
        <v>4440</v>
      </c>
      <c r="D479" s="3193">
        <v>30</v>
      </c>
      <c r="E479" s="3193" t="s">
        <v>4576</v>
      </c>
      <c r="F479" s="3193" t="s">
        <v>4419</v>
      </c>
      <c r="I479" s="3198">
        <v>477</v>
      </c>
      <c r="J479" s="3179" t="s">
        <v>5662</v>
      </c>
      <c r="K479" s="3179" t="s">
        <v>4943</v>
      </c>
      <c r="L479" s="3179">
        <v>0.53600000000000003</v>
      </c>
    </row>
    <row r="480" spans="1:12">
      <c r="A480" s="3191">
        <v>478</v>
      </c>
      <c r="B480" s="3191" t="s">
        <v>4943</v>
      </c>
      <c r="C480" s="3195" t="s">
        <v>4946</v>
      </c>
      <c r="D480" s="3193">
        <v>301</v>
      </c>
      <c r="E480" s="3193" t="s">
        <v>5102</v>
      </c>
      <c r="F480" s="3193" t="s">
        <v>5103</v>
      </c>
      <c r="I480" s="3198">
        <v>478</v>
      </c>
      <c r="J480" s="3179" t="s">
        <v>5663</v>
      </c>
      <c r="K480" s="3179" t="s">
        <v>4943</v>
      </c>
      <c r="L480" s="3179">
        <v>1.4133340000000001</v>
      </c>
    </row>
    <row r="481" spans="1:12">
      <c r="A481" s="3191">
        <v>479</v>
      </c>
      <c r="B481" s="3191" t="s">
        <v>4943</v>
      </c>
      <c r="C481" s="3195" t="s">
        <v>5104</v>
      </c>
      <c r="D481" s="3193">
        <v>1.1000000000000001</v>
      </c>
      <c r="E481" s="3193" t="s">
        <v>4832</v>
      </c>
      <c r="F481" s="3193" t="s">
        <v>5105</v>
      </c>
      <c r="I481" s="3198">
        <v>479</v>
      </c>
      <c r="J481" s="3179" t="s">
        <v>5664</v>
      </c>
      <c r="K481" s="3179" t="s">
        <v>4943</v>
      </c>
      <c r="L481" s="3179">
        <v>0.98505399999999999</v>
      </c>
    </row>
    <row r="482" spans="1:12">
      <c r="A482" s="3191">
        <v>480</v>
      </c>
      <c r="B482" s="3191" t="s">
        <v>4943</v>
      </c>
      <c r="C482" s="3195" t="s">
        <v>4653</v>
      </c>
      <c r="D482" s="3193">
        <v>20</v>
      </c>
      <c r="E482" s="3193" t="s">
        <v>5102</v>
      </c>
      <c r="F482" s="3193" t="s">
        <v>5106</v>
      </c>
      <c r="I482" s="3198">
        <v>480</v>
      </c>
      <c r="J482" s="3179" t="s">
        <v>5665</v>
      </c>
      <c r="K482" s="3179" t="s">
        <v>4943</v>
      </c>
      <c r="L482" s="3179">
        <v>1.76</v>
      </c>
    </row>
    <row r="483" spans="1:12">
      <c r="A483" s="3191">
        <v>481</v>
      </c>
      <c r="B483" s="3191" t="s">
        <v>4943</v>
      </c>
      <c r="C483" s="3195" t="s">
        <v>5107</v>
      </c>
      <c r="D483" s="3193">
        <v>5</v>
      </c>
      <c r="E483" s="3193" t="s">
        <v>4838</v>
      </c>
      <c r="F483" s="3193" t="s">
        <v>4448</v>
      </c>
      <c r="I483" s="3198">
        <v>481</v>
      </c>
      <c r="J483" s="3179" t="s">
        <v>5666</v>
      </c>
      <c r="K483" s="3179" t="s">
        <v>4943</v>
      </c>
      <c r="L483" s="3179">
        <v>0.7</v>
      </c>
    </row>
    <row r="484" spans="1:12">
      <c r="A484" s="3191">
        <v>482</v>
      </c>
      <c r="B484" s="3191" t="s">
        <v>4943</v>
      </c>
      <c r="C484" s="3195" t="s">
        <v>4975</v>
      </c>
      <c r="D484" s="3193">
        <v>3</v>
      </c>
      <c r="E484" s="3193" t="s">
        <v>5067</v>
      </c>
      <c r="F484" s="3193" t="s">
        <v>5108</v>
      </c>
      <c r="I484" s="3198">
        <v>482</v>
      </c>
      <c r="J484" s="3179" t="s">
        <v>5667</v>
      </c>
      <c r="K484" s="3179" t="s">
        <v>4943</v>
      </c>
      <c r="L484" s="3179">
        <v>0.75758000000000003</v>
      </c>
    </row>
    <row r="485" spans="1:12">
      <c r="A485" s="3191">
        <v>483</v>
      </c>
      <c r="B485" s="3191" t="s">
        <v>4943</v>
      </c>
      <c r="C485" s="3195" t="s">
        <v>4939</v>
      </c>
      <c r="D485" s="3193">
        <v>5.25</v>
      </c>
      <c r="E485" s="3193" t="s">
        <v>4838</v>
      </c>
      <c r="F485" s="3193" t="s">
        <v>4448</v>
      </c>
      <c r="I485" s="3198">
        <v>483</v>
      </c>
      <c r="J485" s="3179" t="s">
        <v>5668</v>
      </c>
      <c r="K485" s="3179" t="s">
        <v>4943</v>
      </c>
      <c r="L485" s="3179">
        <v>0.70399999999999996</v>
      </c>
    </row>
    <row r="486" spans="1:12">
      <c r="A486" s="3191">
        <v>484</v>
      </c>
      <c r="B486" s="3191" t="s">
        <v>4943</v>
      </c>
      <c r="C486" s="3195" t="s">
        <v>5109</v>
      </c>
      <c r="D486" s="3193">
        <v>8</v>
      </c>
      <c r="E486" s="3193" t="s">
        <v>4827</v>
      </c>
      <c r="F486" s="3193" t="s">
        <v>4554</v>
      </c>
      <c r="I486" s="3198">
        <v>484</v>
      </c>
      <c r="J486" s="3179" t="s">
        <v>5669</v>
      </c>
      <c r="K486" s="3179" t="s">
        <v>4943</v>
      </c>
      <c r="L486" s="3179">
        <v>0.32767099999999999</v>
      </c>
    </row>
    <row r="487" spans="1:12">
      <c r="A487" s="3191">
        <v>485</v>
      </c>
      <c r="B487" s="3191" t="s">
        <v>4943</v>
      </c>
      <c r="C487" s="3195" t="s">
        <v>5110</v>
      </c>
      <c r="D487" s="3193">
        <v>15</v>
      </c>
      <c r="E487" s="3193" t="s">
        <v>4827</v>
      </c>
      <c r="F487" s="3193" t="s">
        <v>4554</v>
      </c>
      <c r="I487" s="3198">
        <v>485</v>
      </c>
      <c r="J487" s="3179" t="s">
        <v>5670</v>
      </c>
      <c r="K487" s="3179" t="s">
        <v>4943</v>
      </c>
      <c r="L487" s="3179">
        <v>5.0999999999999996</v>
      </c>
    </row>
    <row r="488" spans="1:12">
      <c r="A488" s="3191">
        <v>486</v>
      </c>
      <c r="B488" s="3191" t="s">
        <v>4943</v>
      </c>
      <c r="C488" s="3195" t="s">
        <v>5083</v>
      </c>
      <c r="D488" s="3193">
        <v>21.08</v>
      </c>
      <c r="E488" s="3193" t="s">
        <v>5100</v>
      </c>
      <c r="F488" s="3193" t="s">
        <v>5093</v>
      </c>
      <c r="I488" s="3198">
        <v>486</v>
      </c>
      <c r="J488" s="3179" t="s">
        <v>5671</v>
      </c>
      <c r="K488" s="3179" t="s">
        <v>4943</v>
      </c>
      <c r="L488" s="3179">
        <v>6</v>
      </c>
    </row>
    <row r="489" spans="1:12">
      <c r="A489" s="3191">
        <v>487</v>
      </c>
      <c r="B489" s="3191" t="s">
        <v>4943</v>
      </c>
      <c r="C489" s="3195" t="s">
        <v>5016</v>
      </c>
      <c r="D489" s="3193">
        <v>25</v>
      </c>
      <c r="E489" s="3193" t="s">
        <v>5111</v>
      </c>
      <c r="F489" s="3193" t="s">
        <v>5111</v>
      </c>
      <c r="I489" s="3198">
        <v>487</v>
      </c>
      <c r="J489" s="3179" t="s">
        <v>5672</v>
      </c>
      <c r="K489" s="3179" t="s">
        <v>4943</v>
      </c>
      <c r="L489" s="3179">
        <v>0.3</v>
      </c>
    </row>
    <row r="490" spans="1:12">
      <c r="A490" s="3191">
        <v>488</v>
      </c>
      <c r="B490" s="3191" t="s">
        <v>4943</v>
      </c>
      <c r="C490" s="3195" t="s">
        <v>5016</v>
      </c>
      <c r="D490" s="3193">
        <v>25</v>
      </c>
      <c r="E490" s="3193" t="s">
        <v>4822</v>
      </c>
      <c r="F490" s="3193" t="s">
        <v>4822</v>
      </c>
      <c r="I490" s="3198">
        <v>488</v>
      </c>
      <c r="J490" s="3179" t="s">
        <v>5673</v>
      </c>
      <c r="K490" s="3179" t="s">
        <v>4943</v>
      </c>
      <c r="L490" s="3179">
        <v>0.3</v>
      </c>
    </row>
    <row r="491" spans="1:12">
      <c r="A491" s="3191">
        <v>489</v>
      </c>
      <c r="B491" s="3191" t="s">
        <v>4943</v>
      </c>
      <c r="C491" s="3195" t="s">
        <v>5112</v>
      </c>
      <c r="D491" s="3193">
        <v>39.840000000000003</v>
      </c>
      <c r="E491" s="3193" t="s">
        <v>5113</v>
      </c>
      <c r="F491" s="3193" t="s">
        <v>4419</v>
      </c>
      <c r="I491" s="3198">
        <v>489</v>
      </c>
      <c r="J491" s="3179" t="s">
        <v>5674</v>
      </c>
      <c r="K491" s="3179" t="s">
        <v>4943</v>
      </c>
      <c r="L491" s="3179">
        <v>1.5</v>
      </c>
    </row>
    <row r="492" spans="1:12">
      <c r="A492" s="3191">
        <v>490</v>
      </c>
      <c r="B492" s="3191" t="s">
        <v>4943</v>
      </c>
      <c r="C492" s="3195" t="s">
        <v>5078</v>
      </c>
      <c r="D492" s="3193">
        <v>10.89</v>
      </c>
      <c r="E492" s="3193" t="s">
        <v>5114</v>
      </c>
      <c r="F492" s="3193" t="s">
        <v>5115</v>
      </c>
      <c r="I492" s="3198">
        <v>490</v>
      </c>
      <c r="J492" s="3179" t="s">
        <v>5675</v>
      </c>
      <c r="K492" s="3179" t="s">
        <v>4943</v>
      </c>
      <c r="L492" s="3179">
        <v>1.4</v>
      </c>
    </row>
    <row r="493" spans="1:12">
      <c r="A493" s="3191">
        <v>491</v>
      </c>
      <c r="B493" s="3191" t="s">
        <v>4943</v>
      </c>
      <c r="C493" s="3195" t="s">
        <v>5004</v>
      </c>
      <c r="D493" s="3193">
        <v>72</v>
      </c>
      <c r="E493" s="3193" t="s">
        <v>5116</v>
      </c>
      <c r="F493" s="3193" t="s">
        <v>5117</v>
      </c>
      <c r="I493" s="3198">
        <v>491</v>
      </c>
      <c r="J493" s="3179" t="s">
        <v>5676</v>
      </c>
      <c r="K493" s="3179" t="s">
        <v>4943</v>
      </c>
      <c r="L493" s="3179">
        <v>20</v>
      </c>
    </row>
    <row r="494" spans="1:12">
      <c r="A494" s="3191">
        <v>492</v>
      </c>
      <c r="B494" s="3191" t="s">
        <v>4943</v>
      </c>
      <c r="C494" s="3195" t="s">
        <v>5078</v>
      </c>
      <c r="D494" s="3193">
        <v>10.89</v>
      </c>
      <c r="E494" s="3193" t="s">
        <v>4896</v>
      </c>
      <c r="F494" s="3193" t="s">
        <v>5111</v>
      </c>
      <c r="I494" s="3198">
        <v>492</v>
      </c>
      <c r="J494" s="3179" t="s">
        <v>5677</v>
      </c>
      <c r="K494" s="3179" t="s">
        <v>4943</v>
      </c>
      <c r="L494" s="3179">
        <v>1.4</v>
      </c>
    </row>
    <row r="495" spans="1:12">
      <c r="A495" s="3191">
        <v>493</v>
      </c>
      <c r="B495" s="3191" t="s">
        <v>4943</v>
      </c>
      <c r="C495" s="3195" t="s">
        <v>5007</v>
      </c>
      <c r="D495" s="3193">
        <v>22.44</v>
      </c>
      <c r="E495" s="3193" t="s">
        <v>4893</v>
      </c>
      <c r="F495" s="3193" t="s">
        <v>5118</v>
      </c>
      <c r="I495" s="3198">
        <v>493</v>
      </c>
      <c r="J495" s="3179" t="s">
        <v>5678</v>
      </c>
      <c r="K495" s="3179" t="s">
        <v>4943</v>
      </c>
      <c r="L495" s="3179">
        <v>3.2</v>
      </c>
    </row>
    <row r="496" spans="1:12">
      <c r="A496" s="3191">
        <v>494</v>
      </c>
      <c r="B496" s="3191" t="s">
        <v>4943</v>
      </c>
      <c r="C496" s="3195" t="s">
        <v>5010</v>
      </c>
      <c r="D496" s="3193">
        <v>20.94</v>
      </c>
      <c r="E496" s="3193" t="s">
        <v>4838</v>
      </c>
      <c r="F496" s="3193" t="s">
        <v>4417</v>
      </c>
      <c r="I496" s="3198">
        <v>494</v>
      </c>
      <c r="J496" s="3179" t="s">
        <v>5679</v>
      </c>
      <c r="K496" s="3179" t="s">
        <v>4943</v>
      </c>
      <c r="L496" s="3179">
        <v>3.2</v>
      </c>
    </row>
    <row r="497" spans="1:12">
      <c r="A497" s="3191">
        <v>495</v>
      </c>
      <c r="B497" s="3191" t="s">
        <v>4943</v>
      </c>
      <c r="C497" s="3195" t="s">
        <v>5016</v>
      </c>
      <c r="D497" s="3193">
        <v>25</v>
      </c>
      <c r="E497" s="3193" t="s">
        <v>5119</v>
      </c>
      <c r="F497" s="3193" t="s">
        <v>5119</v>
      </c>
      <c r="I497" s="3198">
        <v>495</v>
      </c>
      <c r="J497" s="3179" t="s">
        <v>5680</v>
      </c>
      <c r="K497" s="3179" t="s">
        <v>4943</v>
      </c>
      <c r="L497" s="3179">
        <v>0.3</v>
      </c>
    </row>
    <row r="498" spans="1:12">
      <c r="A498" s="3191">
        <v>496</v>
      </c>
      <c r="B498" s="3191" t="s">
        <v>4943</v>
      </c>
      <c r="C498" s="3195" t="s">
        <v>5016</v>
      </c>
      <c r="D498" s="3193">
        <v>25</v>
      </c>
      <c r="E498" s="3193" t="s">
        <v>4512</v>
      </c>
      <c r="F498" s="3193" t="s">
        <v>4512</v>
      </c>
      <c r="I498" s="3198">
        <v>496</v>
      </c>
      <c r="J498" s="3179" t="s">
        <v>5681</v>
      </c>
      <c r="K498" s="3179" t="s">
        <v>4943</v>
      </c>
      <c r="L498" s="3179">
        <v>0.3</v>
      </c>
    </row>
    <row r="499" spans="1:12">
      <c r="A499" s="3191">
        <v>497</v>
      </c>
      <c r="B499" s="3191" t="s">
        <v>4943</v>
      </c>
      <c r="C499" s="3195" t="s">
        <v>5016</v>
      </c>
      <c r="D499" s="3193">
        <v>25</v>
      </c>
      <c r="E499" s="3193" t="s">
        <v>5100</v>
      </c>
      <c r="F499" s="3193" t="s">
        <v>5100</v>
      </c>
      <c r="I499" s="3198">
        <v>497</v>
      </c>
      <c r="J499" s="3179" t="s">
        <v>5682</v>
      </c>
      <c r="K499" s="3179" t="s">
        <v>4943</v>
      </c>
      <c r="L499" s="3179">
        <v>0.3</v>
      </c>
    </row>
    <row r="500" spans="1:12">
      <c r="A500" s="3191">
        <v>498</v>
      </c>
      <c r="B500" s="3191" t="s">
        <v>4943</v>
      </c>
      <c r="C500" s="3195" t="s">
        <v>5016</v>
      </c>
      <c r="D500" s="3193">
        <v>25</v>
      </c>
      <c r="E500" s="3193" t="s">
        <v>4923</v>
      </c>
      <c r="F500" s="3193" t="s">
        <v>5120</v>
      </c>
      <c r="I500" s="3198">
        <v>498</v>
      </c>
      <c r="J500" s="3179" t="s">
        <v>5683</v>
      </c>
      <c r="K500" s="3179" t="s">
        <v>4943</v>
      </c>
      <c r="L500" s="3179">
        <v>0.7</v>
      </c>
    </row>
    <row r="501" spans="1:12">
      <c r="A501" s="3191">
        <v>499</v>
      </c>
      <c r="B501" s="3191" t="s">
        <v>4943</v>
      </c>
      <c r="C501" s="3195" t="s">
        <v>5016</v>
      </c>
      <c r="D501" s="3193">
        <v>25</v>
      </c>
      <c r="E501" s="3193" t="s">
        <v>5121</v>
      </c>
      <c r="F501" s="3193" t="s">
        <v>5121</v>
      </c>
      <c r="I501" s="3198">
        <v>499</v>
      </c>
      <c r="J501" s="3179" t="s">
        <v>5684</v>
      </c>
      <c r="K501" s="3179" t="s">
        <v>4943</v>
      </c>
      <c r="L501" s="3179">
        <v>0.3</v>
      </c>
    </row>
    <row r="502" spans="1:12">
      <c r="A502" s="3191">
        <v>500</v>
      </c>
      <c r="B502" s="3191" t="s">
        <v>4943</v>
      </c>
      <c r="C502" s="3195" t="s">
        <v>5016</v>
      </c>
      <c r="D502" s="3193">
        <v>25</v>
      </c>
      <c r="E502" s="3193" t="s">
        <v>4854</v>
      </c>
      <c r="F502" s="3193" t="s">
        <v>4854</v>
      </c>
      <c r="I502" s="3198">
        <v>500</v>
      </c>
      <c r="J502" s="3179" t="s">
        <v>5685</v>
      </c>
      <c r="K502" s="3179" t="s">
        <v>4943</v>
      </c>
      <c r="L502" s="3179">
        <v>0.3</v>
      </c>
    </row>
    <row r="503" spans="1:12">
      <c r="A503" s="3191">
        <v>501</v>
      </c>
      <c r="B503" s="3191" t="s">
        <v>4943</v>
      </c>
      <c r="C503" s="3195" t="s">
        <v>5004</v>
      </c>
      <c r="D503" s="3193">
        <v>72</v>
      </c>
      <c r="E503" s="3193" t="s">
        <v>5122</v>
      </c>
      <c r="F503" s="3193" t="s">
        <v>5119</v>
      </c>
      <c r="I503" s="3198">
        <v>501</v>
      </c>
      <c r="J503" s="3179" t="s">
        <v>5686</v>
      </c>
      <c r="K503" s="3179" t="s">
        <v>4943</v>
      </c>
      <c r="L503" s="3179">
        <v>20</v>
      </c>
    </row>
    <row r="504" spans="1:12">
      <c r="A504" s="3191">
        <v>502</v>
      </c>
      <c r="B504" s="3191" t="s">
        <v>4943</v>
      </c>
      <c r="C504" s="3195" t="s">
        <v>5010</v>
      </c>
      <c r="D504" s="3193">
        <v>20.94</v>
      </c>
      <c r="E504" s="3193" t="s">
        <v>4827</v>
      </c>
      <c r="F504" s="3193" t="s">
        <v>4512</v>
      </c>
      <c r="I504" s="3198">
        <v>502</v>
      </c>
      <c r="J504" s="3179" t="s">
        <v>5687</v>
      </c>
      <c r="K504" s="3179" t="s">
        <v>4943</v>
      </c>
      <c r="L504" s="3179">
        <v>3.2</v>
      </c>
    </row>
    <row r="505" spans="1:12">
      <c r="A505" s="3191">
        <v>503</v>
      </c>
      <c r="B505" s="3191" t="s">
        <v>4943</v>
      </c>
      <c r="C505" s="3195" t="s">
        <v>5123</v>
      </c>
      <c r="D505" s="3193">
        <v>14.87</v>
      </c>
      <c r="E505" s="3193" t="s">
        <v>5124</v>
      </c>
      <c r="F505" s="3193" t="s">
        <v>5125</v>
      </c>
      <c r="I505" s="3198">
        <v>503</v>
      </c>
      <c r="J505" s="3179" t="s">
        <v>5688</v>
      </c>
      <c r="K505" s="3179" t="s">
        <v>4943</v>
      </c>
      <c r="L505" s="3179">
        <v>2.9354840000000002</v>
      </c>
    </row>
    <row r="506" spans="1:12">
      <c r="A506" s="3191">
        <v>504</v>
      </c>
      <c r="B506" s="3191" t="s">
        <v>4943</v>
      </c>
      <c r="C506" s="3195" t="s">
        <v>5123</v>
      </c>
      <c r="D506" s="3193">
        <v>21</v>
      </c>
      <c r="E506" s="3193" t="s">
        <v>5124</v>
      </c>
      <c r="F506" s="3193" t="s">
        <v>5125</v>
      </c>
      <c r="I506" s="3198">
        <v>504</v>
      </c>
      <c r="J506" s="3179" t="s">
        <v>5689</v>
      </c>
      <c r="K506" s="3179" t="s">
        <v>4943</v>
      </c>
      <c r="L506" s="3179">
        <v>4.4032260000000001</v>
      </c>
    </row>
    <row r="507" spans="1:12">
      <c r="A507" s="3191">
        <v>505</v>
      </c>
      <c r="B507" s="3191" t="s">
        <v>4943</v>
      </c>
      <c r="C507" s="3195" t="s">
        <v>5126</v>
      </c>
      <c r="D507" s="3193">
        <v>1.3</v>
      </c>
      <c r="E507" s="3193" t="s">
        <v>5127</v>
      </c>
      <c r="F507" s="3193" t="s">
        <v>5093</v>
      </c>
      <c r="I507" s="3198">
        <v>505</v>
      </c>
      <c r="J507" s="3179" t="s">
        <v>5690</v>
      </c>
      <c r="K507" s="3179" t="s">
        <v>4943</v>
      </c>
      <c r="L507" s="3179">
        <v>0.24</v>
      </c>
    </row>
    <row r="508" spans="1:12">
      <c r="A508" s="3191">
        <v>506</v>
      </c>
      <c r="B508" s="3191" t="s">
        <v>4943</v>
      </c>
      <c r="C508" s="3195" t="s">
        <v>5128</v>
      </c>
      <c r="D508" s="3193">
        <v>10</v>
      </c>
      <c r="E508" s="3193" t="s">
        <v>5101</v>
      </c>
      <c r="F508" s="3193" t="s">
        <v>4855</v>
      </c>
      <c r="I508" s="3198">
        <v>506</v>
      </c>
      <c r="J508" s="3179" t="s">
        <v>5691</v>
      </c>
      <c r="K508" s="3179" t="s">
        <v>4943</v>
      </c>
      <c r="L508" s="3179">
        <v>2</v>
      </c>
    </row>
    <row r="509" spans="1:12">
      <c r="A509" s="3191">
        <v>507</v>
      </c>
      <c r="B509" s="3191" t="s">
        <v>4943</v>
      </c>
      <c r="C509" s="3195" t="s">
        <v>5126</v>
      </c>
      <c r="D509" s="3193">
        <v>8.59</v>
      </c>
      <c r="E509" s="3193" t="s">
        <v>4851</v>
      </c>
      <c r="F509" s="3193" t="s">
        <v>5093</v>
      </c>
      <c r="I509" s="3198">
        <v>507</v>
      </c>
      <c r="J509" s="3179" t="s">
        <v>5692</v>
      </c>
      <c r="K509" s="3179" t="s">
        <v>4943</v>
      </c>
      <c r="L509" s="3179">
        <v>1</v>
      </c>
    </row>
    <row r="510" spans="1:12">
      <c r="A510" s="3191">
        <v>508</v>
      </c>
      <c r="B510" s="3191" t="s">
        <v>4943</v>
      </c>
      <c r="C510" s="3195" t="s">
        <v>4630</v>
      </c>
      <c r="D510" s="3193">
        <v>99</v>
      </c>
      <c r="E510" s="3193" t="s">
        <v>4822</v>
      </c>
      <c r="F510" s="3193" t="s">
        <v>5118</v>
      </c>
      <c r="I510" s="3198">
        <v>508</v>
      </c>
      <c r="J510" s="3179" t="s">
        <v>5693</v>
      </c>
      <c r="K510" s="3179" t="s">
        <v>4943</v>
      </c>
      <c r="L510" s="3179">
        <v>2.7</v>
      </c>
    </row>
    <row r="511" spans="1:12">
      <c r="A511" s="3191">
        <v>509</v>
      </c>
      <c r="B511" s="3191" t="s">
        <v>4943</v>
      </c>
      <c r="C511" s="3195" t="s">
        <v>5129</v>
      </c>
      <c r="D511" s="3193">
        <v>30</v>
      </c>
      <c r="E511" s="3193" t="s">
        <v>4927</v>
      </c>
      <c r="F511" s="3193" t="s">
        <v>5095</v>
      </c>
      <c r="I511" s="3198">
        <v>509</v>
      </c>
      <c r="J511" s="3179" t="s">
        <v>5694</v>
      </c>
      <c r="K511" s="3179" t="s">
        <v>4943</v>
      </c>
      <c r="L511" s="3179">
        <v>0.50004000000000004</v>
      </c>
    </row>
    <row r="512" spans="1:12">
      <c r="A512" s="3191">
        <v>510</v>
      </c>
      <c r="B512" s="3191" t="s">
        <v>4943</v>
      </c>
      <c r="C512" s="3195" t="s">
        <v>5130</v>
      </c>
      <c r="D512" s="3193">
        <v>20</v>
      </c>
      <c r="E512" s="3193" t="s">
        <v>5097</v>
      </c>
      <c r="F512" s="3193" t="s">
        <v>4979</v>
      </c>
      <c r="I512" s="3198">
        <v>510</v>
      </c>
      <c r="J512" s="3179" t="s">
        <v>5695</v>
      </c>
      <c r="K512" s="3179" t="s">
        <v>4943</v>
      </c>
      <c r="L512" s="3179">
        <v>2.5</v>
      </c>
    </row>
    <row r="513" spans="1:12">
      <c r="A513" s="3191">
        <v>511</v>
      </c>
      <c r="B513" s="3191" t="s">
        <v>5131</v>
      </c>
      <c r="C513" s="3193" t="s">
        <v>5132</v>
      </c>
      <c r="D513" s="3196">
        <v>0</v>
      </c>
      <c r="E513" s="3193" t="s">
        <v>5133</v>
      </c>
      <c r="F513" s="3193" t="s">
        <v>4413</v>
      </c>
      <c r="I513" s="3198">
        <v>511</v>
      </c>
      <c r="J513" s="3179" t="s">
        <v>5696</v>
      </c>
      <c r="K513" s="3179" t="s">
        <v>5131</v>
      </c>
      <c r="L513" s="3179">
        <v>0.53064500000000003</v>
      </c>
    </row>
    <row r="514" spans="1:12">
      <c r="A514" s="3191">
        <v>512</v>
      </c>
      <c r="B514" s="3191" t="s">
        <v>5131</v>
      </c>
      <c r="C514" s="3193" t="s">
        <v>4946</v>
      </c>
      <c r="D514" s="3196">
        <v>0</v>
      </c>
      <c r="E514" s="3193" t="s">
        <v>4947</v>
      </c>
      <c r="F514" s="3193" t="s">
        <v>4829</v>
      </c>
      <c r="I514" s="3198">
        <v>512</v>
      </c>
      <c r="J514" s="3179" t="s">
        <v>5697</v>
      </c>
      <c r="K514" s="3179" t="s">
        <v>5131</v>
      </c>
      <c r="L514" s="3179">
        <v>1.4451609999999999</v>
      </c>
    </row>
    <row r="515" spans="1:12">
      <c r="A515" s="3191">
        <v>513</v>
      </c>
      <c r="B515" s="3191" t="s">
        <v>5131</v>
      </c>
      <c r="C515" s="3193" t="s">
        <v>4502</v>
      </c>
      <c r="D515" s="3196">
        <v>0</v>
      </c>
      <c r="E515" s="3193" t="s">
        <v>5134</v>
      </c>
      <c r="F515" s="3193" t="s">
        <v>5135</v>
      </c>
      <c r="I515" s="3198">
        <v>513</v>
      </c>
      <c r="J515" s="3179" t="s">
        <v>5698</v>
      </c>
      <c r="K515" s="3179" t="s">
        <v>5131</v>
      </c>
      <c r="L515" s="3179">
        <v>0.348387</v>
      </c>
    </row>
    <row r="516" spans="1:12">
      <c r="A516" s="3191">
        <v>514</v>
      </c>
      <c r="B516" s="3191" t="s">
        <v>5131</v>
      </c>
      <c r="C516" s="3193" t="s">
        <v>4816</v>
      </c>
      <c r="D516" s="3196">
        <v>0</v>
      </c>
      <c r="E516" s="3193" t="s">
        <v>5136</v>
      </c>
      <c r="F516" s="3193" t="s">
        <v>4886</v>
      </c>
      <c r="I516" s="3198">
        <v>514</v>
      </c>
      <c r="J516" s="3179" t="s">
        <v>5699</v>
      </c>
      <c r="K516" s="3179" t="s">
        <v>5131</v>
      </c>
      <c r="L516" s="3179">
        <v>0.16</v>
      </c>
    </row>
    <row r="517" spans="1:12">
      <c r="A517" s="3191">
        <v>515</v>
      </c>
      <c r="B517" s="3191" t="s">
        <v>5131</v>
      </c>
      <c r="C517" s="3193" t="s">
        <v>4804</v>
      </c>
      <c r="D517" s="3196">
        <v>0</v>
      </c>
      <c r="E517" s="3193" t="s">
        <v>5137</v>
      </c>
      <c r="F517" s="3193" t="s">
        <v>5138</v>
      </c>
      <c r="I517" s="3198">
        <v>515</v>
      </c>
      <c r="J517" s="3179" t="s">
        <v>5700</v>
      </c>
      <c r="K517" s="3179" t="s">
        <v>5131</v>
      </c>
      <c r="L517" s="3179">
        <v>0.72786899999999999</v>
      </c>
    </row>
    <row r="518" spans="1:12">
      <c r="A518" s="3191">
        <v>516</v>
      </c>
      <c r="B518" s="3191" t="s">
        <v>5131</v>
      </c>
      <c r="C518" s="3193" t="s">
        <v>4535</v>
      </c>
      <c r="D518" s="3196">
        <v>0</v>
      </c>
      <c r="E518" s="3193" t="s">
        <v>4918</v>
      </c>
      <c r="F518" s="3193" t="s">
        <v>4872</v>
      </c>
      <c r="I518" s="3198">
        <v>516</v>
      </c>
      <c r="J518" s="3179" t="s">
        <v>5701</v>
      </c>
      <c r="K518" s="3179" t="s">
        <v>5131</v>
      </c>
      <c r="L518" s="3179">
        <v>1.8</v>
      </c>
    </row>
    <row r="519" spans="1:12">
      <c r="A519" s="3191">
        <v>517</v>
      </c>
      <c r="B519" s="3191" t="s">
        <v>5131</v>
      </c>
      <c r="C519" s="3193" t="s">
        <v>4622</v>
      </c>
      <c r="D519" s="3196">
        <v>0</v>
      </c>
      <c r="E519" s="3193" t="s">
        <v>4958</v>
      </c>
      <c r="F519" s="3193" t="s">
        <v>4413</v>
      </c>
      <c r="I519" s="3198">
        <v>517</v>
      </c>
      <c r="J519" s="3179" t="s">
        <v>5702</v>
      </c>
      <c r="K519" s="3179" t="s">
        <v>5131</v>
      </c>
      <c r="L519" s="3179">
        <v>3</v>
      </c>
    </row>
    <row r="520" spans="1:12">
      <c r="A520" s="3191">
        <v>518</v>
      </c>
      <c r="B520" s="3191" t="s">
        <v>5131</v>
      </c>
      <c r="C520" s="3193" t="s">
        <v>4743</v>
      </c>
      <c r="D520" s="3196">
        <v>0</v>
      </c>
      <c r="E520" s="3193" t="s">
        <v>4958</v>
      </c>
      <c r="F520" s="3193" t="s">
        <v>4413</v>
      </c>
      <c r="I520" s="3198">
        <v>518</v>
      </c>
      <c r="J520" s="3179" t="s">
        <v>5703</v>
      </c>
      <c r="K520" s="3179" t="s">
        <v>5131</v>
      </c>
      <c r="L520" s="3179">
        <v>0.9</v>
      </c>
    </row>
    <row r="521" spans="1:12">
      <c r="A521" s="3191">
        <v>519</v>
      </c>
      <c r="B521" s="3191" t="s">
        <v>5131</v>
      </c>
      <c r="C521" s="3193" t="s">
        <v>4502</v>
      </c>
      <c r="D521" s="3196">
        <v>0</v>
      </c>
      <c r="E521" s="3193" t="s">
        <v>4511</v>
      </c>
      <c r="F521" s="3193" t="s">
        <v>4424</v>
      </c>
      <c r="I521" s="3198">
        <v>519</v>
      </c>
      <c r="J521" s="3179" t="s">
        <v>5704</v>
      </c>
      <c r="K521" s="3179" t="s">
        <v>5131</v>
      </c>
      <c r="L521" s="3179">
        <v>2.4</v>
      </c>
    </row>
    <row r="522" spans="1:12">
      <c r="A522" s="3191">
        <v>520</v>
      </c>
      <c r="B522" s="3191" t="s">
        <v>5131</v>
      </c>
      <c r="C522" s="3193" t="s">
        <v>4610</v>
      </c>
      <c r="D522" s="3196">
        <v>0</v>
      </c>
      <c r="E522" s="3193" t="s">
        <v>4968</v>
      </c>
      <c r="F522" s="3193" t="s">
        <v>4915</v>
      </c>
      <c r="I522" s="3198">
        <v>520</v>
      </c>
      <c r="J522" s="3179" t="s">
        <v>5705</v>
      </c>
      <c r="K522" s="3179" t="s">
        <v>5131</v>
      </c>
      <c r="L522" s="3179">
        <v>1.5</v>
      </c>
    </row>
    <row r="523" spans="1:12">
      <c r="A523" s="3191">
        <v>521</v>
      </c>
      <c r="B523" s="3191" t="s">
        <v>5131</v>
      </c>
      <c r="C523" s="3193" t="s">
        <v>4404</v>
      </c>
      <c r="D523" s="3196">
        <v>0</v>
      </c>
      <c r="E523" s="3193" t="s">
        <v>4968</v>
      </c>
      <c r="F523" s="3193" t="s">
        <v>4915</v>
      </c>
      <c r="I523" s="3198">
        <v>521</v>
      </c>
      <c r="J523" s="3179" t="s">
        <v>5706</v>
      </c>
      <c r="K523" s="3179" t="s">
        <v>5131</v>
      </c>
      <c r="L523" s="3179">
        <v>2.5</v>
      </c>
    </row>
    <row r="524" spans="1:12">
      <c r="A524" s="3191">
        <v>522</v>
      </c>
      <c r="B524" s="3191" t="s">
        <v>5131</v>
      </c>
      <c r="C524" s="3193" t="s">
        <v>4502</v>
      </c>
      <c r="D524" s="3196">
        <v>0</v>
      </c>
      <c r="E524" s="3193" t="s">
        <v>4973</v>
      </c>
      <c r="F524" s="3193" t="s">
        <v>4846</v>
      </c>
      <c r="I524" s="3198">
        <v>522</v>
      </c>
      <c r="J524" s="3179" t="s">
        <v>5707</v>
      </c>
      <c r="K524" s="3179" t="s">
        <v>5131</v>
      </c>
      <c r="L524" s="3179">
        <v>3</v>
      </c>
    </row>
    <row r="525" spans="1:12">
      <c r="A525" s="3191">
        <v>523</v>
      </c>
      <c r="B525" s="3191" t="s">
        <v>5131</v>
      </c>
      <c r="C525" s="3193" t="s">
        <v>4726</v>
      </c>
      <c r="D525" s="3196">
        <v>0</v>
      </c>
      <c r="E525" s="3193" t="s">
        <v>4913</v>
      </c>
      <c r="F525" s="3193" t="s">
        <v>4921</v>
      </c>
      <c r="I525" s="3198">
        <v>523</v>
      </c>
      <c r="J525" s="3179" t="s">
        <v>5708</v>
      </c>
      <c r="K525" s="3179" t="s">
        <v>5131</v>
      </c>
      <c r="L525" s="3179">
        <v>1.9845619999999999</v>
      </c>
    </row>
    <row r="526" spans="1:12">
      <c r="A526" s="3191">
        <v>524</v>
      </c>
      <c r="B526" s="3191" t="s">
        <v>5131</v>
      </c>
      <c r="C526" s="3193" t="s">
        <v>4666</v>
      </c>
      <c r="D526" s="3196">
        <v>0</v>
      </c>
      <c r="E526" s="3193" t="s">
        <v>5139</v>
      </c>
      <c r="F526" s="3193" t="s">
        <v>4512</v>
      </c>
      <c r="I526" s="3198">
        <v>524</v>
      </c>
      <c r="J526" s="3179" t="s">
        <v>5709</v>
      </c>
      <c r="K526" s="3179" t="s">
        <v>5131</v>
      </c>
      <c r="L526" s="3179">
        <v>2.8</v>
      </c>
    </row>
    <row r="527" spans="1:12">
      <c r="A527" s="3191">
        <v>525</v>
      </c>
      <c r="B527" s="3191" t="s">
        <v>5131</v>
      </c>
      <c r="C527" s="3193" t="s">
        <v>4666</v>
      </c>
      <c r="D527" s="3196">
        <v>0</v>
      </c>
      <c r="E527" s="3193" t="s">
        <v>5140</v>
      </c>
      <c r="F527" s="3193" t="s">
        <v>5141</v>
      </c>
      <c r="I527" s="3198">
        <v>525</v>
      </c>
      <c r="J527" s="3179" t="s">
        <v>5710</v>
      </c>
      <c r="K527" s="3179" t="s">
        <v>5131</v>
      </c>
      <c r="L527" s="3179">
        <v>1.503808</v>
      </c>
    </row>
    <row r="528" spans="1:12">
      <c r="A528" s="3191">
        <v>526</v>
      </c>
      <c r="B528" s="3191" t="s">
        <v>5131</v>
      </c>
      <c r="C528" s="3193" t="s">
        <v>4703</v>
      </c>
      <c r="D528" s="3196">
        <v>0</v>
      </c>
      <c r="E528" s="3193" t="s">
        <v>5142</v>
      </c>
      <c r="F528" s="3193" t="s">
        <v>5143</v>
      </c>
      <c r="I528" s="3198">
        <v>526</v>
      </c>
      <c r="J528" s="3179" t="s">
        <v>5711</v>
      </c>
      <c r="K528" s="3179" t="s">
        <v>5131</v>
      </c>
      <c r="L528" s="3179">
        <v>2.0249999999999999</v>
      </c>
    </row>
    <row r="529" spans="1:12">
      <c r="A529" s="3191">
        <v>527</v>
      </c>
      <c r="B529" s="3191" t="s">
        <v>5131</v>
      </c>
      <c r="C529" s="3193" t="s">
        <v>4774</v>
      </c>
      <c r="D529" s="3196">
        <v>0</v>
      </c>
      <c r="E529" s="3193" t="s">
        <v>4984</v>
      </c>
      <c r="F529" s="3193" t="s">
        <v>5138</v>
      </c>
      <c r="I529" s="3198">
        <v>527</v>
      </c>
      <c r="J529" s="3179" t="s">
        <v>5712</v>
      </c>
      <c r="K529" s="3179" t="s">
        <v>5131</v>
      </c>
      <c r="L529" s="3179">
        <v>2.195605</v>
      </c>
    </row>
    <row r="530" spans="1:12">
      <c r="A530" s="3191">
        <v>528</v>
      </c>
      <c r="B530" s="3191" t="s">
        <v>5131</v>
      </c>
      <c r="C530" s="3193" t="s">
        <v>4438</v>
      </c>
      <c r="D530" s="3196">
        <v>0</v>
      </c>
      <c r="E530" s="3193" t="s">
        <v>4880</v>
      </c>
      <c r="F530" s="3193" t="s">
        <v>4892</v>
      </c>
      <c r="I530" s="3198">
        <v>528</v>
      </c>
      <c r="J530" s="3179" t="s">
        <v>5713</v>
      </c>
      <c r="K530" s="3179" t="s">
        <v>5131</v>
      </c>
      <c r="L530" s="3179">
        <v>1.718032</v>
      </c>
    </row>
    <row r="531" spans="1:12">
      <c r="A531" s="3191">
        <v>529</v>
      </c>
      <c r="B531" s="3191" t="s">
        <v>5131</v>
      </c>
      <c r="C531" s="3193" t="s">
        <v>4723</v>
      </c>
      <c r="D531" s="3196">
        <v>0</v>
      </c>
      <c r="E531" s="3193" t="s">
        <v>4880</v>
      </c>
      <c r="F531" s="3193" t="s">
        <v>4892</v>
      </c>
      <c r="I531" s="3198">
        <v>529</v>
      </c>
      <c r="J531" s="3179" t="s">
        <v>5714</v>
      </c>
      <c r="K531" s="3179" t="s">
        <v>5131</v>
      </c>
      <c r="L531" s="3179">
        <v>3.01</v>
      </c>
    </row>
    <row r="532" spans="1:12">
      <c r="A532" s="3191">
        <v>530</v>
      </c>
      <c r="B532" s="3191" t="s">
        <v>5131</v>
      </c>
      <c r="C532" s="3193" t="s">
        <v>4804</v>
      </c>
      <c r="D532" s="3196">
        <v>0</v>
      </c>
      <c r="E532" s="3193" t="s">
        <v>4880</v>
      </c>
      <c r="F532" s="3193" t="s">
        <v>4892</v>
      </c>
      <c r="I532" s="3198">
        <v>530</v>
      </c>
      <c r="J532" s="3179" t="s">
        <v>5715</v>
      </c>
      <c r="K532" s="3179" t="s">
        <v>5131</v>
      </c>
      <c r="L532" s="3179">
        <v>2.3650000000000002</v>
      </c>
    </row>
    <row r="533" spans="1:12">
      <c r="A533" s="3191">
        <v>531</v>
      </c>
      <c r="B533" s="3191" t="s">
        <v>5131</v>
      </c>
      <c r="C533" s="3193" t="s">
        <v>4404</v>
      </c>
      <c r="D533" s="3196">
        <v>0</v>
      </c>
      <c r="E533" s="3193" t="s">
        <v>4880</v>
      </c>
      <c r="F533" s="3193" t="s">
        <v>4892</v>
      </c>
      <c r="I533" s="3198">
        <v>531</v>
      </c>
      <c r="J533" s="3179" t="s">
        <v>5716</v>
      </c>
      <c r="K533" s="3179" t="s">
        <v>5131</v>
      </c>
      <c r="L533" s="3179">
        <v>2.58</v>
      </c>
    </row>
    <row r="534" spans="1:12">
      <c r="A534" s="3191">
        <v>532</v>
      </c>
      <c r="B534" s="3191" t="s">
        <v>5131</v>
      </c>
      <c r="C534" s="3193" t="s">
        <v>4536</v>
      </c>
      <c r="D534" s="3196">
        <v>0</v>
      </c>
      <c r="E534" s="3193" t="s">
        <v>4794</v>
      </c>
      <c r="F534" s="3193" t="s">
        <v>4868</v>
      </c>
      <c r="I534" s="3198">
        <v>532</v>
      </c>
      <c r="J534" s="3179" t="s">
        <v>5717</v>
      </c>
      <c r="K534" s="3179" t="s">
        <v>5131</v>
      </c>
      <c r="L534" s="3179">
        <v>1.5416129999999999</v>
      </c>
    </row>
    <row r="535" spans="1:12">
      <c r="A535" s="3191">
        <v>533</v>
      </c>
      <c r="B535" s="3191" t="s">
        <v>5131</v>
      </c>
      <c r="C535" s="3193" t="s">
        <v>5144</v>
      </c>
      <c r="D535" s="3196">
        <v>0</v>
      </c>
      <c r="E535" s="3193" t="s">
        <v>4784</v>
      </c>
      <c r="F535" s="3193" t="s">
        <v>4500</v>
      </c>
      <c r="I535" s="3198">
        <v>533</v>
      </c>
      <c r="J535" s="3179" t="s">
        <v>5718</v>
      </c>
      <c r="K535" s="3179" t="s">
        <v>5131</v>
      </c>
      <c r="L535" s="3179">
        <v>2.97</v>
      </c>
    </row>
    <row r="536" spans="1:12">
      <c r="A536" s="3191">
        <v>534</v>
      </c>
      <c r="B536" s="3191" t="s">
        <v>5131</v>
      </c>
      <c r="C536" s="3193" t="s">
        <v>4726</v>
      </c>
      <c r="D536" s="3196">
        <v>0</v>
      </c>
      <c r="E536" s="3193" t="s">
        <v>5145</v>
      </c>
      <c r="F536" s="3193" t="s">
        <v>5146</v>
      </c>
      <c r="I536" s="3198">
        <v>534</v>
      </c>
      <c r="J536" s="3179" t="s">
        <v>5719</v>
      </c>
      <c r="K536" s="3179" t="s">
        <v>5131</v>
      </c>
      <c r="L536" s="3179">
        <v>2.16</v>
      </c>
    </row>
    <row r="537" spans="1:12">
      <c r="A537" s="3191">
        <v>535</v>
      </c>
      <c r="B537" s="3191" t="s">
        <v>5131</v>
      </c>
      <c r="C537" s="3193" t="s">
        <v>4818</v>
      </c>
      <c r="D537" s="3196">
        <v>0</v>
      </c>
      <c r="E537" s="3193" t="s">
        <v>4994</v>
      </c>
      <c r="F537" s="3193" t="s">
        <v>4424</v>
      </c>
      <c r="I537" s="3198">
        <v>535</v>
      </c>
      <c r="J537" s="3179" t="s">
        <v>5720</v>
      </c>
      <c r="K537" s="3179" t="s">
        <v>5131</v>
      </c>
      <c r="L537" s="3179">
        <v>4.8</v>
      </c>
    </row>
    <row r="538" spans="1:12">
      <c r="A538" s="3191">
        <v>536</v>
      </c>
      <c r="B538" s="3191" t="s">
        <v>5131</v>
      </c>
      <c r="C538" s="3193" t="s">
        <v>4744</v>
      </c>
      <c r="D538" s="3196">
        <v>0</v>
      </c>
      <c r="E538" s="3193" t="s">
        <v>4994</v>
      </c>
      <c r="F538" s="3193" t="s">
        <v>4529</v>
      </c>
      <c r="I538" s="3198">
        <v>536</v>
      </c>
      <c r="J538" s="3179" t="s">
        <v>5721</v>
      </c>
      <c r="K538" s="3179" t="s">
        <v>5131</v>
      </c>
      <c r="L538" s="3179">
        <v>5.76</v>
      </c>
    </row>
    <row r="539" spans="1:12" ht="15.95" customHeight="1">
      <c r="A539" s="3191">
        <v>537</v>
      </c>
      <c r="B539" s="3191" t="s">
        <v>5131</v>
      </c>
      <c r="C539" s="3193" t="s">
        <v>4750</v>
      </c>
      <c r="D539" s="3196">
        <v>0</v>
      </c>
      <c r="E539" s="3193" t="s">
        <v>5147</v>
      </c>
      <c r="F539" s="3193" t="s">
        <v>5049</v>
      </c>
      <c r="I539" s="3198">
        <v>537</v>
      </c>
      <c r="J539" s="3179" t="s">
        <v>5722</v>
      </c>
      <c r="K539" s="3179" t="s">
        <v>5131</v>
      </c>
      <c r="L539" s="3179">
        <v>2.7142849999999998</v>
      </c>
    </row>
    <row r="540" spans="1:12" ht="15.95" customHeight="1">
      <c r="A540" s="3191">
        <v>538</v>
      </c>
      <c r="B540" s="3191" t="s">
        <v>5131</v>
      </c>
      <c r="C540" s="3193" t="s">
        <v>4671</v>
      </c>
      <c r="D540" s="3196">
        <v>0</v>
      </c>
      <c r="E540" s="3193" t="s">
        <v>5147</v>
      </c>
      <c r="F540" s="3193" t="s">
        <v>4982</v>
      </c>
      <c r="I540" s="3198">
        <v>538</v>
      </c>
      <c r="J540" s="3179" t="s">
        <v>5723</v>
      </c>
      <c r="K540" s="3179" t="s">
        <v>5131</v>
      </c>
      <c r="L540" s="3179">
        <v>3.984</v>
      </c>
    </row>
    <row r="541" spans="1:12">
      <c r="A541" s="3191">
        <v>539</v>
      </c>
      <c r="B541" s="3191" t="s">
        <v>5131</v>
      </c>
      <c r="C541" s="3193" t="s">
        <v>4602</v>
      </c>
      <c r="D541" s="3196">
        <v>0</v>
      </c>
      <c r="E541" s="3193" t="s">
        <v>5148</v>
      </c>
      <c r="F541" s="3193" t="s">
        <v>5149</v>
      </c>
      <c r="I541" s="3198">
        <v>539</v>
      </c>
      <c r="J541" s="3179" t="s">
        <v>5724</v>
      </c>
      <c r="K541" s="3179" t="s">
        <v>5131</v>
      </c>
      <c r="L541" s="3179">
        <v>13.68</v>
      </c>
    </row>
    <row r="542" spans="1:12">
      <c r="A542" s="3191">
        <v>540</v>
      </c>
      <c r="B542" s="3191" t="s">
        <v>5131</v>
      </c>
      <c r="C542" s="3193" t="s">
        <v>4551</v>
      </c>
      <c r="D542" s="3196">
        <v>0</v>
      </c>
      <c r="E542" s="3193" t="s">
        <v>4499</v>
      </c>
      <c r="F542" s="3193" t="s">
        <v>5150</v>
      </c>
      <c r="I542" s="3198">
        <v>540</v>
      </c>
      <c r="J542" s="3179" t="s">
        <v>5725</v>
      </c>
      <c r="K542" s="3179" t="s">
        <v>5131</v>
      </c>
      <c r="L542" s="3179">
        <v>0.13095200000000001</v>
      </c>
    </row>
    <row r="543" spans="1:12">
      <c r="A543" s="3191">
        <v>541</v>
      </c>
      <c r="B543" s="3191" t="s">
        <v>5131</v>
      </c>
      <c r="C543" s="3193" t="s">
        <v>4666</v>
      </c>
      <c r="D543" s="3196">
        <v>0</v>
      </c>
      <c r="E543" s="3193" t="s">
        <v>4499</v>
      </c>
      <c r="F543" s="3193" t="s">
        <v>4552</v>
      </c>
      <c r="I543" s="3198">
        <v>541</v>
      </c>
      <c r="J543" s="3179" t="s">
        <v>5726</v>
      </c>
      <c r="K543" s="3179" t="s">
        <v>5131</v>
      </c>
      <c r="L543" s="3179">
        <v>5.76</v>
      </c>
    </row>
    <row r="544" spans="1:12">
      <c r="A544" s="3191">
        <v>542</v>
      </c>
      <c r="B544" s="3191" t="s">
        <v>5131</v>
      </c>
      <c r="C544" s="3193" t="s">
        <v>4624</v>
      </c>
      <c r="D544" s="3196">
        <v>0</v>
      </c>
      <c r="E544" s="3193" t="s">
        <v>4998</v>
      </c>
      <c r="F544" s="3193" t="s">
        <v>4413</v>
      </c>
      <c r="I544" s="3198">
        <v>542</v>
      </c>
      <c r="J544" s="3179" t="s">
        <v>5727</v>
      </c>
      <c r="K544" s="3179" t="s">
        <v>5131</v>
      </c>
      <c r="L544" s="3179">
        <v>3.6</v>
      </c>
    </row>
    <row r="545" spans="1:12">
      <c r="A545" s="3191">
        <v>543</v>
      </c>
      <c r="B545" s="3191" t="s">
        <v>5131</v>
      </c>
      <c r="C545" s="3193" t="s">
        <v>4624</v>
      </c>
      <c r="D545" s="3196">
        <v>0</v>
      </c>
      <c r="E545" s="3193" t="s">
        <v>4998</v>
      </c>
      <c r="F545" s="3193" t="s">
        <v>4413</v>
      </c>
      <c r="I545" s="3198">
        <v>543</v>
      </c>
      <c r="J545" s="3179" t="s">
        <v>5728</v>
      </c>
      <c r="K545" s="3179" t="s">
        <v>5131</v>
      </c>
      <c r="L545" s="3179">
        <v>6</v>
      </c>
    </row>
    <row r="546" spans="1:12">
      <c r="A546" s="3191">
        <v>544</v>
      </c>
      <c r="B546" s="3191" t="s">
        <v>5131</v>
      </c>
      <c r="C546" s="3193" t="s">
        <v>5151</v>
      </c>
      <c r="D546" s="3196">
        <v>0</v>
      </c>
      <c r="E546" s="3193" t="s">
        <v>5005</v>
      </c>
      <c r="F546" s="3193" t="s">
        <v>4953</v>
      </c>
      <c r="I546" s="3198">
        <v>544</v>
      </c>
      <c r="J546" s="3179" t="s">
        <v>5729</v>
      </c>
      <c r="K546" s="3179" t="s">
        <v>5131</v>
      </c>
      <c r="L546" s="3179">
        <v>0.30967699999999998</v>
      </c>
    </row>
    <row r="547" spans="1:12">
      <c r="A547" s="3191">
        <v>545</v>
      </c>
      <c r="B547" s="3191" t="s">
        <v>5131</v>
      </c>
      <c r="C547" s="3193" t="s">
        <v>4455</v>
      </c>
      <c r="D547" s="3196">
        <v>0</v>
      </c>
      <c r="E547" s="3193" t="s">
        <v>5152</v>
      </c>
      <c r="F547" s="3193" t="s">
        <v>5153</v>
      </c>
      <c r="I547" s="3198">
        <v>545</v>
      </c>
      <c r="J547" s="3179" t="s">
        <v>5730</v>
      </c>
      <c r="K547" s="3179" t="s">
        <v>5131</v>
      </c>
      <c r="L547" s="3179">
        <v>3.6</v>
      </c>
    </row>
    <row r="548" spans="1:12">
      <c r="A548" s="3191">
        <v>546</v>
      </c>
      <c r="B548" s="3191" t="s">
        <v>5131</v>
      </c>
      <c r="C548" s="3193" t="s">
        <v>4800</v>
      </c>
      <c r="D548" s="3196">
        <v>0</v>
      </c>
      <c r="E548" s="3193" t="s">
        <v>5154</v>
      </c>
      <c r="F548" s="3193" t="s">
        <v>5079</v>
      </c>
      <c r="I548" s="3198">
        <v>546</v>
      </c>
      <c r="J548" s="3179" t="s">
        <v>5731</v>
      </c>
      <c r="K548" s="3179" t="s">
        <v>5131</v>
      </c>
      <c r="L548" s="3179">
        <v>2.7016390000000001</v>
      </c>
    </row>
    <row r="549" spans="1:12">
      <c r="A549" s="3191">
        <v>547</v>
      </c>
      <c r="B549" s="3191" t="s">
        <v>5131</v>
      </c>
      <c r="C549" s="3193" t="s">
        <v>4505</v>
      </c>
      <c r="D549" s="3196">
        <v>0</v>
      </c>
      <c r="E549" s="3193" t="s">
        <v>4606</v>
      </c>
      <c r="F549" s="3193" t="s">
        <v>5028</v>
      </c>
      <c r="I549" s="3198">
        <v>547</v>
      </c>
      <c r="J549" s="3179" t="s">
        <v>5732</v>
      </c>
      <c r="K549" s="3179" t="s">
        <v>5131</v>
      </c>
      <c r="L549" s="3179">
        <v>2.9340660000000001</v>
      </c>
    </row>
    <row r="550" spans="1:12">
      <c r="A550" s="3191">
        <v>548</v>
      </c>
      <c r="B550" s="3191" t="s">
        <v>5131</v>
      </c>
      <c r="C550" s="3193" t="s">
        <v>4724</v>
      </c>
      <c r="D550" s="3196">
        <v>0</v>
      </c>
      <c r="E550" s="3193" t="s">
        <v>4877</v>
      </c>
      <c r="F550" s="3193" t="s">
        <v>4413</v>
      </c>
      <c r="I550" s="3198">
        <v>548</v>
      </c>
      <c r="J550" s="3179" t="s">
        <v>5733</v>
      </c>
      <c r="K550" s="3179" t="s">
        <v>5131</v>
      </c>
      <c r="L550" s="3179">
        <v>3</v>
      </c>
    </row>
    <row r="551" spans="1:12">
      <c r="A551" s="3191">
        <v>549</v>
      </c>
      <c r="B551" s="3191" t="s">
        <v>5131</v>
      </c>
      <c r="C551" s="3193" t="s">
        <v>4668</v>
      </c>
      <c r="D551" s="3196">
        <v>0</v>
      </c>
      <c r="E551" s="3193" t="s">
        <v>4877</v>
      </c>
      <c r="F551" s="3193" t="s">
        <v>4846</v>
      </c>
      <c r="I551" s="3198">
        <v>549</v>
      </c>
      <c r="J551" s="3179" t="s">
        <v>5734</v>
      </c>
      <c r="K551" s="3179" t="s">
        <v>5131</v>
      </c>
      <c r="L551" s="3179">
        <v>4.8</v>
      </c>
    </row>
    <row r="552" spans="1:12">
      <c r="A552" s="3191">
        <v>550</v>
      </c>
      <c r="B552" s="3191" t="s">
        <v>5131</v>
      </c>
      <c r="C552" s="3193" t="s">
        <v>4703</v>
      </c>
      <c r="D552" s="3196">
        <v>0</v>
      </c>
      <c r="E552" s="3193" t="s">
        <v>4877</v>
      </c>
      <c r="F552" s="3193" t="s">
        <v>4417</v>
      </c>
      <c r="I552" s="3198">
        <v>550</v>
      </c>
      <c r="J552" s="3179" t="s">
        <v>5735</v>
      </c>
      <c r="K552" s="3179" t="s">
        <v>5131</v>
      </c>
      <c r="L552" s="3179">
        <v>0.84</v>
      </c>
    </row>
    <row r="553" spans="1:12">
      <c r="A553" s="3191">
        <v>551</v>
      </c>
      <c r="B553" s="3191" t="s">
        <v>5131</v>
      </c>
      <c r="C553" s="3193" t="s">
        <v>4536</v>
      </c>
      <c r="D553" s="3196">
        <v>0</v>
      </c>
      <c r="E553" s="3193" t="s">
        <v>4877</v>
      </c>
      <c r="F553" s="3193" t="s">
        <v>4564</v>
      </c>
      <c r="I553" s="3198">
        <v>551</v>
      </c>
      <c r="J553" s="3179" t="s">
        <v>5736</v>
      </c>
      <c r="K553" s="3179" t="s">
        <v>5131</v>
      </c>
      <c r="L553" s="3179">
        <v>5.85</v>
      </c>
    </row>
    <row r="554" spans="1:12">
      <c r="A554" s="3191">
        <v>552</v>
      </c>
      <c r="B554" s="3191" t="s">
        <v>5131</v>
      </c>
      <c r="C554" s="3193" t="s">
        <v>5155</v>
      </c>
      <c r="D554" s="3196">
        <v>0</v>
      </c>
      <c r="E554" s="3193" t="s">
        <v>5156</v>
      </c>
      <c r="F554" s="3193" t="s">
        <v>5157</v>
      </c>
      <c r="I554" s="3198">
        <v>552</v>
      </c>
      <c r="J554" s="3179" t="s">
        <v>5737</v>
      </c>
      <c r="K554" s="3179" t="s">
        <v>5131</v>
      </c>
      <c r="L554" s="3179">
        <v>7.5058059999999998</v>
      </c>
    </row>
    <row r="555" spans="1:12">
      <c r="A555" s="3191">
        <v>553</v>
      </c>
      <c r="B555" s="3191" t="s">
        <v>5131</v>
      </c>
      <c r="C555" s="3193" t="s">
        <v>4726</v>
      </c>
      <c r="D555" s="3196">
        <v>0</v>
      </c>
      <c r="E555" s="3193" t="s">
        <v>5003</v>
      </c>
      <c r="F555" s="3193" t="s">
        <v>4512</v>
      </c>
      <c r="I555" s="3198">
        <v>553</v>
      </c>
      <c r="J555" s="3179" t="s">
        <v>5738</v>
      </c>
      <c r="K555" s="3179" t="s">
        <v>5131</v>
      </c>
      <c r="L555" s="3179">
        <v>2.7096770000000001</v>
      </c>
    </row>
    <row r="556" spans="1:12">
      <c r="A556" s="3191">
        <v>554</v>
      </c>
      <c r="B556" s="3191" t="s">
        <v>5131</v>
      </c>
      <c r="C556" s="3193" t="s">
        <v>4474</v>
      </c>
      <c r="D556" s="3196">
        <v>0</v>
      </c>
      <c r="E556" s="3193" t="s">
        <v>5014</v>
      </c>
      <c r="F556" s="3193" t="s">
        <v>5015</v>
      </c>
      <c r="I556" s="3198">
        <v>554</v>
      </c>
      <c r="J556" s="3179" t="s">
        <v>5739</v>
      </c>
      <c r="K556" s="3179" t="s">
        <v>5131</v>
      </c>
      <c r="L556" s="3179">
        <v>0.8</v>
      </c>
    </row>
    <row r="557" spans="1:12">
      <c r="A557" s="3191">
        <v>555</v>
      </c>
      <c r="B557" s="3191" t="s">
        <v>5131</v>
      </c>
      <c r="C557" s="3193" t="s">
        <v>4697</v>
      </c>
      <c r="D557" s="3196">
        <v>0</v>
      </c>
      <c r="E557" s="3193" t="s">
        <v>5158</v>
      </c>
      <c r="F557" s="3193" t="s">
        <v>4871</v>
      </c>
      <c r="I557" s="3198">
        <v>555</v>
      </c>
      <c r="J557" s="3179" t="s">
        <v>5740</v>
      </c>
      <c r="K557" s="3179" t="s">
        <v>5131</v>
      </c>
      <c r="L557" s="3179">
        <v>15.088387000000001</v>
      </c>
    </row>
    <row r="558" spans="1:12">
      <c r="A558" s="3191">
        <v>556</v>
      </c>
      <c r="B558" s="3191" t="s">
        <v>5131</v>
      </c>
      <c r="C558" s="3193" t="s">
        <v>4612</v>
      </c>
      <c r="D558" s="3196">
        <v>0</v>
      </c>
      <c r="E558" s="3193" t="s">
        <v>5159</v>
      </c>
      <c r="F558" s="3193" t="s">
        <v>4424</v>
      </c>
      <c r="I558" s="3198">
        <v>556</v>
      </c>
      <c r="J558" s="3179" t="s">
        <v>5741</v>
      </c>
      <c r="K558" s="3179" t="s">
        <v>5131</v>
      </c>
      <c r="L558" s="3179">
        <v>0.57930999999999999</v>
      </c>
    </row>
    <row r="559" spans="1:12">
      <c r="A559" s="3191">
        <v>557</v>
      </c>
      <c r="B559" s="3191" t="s">
        <v>5131</v>
      </c>
      <c r="C559" s="3193" t="s">
        <v>5160</v>
      </c>
      <c r="D559" s="3196">
        <v>0</v>
      </c>
      <c r="E559" s="3193" t="s">
        <v>5022</v>
      </c>
      <c r="F559" s="3193" t="s">
        <v>4595</v>
      </c>
      <c r="I559" s="3198">
        <v>557</v>
      </c>
      <c r="J559" s="3179" t="s">
        <v>5742</v>
      </c>
      <c r="K559" s="3179" t="s">
        <v>5131</v>
      </c>
      <c r="L559" s="3179">
        <v>0.8</v>
      </c>
    </row>
    <row r="560" spans="1:12">
      <c r="A560" s="3191">
        <v>558</v>
      </c>
      <c r="B560" s="3191" t="s">
        <v>5131</v>
      </c>
      <c r="C560" s="3193" t="s">
        <v>4666</v>
      </c>
      <c r="D560" s="3196">
        <v>0</v>
      </c>
      <c r="E560" s="3193" t="s">
        <v>5161</v>
      </c>
      <c r="F560" s="3193" t="s">
        <v>5162</v>
      </c>
      <c r="I560" s="3198">
        <v>558</v>
      </c>
      <c r="J560" s="3179" t="s">
        <v>5743</v>
      </c>
      <c r="K560" s="3179" t="s">
        <v>5131</v>
      </c>
      <c r="L560" s="3179">
        <v>5.2406550000000003</v>
      </c>
    </row>
    <row r="561" spans="1:12">
      <c r="A561" s="3191">
        <v>559</v>
      </c>
      <c r="B561" s="3191" t="s">
        <v>5131</v>
      </c>
      <c r="C561" s="3193" t="s">
        <v>5163</v>
      </c>
      <c r="D561" s="3196">
        <v>0</v>
      </c>
      <c r="E561" s="3193" t="s">
        <v>5023</v>
      </c>
      <c r="F561" s="3193" t="s">
        <v>5164</v>
      </c>
      <c r="I561" s="3198">
        <v>559</v>
      </c>
      <c r="J561" s="3179" t="s">
        <v>5744</v>
      </c>
      <c r="K561" s="3179" t="s">
        <v>5131</v>
      </c>
      <c r="L561" s="3179">
        <v>1.5</v>
      </c>
    </row>
    <row r="562" spans="1:12">
      <c r="A562" s="3191">
        <v>560</v>
      </c>
      <c r="B562" s="3191" t="s">
        <v>5131</v>
      </c>
      <c r="C562" s="3193" t="s">
        <v>4505</v>
      </c>
      <c r="D562" s="3196">
        <v>0</v>
      </c>
      <c r="E562" s="3193" t="s">
        <v>5165</v>
      </c>
      <c r="F562" s="3193" t="s">
        <v>4846</v>
      </c>
      <c r="I562" s="3198">
        <v>560</v>
      </c>
      <c r="J562" s="3179" t="s">
        <v>5745</v>
      </c>
      <c r="K562" s="3179" t="s">
        <v>5131</v>
      </c>
      <c r="L562" s="3179">
        <v>5.26</v>
      </c>
    </row>
    <row r="563" spans="1:12">
      <c r="A563" s="3191">
        <v>561</v>
      </c>
      <c r="B563" s="3191" t="s">
        <v>5131</v>
      </c>
      <c r="C563" s="3193" t="s">
        <v>4818</v>
      </c>
      <c r="D563" s="3196">
        <v>0</v>
      </c>
      <c r="E563" s="3193" t="s">
        <v>5166</v>
      </c>
      <c r="F563" s="3193" t="s">
        <v>4960</v>
      </c>
      <c r="I563" s="3198">
        <v>561</v>
      </c>
      <c r="J563" s="3179" t="s">
        <v>5746</v>
      </c>
      <c r="K563" s="3179" t="s">
        <v>5131</v>
      </c>
      <c r="L563" s="3179">
        <v>1.2</v>
      </c>
    </row>
    <row r="564" spans="1:12">
      <c r="A564" s="3191">
        <v>562</v>
      </c>
      <c r="B564" s="3191" t="s">
        <v>5131</v>
      </c>
      <c r="C564" s="3193" t="s">
        <v>5167</v>
      </c>
      <c r="D564" s="3196">
        <v>0</v>
      </c>
      <c r="E564" s="3193" t="s">
        <v>5166</v>
      </c>
      <c r="F564" s="3193" t="s">
        <v>4846</v>
      </c>
      <c r="I564" s="3198">
        <v>562</v>
      </c>
      <c r="J564" s="3179" t="s">
        <v>5747</v>
      </c>
      <c r="K564" s="3179" t="s">
        <v>5131</v>
      </c>
      <c r="L564" s="3179">
        <v>19.668099999999999</v>
      </c>
    </row>
    <row r="565" spans="1:12">
      <c r="A565" s="3191">
        <v>563</v>
      </c>
      <c r="B565" s="3191" t="s">
        <v>5131</v>
      </c>
      <c r="C565" s="3193" t="s">
        <v>4744</v>
      </c>
      <c r="D565" s="3196">
        <v>0</v>
      </c>
      <c r="E565" s="3193" t="s">
        <v>5166</v>
      </c>
      <c r="F565" s="3193" t="s">
        <v>4655</v>
      </c>
      <c r="I565" s="3198">
        <v>563</v>
      </c>
      <c r="J565" s="3179" t="s">
        <v>5748</v>
      </c>
      <c r="K565" s="3179" t="s">
        <v>5131</v>
      </c>
      <c r="L565" s="3179">
        <v>4.2466670000000004</v>
      </c>
    </row>
    <row r="566" spans="1:12">
      <c r="A566" s="3191">
        <v>564</v>
      </c>
      <c r="B566" s="3191" t="s">
        <v>5131</v>
      </c>
      <c r="C566" s="3193" t="s">
        <v>4536</v>
      </c>
      <c r="D566" s="3196">
        <v>0</v>
      </c>
      <c r="E566" s="3193" t="s">
        <v>4595</v>
      </c>
      <c r="F566" s="3193" t="s">
        <v>5168</v>
      </c>
      <c r="I566" s="3198">
        <v>564</v>
      </c>
      <c r="J566" s="3179" t="s">
        <v>5749</v>
      </c>
      <c r="K566" s="3179" t="s">
        <v>5131</v>
      </c>
      <c r="L566" s="3179">
        <v>4.1383330000000003</v>
      </c>
    </row>
    <row r="567" spans="1:12">
      <c r="A567" s="3191">
        <v>565</v>
      </c>
      <c r="B567" s="3191" t="s">
        <v>5131</v>
      </c>
      <c r="C567" s="3193" t="s">
        <v>4804</v>
      </c>
      <c r="D567" s="3196">
        <v>0</v>
      </c>
      <c r="E567" s="3193" t="s">
        <v>4957</v>
      </c>
      <c r="F567" s="3193" t="s">
        <v>5169</v>
      </c>
      <c r="I567" s="3198">
        <v>565</v>
      </c>
      <c r="J567" s="3179" t="s">
        <v>5750</v>
      </c>
      <c r="K567" s="3179" t="s">
        <v>5131</v>
      </c>
      <c r="L567" s="3179">
        <v>2.5940880000000002</v>
      </c>
    </row>
    <row r="568" spans="1:12">
      <c r="A568" s="3191">
        <v>566</v>
      </c>
      <c r="B568" s="3191" t="s">
        <v>5131</v>
      </c>
      <c r="C568" s="3193" t="s">
        <v>5160</v>
      </c>
      <c r="D568" s="3196">
        <v>0</v>
      </c>
      <c r="E568" s="3193" t="s">
        <v>5170</v>
      </c>
      <c r="F568" s="3193" t="s">
        <v>5171</v>
      </c>
      <c r="I568" s="3198">
        <v>566</v>
      </c>
      <c r="J568" s="3179" t="s">
        <v>5751</v>
      </c>
      <c r="K568" s="3179" t="s">
        <v>5131</v>
      </c>
      <c r="L568" s="3179">
        <v>0.8</v>
      </c>
    </row>
    <row r="569" spans="1:12">
      <c r="A569" s="3191">
        <v>567</v>
      </c>
      <c r="B569" s="3191" t="s">
        <v>5131</v>
      </c>
      <c r="C569" s="3193" t="s">
        <v>5167</v>
      </c>
      <c r="D569" s="3196">
        <v>0</v>
      </c>
      <c r="E569" s="3193" t="s">
        <v>4751</v>
      </c>
      <c r="F569" s="3193" t="s">
        <v>4424</v>
      </c>
      <c r="I569" s="3198">
        <v>567</v>
      </c>
      <c r="J569" s="3179" t="s">
        <v>5752</v>
      </c>
      <c r="K569" s="3179" t="s">
        <v>5131</v>
      </c>
      <c r="L569" s="3179">
        <v>3</v>
      </c>
    </row>
    <row r="570" spans="1:12">
      <c r="A570" s="3191">
        <v>568</v>
      </c>
      <c r="B570" s="3191" t="s">
        <v>5131</v>
      </c>
      <c r="C570" s="3193" t="s">
        <v>4624</v>
      </c>
      <c r="D570" s="3196">
        <v>0</v>
      </c>
      <c r="E570" s="3193" t="s">
        <v>4751</v>
      </c>
      <c r="F570" s="3193" t="s">
        <v>4846</v>
      </c>
      <c r="I570" s="3198">
        <v>568</v>
      </c>
      <c r="J570" s="3179" t="s">
        <v>5753</v>
      </c>
      <c r="K570" s="3179" t="s">
        <v>5131</v>
      </c>
      <c r="L570" s="3179">
        <v>4.5998999999999999</v>
      </c>
    </row>
    <row r="571" spans="1:12">
      <c r="A571" s="3191">
        <v>569</v>
      </c>
      <c r="B571" s="3191" t="s">
        <v>5131</v>
      </c>
      <c r="C571" s="3193" t="s">
        <v>4624</v>
      </c>
      <c r="D571" s="3196">
        <v>0</v>
      </c>
      <c r="E571" s="3193" t="s">
        <v>4751</v>
      </c>
      <c r="F571" s="3193" t="s">
        <v>4846</v>
      </c>
      <c r="I571" s="3198">
        <v>569</v>
      </c>
      <c r="J571" s="3179" t="s">
        <v>5754</v>
      </c>
      <c r="K571" s="3179" t="s">
        <v>5131</v>
      </c>
      <c r="L571" s="3179">
        <v>1.4000999999999999</v>
      </c>
    </row>
    <row r="572" spans="1:12">
      <c r="A572" s="3191">
        <v>570</v>
      </c>
      <c r="B572" s="3191" t="s">
        <v>5131</v>
      </c>
      <c r="C572" s="3193" t="s">
        <v>5167</v>
      </c>
      <c r="D572" s="3196">
        <v>0</v>
      </c>
      <c r="E572" s="3193" t="s">
        <v>4751</v>
      </c>
      <c r="F572" s="3193" t="s">
        <v>4846</v>
      </c>
      <c r="I572" s="3198">
        <v>570</v>
      </c>
      <c r="J572" s="3179" t="s">
        <v>5755</v>
      </c>
      <c r="K572" s="3179" t="s">
        <v>5131</v>
      </c>
      <c r="L572" s="3179">
        <v>5.94</v>
      </c>
    </row>
    <row r="573" spans="1:12">
      <c r="A573" s="3191">
        <v>571</v>
      </c>
      <c r="B573" s="3191" t="s">
        <v>5131</v>
      </c>
      <c r="C573" s="3193" t="s">
        <v>4743</v>
      </c>
      <c r="D573" s="3196">
        <v>0</v>
      </c>
      <c r="E573" s="3193" t="s">
        <v>4751</v>
      </c>
      <c r="F573" s="3193" t="s">
        <v>4541</v>
      </c>
      <c r="I573" s="3198">
        <v>571</v>
      </c>
      <c r="J573" s="3179" t="s">
        <v>5756</v>
      </c>
      <c r="K573" s="3179" t="s">
        <v>5131</v>
      </c>
      <c r="L573" s="3179">
        <v>2.1</v>
      </c>
    </row>
    <row r="574" spans="1:12">
      <c r="A574" s="3191">
        <v>572</v>
      </c>
      <c r="B574" s="3191" t="s">
        <v>5131</v>
      </c>
      <c r="C574" s="3193" t="s">
        <v>5172</v>
      </c>
      <c r="D574" s="3196">
        <v>0</v>
      </c>
      <c r="E574" s="3193" t="s">
        <v>4751</v>
      </c>
      <c r="F574" s="3193" t="s">
        <v>4541</v>
      </c>
      <c r="I574" s="3198">
        <v>572</v>
      </c>
      <c r="J574" s="3179" t="s">
        <v>5757</v>
      </c>
      <c r="K574" s="3179" t="s">
        <v>5131</v>
      </c>
      <c r="L574" s="3179">
        <v>4.5</v>
      </c>
    </row>
    <row r="575" spans="1:12">
      <c r="A575" s="3191">
        <v>573</v>
      </c>
      <c r="B575" s="3191" t="s">
        <v>5131</v>
      </c>
      <c r="C575" s="3193" t="s">
        <v>5173</v>
      </c>
      <c r="D575" s="3196">
        <v>0</v>
      </c>
      <c r="E575" s="3193" t="s">
        <v>5174</v>
      </c>
      <c r="F575" s="3193" t="s">
        <v>5049</v>
      </c>
      <c r="I575" s="3198">
        <v>573</v>
      </c>
      <c r="J575" s="3179" t="s">
        <v>5758</v>
      </c>
      <c r="K575" s="3179" t="s">
        <v>5131</v>
      </c>
      <c r="L575" s="3179">
        <v>0.9</v>
      </c>
    </row>
    <row r="576" spans="1:12">
      <c r="A576" s="3191">
        <v>574</v>
      </c>
      <c r="B576" s="3191" t="s">
        <v>5131</v>
      </c>
      <c r="C576" s="3193" t="s">
        <v>4706</v>
      </c>
      <c r="D576" s="3196">
        <v>0</v>
      </c>
      <c r="E576" s="3193" t="s">
        <v>4911</v>
      </c>
      <c r="F576" s="3193" t="s">
        <v>5175</v>
      </c>
      <c r="I576" s="3198">
        <v>574</v>
      </c>
      <c r="J576" s="3179" t="s">
        <v>5759</v>
      </c>
      <c r="K576" s="3179" t="s">
        <v>5131</v>
      </c>
      <c r="L576" s="3179">
        <v>2.249593</v>
      </c>
    </row>
    <row r="577" spans="1:12">
      <c r="A577" s="3191">
        <v>575</v>
      </c>
      <c r="B577" s="3191" t="s">
        <v>5131</v>
      </c>
      <c r="C577" s="3193" t="s">
        <v>4509</v>
      </c>
      <c r="D577" s="3196">
        <v>0</v>
      </c>
      <c r="E577" s="3193" t="s">
        <v>5176</v>
      </c>
      <c r="F577" s="3193" t="s">
        <v>5058</v>
      </c>
      <c r="I577" s="3198">
        <v>575</v>
      </c>
      <c r="J577" s="3179" t="s">
        <v>5760</v>
      </c>
      <c r="K577" s="3179" t="s">
        <v>5131</v>
      </c>
      <c r="L577" s="3179">
        <v>0.1</v>
      </c>
    </row>
    <row r="578" spans="1:12">
      <c r="A578" s="3191">
        <v>576</v>
      </c>
      <c r="B578" s="3191" t="s">
        <v>5131</v>
      </c>
      <c r="C578" s="3193" t="s">
        <v>4726</v>
      </c>
      <c r="D578" s="3196">
        <v>0</v>
      </c>
      <c r="E578" s="3193" t="s">
        <v>5041</v>
      </c>
      <c r="F578" s="3193" t="s">
        <v>5177</v>
      </c>
      <c r="I578" s="3198">
        <v>576</v>
      </c>
      <c r="J578" s="3179" t="s">
        <v>5761</v>
      </c>
      <c r="K578" s="3179" t="s">
        <v>5131</v>
      </c>
      <c r="L578" s="3179">
        <v>2.0590160000000002</v>
      </c>
    </row>
    <row r="579" spans="1:12">
      <c r="A579" s="3191">
        <v>577</v>
      </c>
      <c r="B579" s="3191" t="s">
        <v>5131</v>
      </c>
      <c r="C579" s="3193" t="s">
        <v>4602</v>
      </c>
      <c r="D579" s="3196">
        <v>0</v>
      </c>
      <c r="E579" s="3193" t="s">
        <v>4516</v>
      </c>
      <c r="F579" s="3193" t="s">
        <v>4808</v>
      </c>
      <c r="I579" s="3198">
        <v>577</v>
      </c>
      <c r="J579" s="3179" t="s">
        <v>5762</v>
      </c>
      <c r="K579" s="3179" t="s">
        <v>5131</v>
      </c>
      <c r="L579" s="3179">
        <v>1.25</v>
      </c>
    </row>
    <row r="580" spans="1:12">
      <c r="A580" s="3191">
        <v>578</v>
      </c>
      <c r="B580" s="3191" t="s">
        <v>5131</v>
      </c>
      <c r="C580" s="3193" t="s">
        <v>4612</v>
      </c>
      <c r="D580" s="3196">
        <v>0</v>
      </c>
      <c r="E580" s="3193" t="s">
        <v>4516</v>
      </c>
      <c r="F580" s="3193" t="s">
        <v>4808</v>
      </c>
      <c r="I580" s="3198">
        <v>578</v>
      </c>
      <c r="J580" s="3179" t="s">
        <v>5763</v>
      </c>
      <c r="K580" s="3179" t="s">
        <v>5131</v>
      </c>
      <c r="L580" s="3179">
        <v>2.25</v>
      </c>
    </row>
    <row r="581" spans="1:12">
      <c r="A581" s="3191">
        <v>579</v>
      </c>
      <c r="B581" s="3191" t="s">
        <v>5131</v>
      </c>
      <c r="C581" s="3193" t="s">
        <v>4743</v>
      </c>
      <c r="D581" s="3196">
        <v>0</v>
      </c>
      <c r="E581" s="3193" t="s">
        <v>4516</v>
      </c>
      <c r="F581" s="3193" t="s">
        <v>4808</v>
      </c>
      <c r="I581" s="3198">
        <v>579</v>
      </c>
      <c r="J581" s="3179" t="s">
        <v>5764</v>
      </c>
      <c r="K581" s="3179" t="s">
        <v>5131</v>
      </c>
      <c r="L581" s="3179">
        <v>1.25</v>
      </c>
    </row>
    <row r="582" spans="1:12">
      <c r="A582" s="3191">
        <v>580</v>
      </c>
      <c r="B582" s="3191" t="s">
        <v>5131</v>
      </c>
      <c r="C582" s="3193" t="s">
        <v>4760</v>
      </c>
      <c r="D582" s="3196">
        <v>0</v>
      </c>
      <c r="E582" s="3193" t="s">
        <v>4516</v>
      </c>
      <c r="F582" s="3193" t="s">
        <v>4808</v>
      </c>
      <c r="I582" s="3198">
        <v>580</v>
      </c>
      <c r="J582" s="3179" t="s">
        <v>5765</v>
      </c>
      <c r="K582" s="3179" t="s">
        <v>5131</v>
      </c>
      <c r="L582" s="3179">
        <v>1.2575350000000001</v>
      </c>
    </row>
    <row r="583" spans="1:12">
      <c r="A583" s="3191">
        <v>581</v>
      </c>
      <c r="B583" s="3191" t="s">
        <v>5131</v>
      </c>
      <c r="C583" s="3193" t="s">
        <v>4804</v>
      </c>
      <c r="D583" s="3196">
        <v>0</v>
      </c>
      <c r="E583" s="3193" t="s">
        <v>4516</v>
      </c>
      <c r="F583" s="3193" t="s">
        <v>4808</v>
      </c>
      <c r="I583" s="3198">
        <v>581</v>
      </c>
      <c r="J583" s="3179" t="s">
        <v>5766</v>
      </c>
      <c r="K583" s="3179" t="s">
        <v>5131</v>
      </c>
      <c r="L583" s="3179">
        <v>1.25</v>
      </c>
    </row>
    <row r="584" spans="1:12">
      <c r="A584" s="3191">
        <v>582</v>
      </c>
      <c r="B584" s="3191" t="s">
        <v>5131</v>
      </c>
      <c r="C584" s="3193" t="s">
        <v>4578</v>
      </c>
      <c r="D584" s="3196">
        <v>0</v>
      </c>
      <c r="E584" s="3193" t="s">
        <v>4825</v>
      </c>
      <c r="F584" s="3193" t="s">
        <v>4417</v>
      </c>
      <c r="I584" s="3198">
        <v>582</v>
      </c>
      <c r="J584" s="3179" t="s">
        <v>5767</v>
      </c>
      <c r="K584" s="3179" t="s">
        <v>5131</v>
      </c>
      <c r="L584" s="3179">
        <v>0.82132799999999995</v>
      </c>
    </row>
    <row r="585" spans="1:12">
      <c r="A585" s="3191">
        <v>583</v>
      </c>
      <c r="B585" s="3191" t="s">
        <v>5131</v>
      </c>
      <c r="C585" s="3193" t="s">
        <v>4610</v>
      </c>
      <c r="D585" s="3196">
        <v>0</v>
      </c>
      <c r="E585" s="3193" t="s">
        <v>4825</v>
      </c>
      <c r="F585" s="3193" t="s">
        <v>4826</v>
      </c>
      <c r="I585" s="3198">
        <v>583</v>
      </c>
      <c r="J585" s="3179" t="s">
        <v>5768</v>
      </c>
      <c r="K585" s="3179" t="s">
        <v>5131</v>
      </c>
      <c r="L585" s="3179">
        <v>1.32</v>
      </c>
    </row>
    <row r="586" spans="1:12">
      <c r="A586" s="3191">
        <v>584</v>
      </c>
      <c r="B586" s="3191" t="s">
        <v>5131</v>
      </c>
      <c r="C586" s="3193" t="s">
        <v>5178</v>
      </c>
      <c r="D586" s="3196">
        <v>0</v>
      </c>
      <c r="E586" s="3193" t="s">
        <v>4825</v>
      </c>
      <c r="F586" s="3193" t="s">
        <v>4693</v>
      </c>
      <c r="I586" s="3198">
        <v>584</v>
      </c>
      <c r="J586" s="3179" t="s">
        <v>5769</v>
      </c>
      <c r="K586" s="3179" t="s">
        <v>5131</v>
      </c>
      <c r="L586" s="3179">
        <v>1.6</v>
      </c>
    </row>
    <row r="587" spans="1:12">
      <c r="A587" s="3191">
        <v>585</v>
      </c>
      <c r="B587" s="3191" t="s">
        <v>5131</v>
      </c>
      <c r="C587" s="3193" t="s">
        <v>4502</v>
      </c>
      <c r="D587" s="3196">
        <v>0</v>
      </c>
      <c r="E587" s="3193" t="s">
        <v>5069</v>
      </c>
      <c r="F587" s="3193" t="s">
        <v>5179</v>
      </c>
      <c r="I587" s="3198">
        <v>585</v>
      </c>
      <c r="J587" s="3179" t="s">
        <v>5770</v>
      </c>
      <c r="K587" s="3179" t="s">
        <v>5131</v>
      </c>
      <c r="L587" s="3179">
        <v>1.1419360000000001</v>
      </c>
    </row>
    <row r="588" spans="1:12">
      <c r="A588" s="3191">
        <v>586</v>
      </c>
      <c r="B588" s="3191" t="s">
        <v>5131</v>
      </c>
      <c r="C588" s="3193" t="s">
        <v>4800</v>
      </c>
      <c r="D588" s="3196">
        <v>0</v>
      </c>
      <c r="E588" s="3193" t="s">
        <v>4827</v>
      </c>
      <c r="F588" s="3193" t="s">
        <v>4554</v>
      </c>
      <c r="I588" s="3198">
        <v>586</v>
      </c>
      <c r="J588" s="3179" t="s">
        <v>5771</v>
      </c>
      <c r="K588" s="3179" t="s">
        <v>5131</v>
      </c>
      <c r="L588" s="3179">
        <v>1.2</v>
      </c>
    </row>
    <row r="589" spans="1:12">
      <c r="A589" s="3191">
        <v>587</v>
      </c>
      <c r="B589" s="3191" t="s">
        <v>5131</v>
      </c>
      <c r="C589" s="3193" t="s">
        <v>4649</v>
      </c>
      <c r="D589" s="3196">
        <v>0</v>
      </c>
      <c r="E589" s="3193" t="s">
        <v>5122</v>
      </c>
      <c r="F589" s="3193" t="s">
        <v>4512</v>
      </c>
      <c r="I589" s="3198">
        <v>587</v>
      </c>
      <c r="J589" s="3179" t="s">
        <v>5772</v>
      </c>
      <c r="K589" s="3179" t="s">
        <v>5131</v>
      </c>
      <c r="L589" s="3179">
        <v>0.08</v>
      </c>
    </row>
    <row r="590" spans="1:12">
      <c r="A590" s="3191">
        <v>588</v>
      </c>
      <c r="B590" s="3191" t="s">
        <v>5131</v>
      </c>
      <c r="C590" s="3193" t="s">
        <v>4769</v>
      </c>
      <c r="D590" s="3196">
        <v>0</v>
      </c>
      <c r="E590" s="3193" t="s">
        <v>4838</v>
      </c>
      <c r="F590" s="3193" t="s">
        <v>4448</v>
      </c>
      <c r="I590" s="3198">
        <v>588</v>
      </c>
      <c r="J590" s="3179" t="s">
        <v>5773</v>
      </c>
      <c r="K590" s="3179" t="s">
        <v>5131</v>
      </c>
      <c r="L590" s="3179">
        <v>1</v>
      </c>
    </row>
    <row r="591" spans="1:12">
      <c r="A591" s="3191">
        <v>589</v>
      </c>
      <c r="B591" s="3191" t="s">
        <v>5131</v>
      </c>
      <c r="C591" s="3193" t="s">
        <v>4668</v>
      </c>
      <c r="D591" s="3196">
        <v>0</v>
      </c>
      <c r="E591" s="3193" t="s">
        <v>4827</v>
      </c>
      <c r="F591" s="3193" t="s">
        <v>4564</v>
      </c>
      <c r="I591" s="3198">
        <v>589</v>
      </c>
      <c r="J591" s="3179" t="s">
        <v>5774</v>
      </c>
      <c r="K591" s="3179" t="s">
        <v>5131</v>
      </c>
      <c r="L591" s="3179">
        <v>2.4</v>
      </c>
    </row>
    <row r="592" spans="1:12">
      <c r="A592" s="3191">
        <v>590</v>
      </c>
      <c r="B592" s="3191" t="s">
        <v>5131</v>
      </c>
      <c r="C592" s="3193" t="s">
        <v>4404</v>
      </c>
      <c r="D592" s="3196">
        <v>0</v>
      </c>
      <c r="E592" s="3193" t="s">
        <v>4832</v>
      </c>
      <c r="F592" s="3193" t="s">
        <v>4688</v>
      </c>
      <c r="I592" s="3198">
        <v>590</v>
      </c>
      <c r="J592" s="3179" t="s">
        <v>5775</v>
      </c>
      <c r="K592" s="3179" t="s">
        <v>5131</v>
      </c>
      <c r="L592" s="3179">
        <v>0.94838699999999998</v>
      </c>
    </row>
    <row r="593" spans="1:14">
      <c r="A593" s="3191">
        <v>591</v>
      </c>
      <c r="B593" s="3191" t="s">
        <v>5131</v>
      </c>
      <c r="C593" s="3193" t="s">
        <v>4946</v>
      </c>
      <c r="D593" s="3196">
        <v>0</v>
      </c>
      <c r="E593" s="3193" t="s">
        <v>5102</v>
      </c>
      <c r="F593" s="3193" t="s">
        <v>5103</v>
      </c>
      <c r="I593" s="3198">
        <v>591</v>
      </c>
      <c r="J593" s="3179" t="s">
        <v>5776</v>
      </c>
      <c r="K593" s="3179" t="s">
        <v>5131</v>
      </c>
      <c r="L593" s="3179">
        <v>0.35333300000000001</v>
      </c>
    </row>
    <row r="594" spans="1:14">
      <c r="A594" s="3191">
        <v>592</v>
      </c>
      <c r="B594" s="3191" t="s">
        <v>5131</v>
      </c>
      <c r="C594" s="3193" t="s">
        <v>4487</v>
      </c>
      <c r="D594" s="3196">
        <v>0</v>
      </c>
      <c r="E594" s="3193" t="s">
        <v>4896</v>
      </c>
      <c r="F594" s="3193" t="s">
        <v>4876</v>
      </c>
      <c r="I594" s="3198">
        <v>592</v>
      </c>
      <c r="J594" s="3179" t="s">
        <v>5777</v>
      </c>
      <c r="K594" s="3179" t="s">
        <v>5131</v>
      </c>
      <c r="L594" s="3179">
        <v>0.65935500000000002</v>
      </c>
    </row>
    <row r="595" spans="1:14">
      <c r="A595" s="3191">
        <v>593</v>
      </c>
      <c r="B595" s="3191" t="s">
        <v>5131</v>
      </c>
      <c r="C595" s="3193" t="s">
        <v>4770</v>
      </c>
      <c r="D595" s="3196">
        <v>0</v>
      </c>
      <c r="E595" s="3193" t="s">
        <v>4827</v>
      </c>
      <c r="F595" s="3193" t="s">
        <v>4500</v>
      </c>
      <c r="I595" s="3198">
        <v>593</v>
      </c>
      <c r="J595" s="3179" t="s">
        <v>5778</v>
      </c>
      <c r="K595" s="3179" t="s">
        <v>5131</v>
      </c>
      <c r="L595" s="3179">
        <v>1.6080000000000001</v>
      </c>
    </row>
    <row r="596" spans="1:14">
      <c r="A596" s="3191">
        <v>594</v>
      </c>
      <c r="B596" s="3191" t="s">
        <v>5131</v>
      </c>
      <c r="C596" s="3193" t="s">
        <v>5167</v>
      </c>
      <c r="D596" s="3196">
        <v>0</v>
      </c>
      <c r="E596" s="3193" t="s">
        <v>4827</v>
      </c>
      <c r="F596" s="3193" t="s">
        <v>4512</v>
      </c>
      <c r="I596" s="3198">
        <v>594</v>
      </c>
      <c r="J596" s="3179" t="s">
        <v>5779</v>
      </c>
      <c r="K596" s="3179" t="s">
        <v>5131</v>
      </c>
      <c r="L596" s="3179">
        <v>3.51</v>
      </c>
    </row>
    <row r="597" spans="1:14">
      <c r="A597" s="3191">
        <v>595</v>
      </c>
      <c r="B597" s="3191" t="s">
        <v>5131</v>
      </c>
      <c r="C597" s="3193" t="s">
        <v>4831</v>
      </c>
      <c r="D597" s="3196">
        <v>0</v>
      </c>
      <c r="E597" s="3193" t="s">
        <v>4832</v>
      </c>
      <c r="F597" s="3193" t="s">
        <v>4677</v>
      </c>
      <c r="I597" s="3198">
        <v>595</v>
      </c>
      <c r="J597" s="3179" t="s">
        <v>5780</v>
      </c>
      <c r="K597" s="3179" t="s">
        <v>5131</v>
      </c>
      <c r="L597" s="3179">
        <v>0.40645199999999998</v>
      </c>
    </row>
    <row r="598" spans="1:14">
      <c r="A598" s="3191">
        <v>596</v>
      </c>
      <c r="B598" s="3191" t="s">
        <v>5131</v>
      </c>
      <c r="C598" s="3193" t="s">
        <v>5180</v>
      </c>
      <c r="D598" s="3196">
        <v>0</v>
      </c>
      <c r="E598" s="3193" t="s">
        <v>5181</v>
      </c>
      <c r="F598" s="3193" t="s">
        <v>5103</v>
      </c>
      <c r="I598" s="3198">
        <v>596</v>
      </c>
      <c r="J598" s="3179" t="s">
        <v>5781</v>
      </c>
      <c r="K598" s="3179" t="s">
        <v>5131</v>
      </c>
      <c r="L598" s="3179">
        <v>0.45410099999999998</v>
      </c>
      <c r="N598" s="3179" t="s">
        <v>5788</v>
      </c>
    </row>
    <row r="599" spans="1:14">
      <c r="A599" s="3191">
        <v>597</v>
      </c>
      <c r="B599" s="3191" t="s">
        <v>5131</v>
      </c>
      <c r="C599" s="3193" t="s">
        <v>4726</v>
      </c>
      <c r="D599" s="3196">
        <v>0</v>
      </c>
      <c r="E599" s="3193" t="s">
        <v>4838</v>
      </c>
      <c r="F599" s="3193" t="s">
        <v>5182</v>
      </c>
      <c r="I599" s="3198">
        <v>597</v>
      </c>
      <c r="J599" s="3179" t="s">
        <v>5782</v>
      </c>
      <c r="K599" s="3179" t="s">
        <v>5131</v>
      </c>
      <c r="L599" s="3179">
        <v>1.96</v>
      </c>
      <c r="N599" s="3179">
        <v>275</v>
      </c>
    </row>
    <row r="600" spans="1:14">
      <c r="A600" s="3191"/>
      <c r="D600" s="3188">
        <f>SUM(D3:D512)</f>
        <v>66680.440000000031</v>
      </c>
      <c r="K600" s="3184" t="s">
        <v>5783</v>
      </c>
      <c r="L600" s="3185">
        <f>SUM(L3:L599)</f>
        <v>10805.609145</v>
      </c>
      <c r="M600" s="3179">
        <f>L600*10000/D600/275</f>
        <v>5.8927511821512191</v>
      </c>
    </row>
    <row r="601" spans="1:14">
      <c r="K601" s="3184" t="s">
        <v>5784</v>
      </c>
      <c r="L601" s="3185">
        <v>407.7</v>
      </c>
    </row>
    <row r="602" spans="1:14">
      <c r="K602" s="3184" t="s">
        <v>5785</v>
      </c>
      <c r="L602" s="3185">
        <v>397</v>
      </c>
    </row>
    <row r="603" spans="1:14">
      <c r="K603" s="3184" t="s">
        <v>5786</v>
      </c>
      <c r="L603" s="3185">
        <v>248.1</v>
      </c>
    </row>
    <row r="604" spans="1:14">
      <c r="K604" s="3186" t="s">
        <v>5787</v>
      </c>
      <c r="L604" s="3187">
        <f>SUM(L600:L603)</f>
        <v>11858.409145000001</v>
      </c>
    </row>
    <row r="609" spans="1:14" ht="22.5">
      <c r="A609" s="3308" t="s">
        <v>5789</v>
      </c>
      <c r="B609" s="3308"/>
      <c r="C609" s="3308"/>
      <c r="D609" s="3308"/>
      <c r="E609" s="3308"/>
      <c r="F609" s="3308"/>
      <c r="G609" s="3308"/>
      <c r="H609" s="3308"/>
      <c r="I609" s="3308"/>
      <c r="J609" s="3308"/>
      <c r="K609" s="3308"/>
      <c r="L609" s="3308"/>
      <c r="M609" s="3308"/>
      <c r="N609" s="3308"/>
    </row>
    <row r="610" spans="1:14">
      <c r="A610" s="3199" t="s">
        <v>5790</v>
      </c>
      <c r="B610" s="3199" t="s">
        <v>5791</v>
      </c>
      <c r="C610" s="3199" t="s">
        <v>5792</v>
      </c>
      <c r="D610" s="3199" t="s">
        <v>5793</v>
      </c>
      <c r="E610" s="3199" t="s">
        <v>5794</v>
      </c>
      <c r="F610" s="3199" t="s">
        <v>5795</v>
      </c>
      <c r="G610" s="3199" t="s">
        <v>5796</v>
      </c>
      <c r="H610" s="3199" t="s">
        <v>5797</v>
      </c>
      <c r="I610" s="3199" t="s">
        <v>5798</v>
      </c>
      <c r="J610" s="3199" t="s">
        <v>5799</v>
      </c>
      <c r="K610" s="3199" t="s">
        <v>5800</v>
      </c>
      <c r="L610" s="3199" t="s">
        <v>5801</v>
      </c>
      <c r="M610" s="3199" t="s">
        <v>5802</v>
      </c>
      <c r="N610" s="3200" t="s">
        <v>5803</v>
      </c>
    </row>
    <row r="611" spans="1:14">
      <c r="A611" s="3201" t="s">
        <v>5804</v>
      </c>
      <c r="B611" s="3202">
        <v>0.99</v>
      </c>
      <c r="C611" s="3202">
        <v>0.99</v>
      </c>
      <c r="D611" s="3202">
        <v>0.98799999999999999</v>
      </c>
      <c r="E611" s="3202">
        <v>0.98499999999999999</v>
      </c>
      <c r="F611" s="3202">
        <v>0.98299999999999998</v>
      </c>
      <c r="G611" s="3202">
        <v>0.98399999999999999</v>
      </c>
      <c r="H611" s="3202">
        <v>0.98599999999999999</v>
      </c>
      <c r="I611" s="3202">
        <v>0.98799999999999999</v>
      </c>
      <c r="J611" s="3202">
        <v>0.96599999999999997</v>
      </c>
      <c r="K611" s="3202"/>
      <c r="L611" s="3202"/>
      <c r="M611" s="3202"/>
      <c r="N611" s="3202">
        <v>1</v>
      </c>
    </row>
    <row r="612" spans="1:14">
      <c r="A612" s="3203" t="s">
        <v>5805</v>
      </c>
      <c r="B612" s="3204">
        <v>10130.129999999999</v>
      </c>
      <c r="C612" s="3204">
        <v>8869.26</v>
      </c>
      <c r="D612" s="3204">
        <v>9728.0499999999993</v>
      </c>
      <c r="E612" s="3204">
        <v>9974.27</v>
      </c>
      <c r="F612" s="3204">
        <v>10618.26</v>
      </c>
      <c r="G612" s="3204">
        <v>9999.9</v>
      </c>
      <c r="H612" s="3204">
        <v>9575.4500000000007</v>
      </c>
      <c r="I612" s="3204">
        <v>9996.65</v>
      </c>
      <c r="J612" s="3204">
        <v>10289.14</v>
      </c>
      <c r="K612" s="3204"/>
      <c r="L612" s="3204"/>
      <c r="M612" s="3204"/>
      <c r="N612" s="3204">
        <f>SUM(B612:M612)</f>
        <v>89181.11</v>
      </c>
    </row>
  </sheetData>
  <mergeCells count="3">
    <mergeCell ref="A1:F1"/>
    <mergeCell ref="I1:L1"/>
    <mergeCell ref="A609:N609"/>
  </mergeCells>
  <phoneticPr fontId="134" type="noConversion"/>
  <conditionalFormatting sqref="J1:J1048576">
    <cfRule type="duplicateValues" dxfId="138"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7" sqref="F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11"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8.875" style="1560" customWidth="1"/>
    <col min="23" max="30" width="6.75" style="1560" customWidth="1"/>
    <col min="31" max="31" width="8" style="1560" customWidth="1"/>
    <col min="32" max="33" width="7.25" style="1560" customWidth="1"/>
    <col min="34" max="34" width="10.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1158</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1159</v>
      </c>
      <c r="B2" s="984">
        <f>项目基本情况!D3</f>
        <v>45604</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1160</v>
      </c>
      <c r="B4" s="1563"/>
      <c r="C4" s="1564"/>
      <c r="D4" s="1565"/>
      <c r="E4" s="1564" t="s">
        <v>1161</v>
      </c>
      <c r="F4" s="1564"/>
      <c r="G4" s="1564"/>
      <c r="H4" s="1564"/>
      <c r="I4" s="1564"/>
      <c r="J4" s="1566"/>
      <c r="K4" s="1567"/>
      <c r="L4" s="1568"/>
      <c r="M4" s="1564"/>
      <c r="N4" s="1564" t="s">
        <v>1162</v>
      </c>
      <c r="O4" s="1564"/>
      <c r="P4" s="1564"/>
      <c r="Q4" s="1564"/>
      <c r="R4" s="1564"/>
      <c r="S4" s="1566"/>
      <c r="T4" s="2437" t="str">
        <f>'数据-汇总表'!I17</f>
        <v>按面积比例</v>
      </c>
      <c r="U4" s="1563" t="s">
        <v>1163</v>
      </c>
      <c r="V4" s="1564"/>
      <c r="W4" s="1564"/>
      <c r="X4" s="1564"/>
      <c r="Y4" s="1566"/>
      <c r="Z4" s="1534" t="s">
        <v>1164</v>
      </c>
      <c r="AA4" s="1534"/>
      <c r="AB4" s="1534"/>
      <c r="AC4" s="1534"/>
      <c r="AD4" s="1534"/>
      <c r="AE4" s="1532" t="s">
        <v>1165</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0.5">
      <c r="A5" s="1570" t="s">
        <v>1166</v>
      </c>
      <c r="B5" s="1571" t="s">
        <v>1167</v>
      </c>
      <c r="C5" s="1572" t="s">
        <v>1168</v>
      </c>
      <c r="D5" s="1573" t="s">
        <v>1169</v>
      </c>
      <c r="E5" s="504" t="s">
        <v>1170</v>
      </c>
      <c r="F5" s="1574" t="s">
        <v>1171</v>
      </c>
      <c r="G5" s="504" t="s">
        <v>1172</v>
      </c>
      <c r="H5" s="504" t="s">
        <v>1173</v>
      </c>
      <c r="I5" s="504" t="s">
        <v>1174</v>
      </c>
      <c r="J5" s="1246" t="s">
        <v>1175</v>
      </c>
      <c r="K5" s="1575" t="s">
        <v>1176</v>
      </c>
      <c r="L5" s="1576" t="s">
        <v>1177</v>
      </c>
      <c r="M5" s="1577" t="s">
        <v>1178</v>
      </c>
      <c r="N5" s="1578" t="s">
        <v>4321</v>
      </c>
      <c r="O5" s="1576" t="s">
        <v>1179</v>
      </c>
      <c r="P5" s="1579" t="s">
        <v>1180</v>
      </c>
      <c r="Q5" s="58" t="s">
        <v>1181</v>
      </c>
      <c r="R5" s="1580" t="s">
        <v>1182</v>
      </c>
      <c r="S5" s="1581" t="s">
        <v>1183</v>
      </c>
      <c r="T5" s="1582" t="s">
        <v>1184</v>
      </c>
      <c r="U5" s="985" t="s">
        <v>1185</v>
      </c>
      <c r="V5" s="504" t="s">
        <v>1186</v>
      </c>
      <c r="W5" s="504" t="s">
        <v>1187</v>
      </c>
      <c r="X5" s="60"/>
      <c r="Y5" s="59" t="s">
        <v>1188</v>
      </c>
      <c r="Z5" s="1100" t="s">
        <v>1185</v>
      </c>
      <c r="AA5" s="504" t="s">
        <v>1186</v>
      </c>
      <c r="AB5" s="504" t="s">
        <v>1187</v>
      </c>
      <c r="AC5" s="60"/>
      <c r="AD5" s="60" t="s">
        <v>1188</v>
      </c>
      <c r="AE5" s="985" t="s">
        <v>1189</v>
      </c>
      <c r="AF5" s="504" t="s">
        <v>1190</v>
      </c>
      <c r="AG5" s="59" t="s">
        <v>1191</v>
      </c>
      <c r="AH5" s="985" t="s">
        <v>1192</v>
      </c>
      <c r="AI5" s="1100" t="s">
        <v>1193</v>
      </c>
      <c r="AJ5" s="1100" t="s">
        <v>1194</v>
      </c>
      <c r="AK5" s="504" t="s">
        <v>1195</v>
      </c>
      <c r="AL5" s="504" t="s">
        <v>1196</v>
      </c>
      <c r="AM5" s="59" t="s">
        <v>1197</v>
      </c>
      <c r="AN5" s="1583" t="s">
        <v>1198</v>
      </c>
      <c r="AO5" s="1453" t="s">
        <v>1199</v>
      </c>
      <c r="AP5" s="968" t="s">
        <v>1200</v>
      </c>
      <c r="AQ5" s="1584" t="s">
        <v>1201</v>
      </c>
      <c r="AR5" s="1584"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商业综合体</v>
      </c>
      <c r="B6" s="1586" t="str">
        <f>IF(A6=0,"","经营性")</f>
        <v>经营性</v>
      </c>
      <c r="C6" s="1587" t="s">
        <v>671</v>
      </c>
      <c r="D6" s="805">
        <f>SUMIF(项目基本情况!C$12:I$12,C6,项目基本情况!C$14:I$14)</f>
        <v>40</v>
      </c>
      <c r="E6" s="804">
        <f>IF(B6="","",SUMIF(项目基本情况!C$12:I$12,C6,项目基本情况!C$13:I$13))</f>
        <v>57339</v>
      </c>
      <c r="F6" s="61">
        <f>SUMIF(项目基本情况!C$12:I$12,C6,项目基本情况!C$15:I$15)</f>
        <v>32.15</v>
      </c>
      <c r="G6" s="62">
        <f>IF(ISERROR(ROUND(POWER(1+H6,D6-F6)*(POWER(1+H6,F6)-1)/(POWER(1+H6,D6)-1),3)),0,ROUND(POWER(1+H6,D6-F6)*(POWER(1+H6,F6)-1)/(POWER(1+H6,D6)-1),3))</f>
        <v>0.92300000000000004</v>
      </c>
      <c r="H6" s="691">
        <v>0.05</v>
      </c>
      <c r="I6" s="691">
        <v>0.06</v>
      </c>
      <c r="J6" s="63">
        <v>7.4999999999999997E-2</v>
      </c>
      <c r="K6" s="970">
        <f>SUMIF('数据-汇总表'!C$19:C$33,A6,'数据-汇总表'!E$19:E$33)</f>
        <v>66017.299999999916</v>
      </c>
      <c r="L6" s="692">
        <v>5200</v>
      </c>
      <c r="M6" s="64">
        <f t="shared" ref="M6:M14" si="0">ROUND(K6*L6/10000,0)</f>
        <v>34329</v>
      </c>
      <c r="N6" s="690">
        <f>ROUND(1-(1-0%)*(2024-N18)/60,2)</f>
        <v>0.95</v>
      </c>
      <c r="O6" s="64" t="str">
        <f>IF($N$5="成新度","——",ROUND(M6*N6,0))</f>
        <v>——</v>
      </c>
      <c r="P6" s="65" t="str">
        <f>IF($N$5="成新度","——",M6-O6)</f>
        <v>——</v>
      </c>
      <c r="Q6" s="3559">
        <v>0.25</v>
      </c>
      <c r="R6" s="66">
        <f ca="1">SUMIF('数据-汇总表'!C$19:C$33,A6,'数据-汇总表'!R$19:R$27)</f>
        <v>20242.14</v>
      </c>
      <c r="S6" s="49">
        <f>IF('数据-汇总表'!$I$17="按面积比例",SUMIF('数据-汇总表'!C$19:C$33,A6,'数据-汇总表'!K$19:K$33),SUMIF('数据-汇总表'!C$19:C$33,A6,'数据-汇总表'!N$19:N$33))</f>
        <v>0</v>
      </c>
      <c r="T6" s="1092">
        <f>ROUND($L$14*S6/10000,0)</f>
        <v>0</v>
      </c>
      <c r="U6" s="3560">
        <f>U34</f>
        <v>4</v>
      </c>
      <c r="V6" s="67">
        <v>0</v>
      </c>
      <c r="W6" s="67">
        <v>0.1</v>
      </c>
      <c r="X6" s="979"/>
      <c r="Y6" s="68">
        <f>N6</f>
        <v>0.95</v>
      </c>
      <c r="Z6" s="69"/>
      <c r="AA6" s="63"/>
      <c r="AB6" s="63"/>
      <c r="AC6" s="979"/>
      <c r="AD6" s="70"/>
      <c r="AE6" s="980">
        <f ca="1">IF(AN6="",0,SUMIF(INDIRECT("'"&amp;AN6&amp;"'"&amp;"!E:E"),$AE$5,INDIRECT("'"&amp;AN6&amp;"'"&amp;"!F:F")))</f>
        <v>32.15</v>
      </c>
      <c r="AF6" s="74"/>
      <c r="AG6" s="130">
        <f>IF(AF6="",0,AE6-AF6)</f>
        <v>0</v>
      </c>
      <c r="AH6" s="71"/>
      <c r="AI6" s="73">
        <v>365</v>
      </c>
      <c r="AJ6" s="74"/>
      <c r="AK6" s="75">
        <v>6.0000000000000001E-3</v>
      </c>
      <c r="AL6" s="76">
        <v>1E-3</v>
      </c>
      <c r="AM6" s="3561">
        <v>1.4999999999999999E-2</v>
      </c>
      <c r="AN6" s="1588" t="s">
        <v>4335</v>
      </c>
      <c r="AO6" s="50">
        <f ca="1">SUMIF(INDIRECT("'"&amp;AN6&amp;"'"&amp;"!A:A"),"总价",INDIRECT("'"&amp;AN6&amp;"'"&amp;"!B:B"))</f>
        <v>96885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1203</v>
      </c>
      <c r="B14" s="1586" t="s">
        <v>1204</v>
      </c>
      <c r="C14" s="1591"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1205</v>
      </c>
      <c r="B15" s="1586" t="s">
        <v>1204</v>
      </c>
      <c r="C15" s="1591"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1207</v>
      </c>
      <c r="B16" s="82"/>
      <c r="C16" s="783"/>
      <c r="D16" s="1593"/>
      <c r="E16" s="82"/>
      <c r="F16" s="82"/>
      <c r="G16" s="83">
        <f>ROUND(SUMPRODUCT(G6:G13,K6:K13)/SUMPRODUCT((G6:G13&gt;0)*(K6:K13)),3)</f>
        <v>0.92300000000000004</v>
      </c>
      <c r="H16" s="84">
        <f>ROUND(SUMPRODUCT(H6:H13,K6:K13)/SUMPRODUCT((H6:H13&gt;0)*(K6:K13)),3)</f>
        <v>0.05</v>
      </c>
      <c r="I16" s="85"/>
      <c r="J16" s="85"/>
      <c r="K16" s="86">
        <f>SUM(K6:K15)</f>
        <v>66017.299999999916</v>
      </c>
      <c r="L16" s="87">
        <f>ROUND(M16*10000/SUM(K6:K14),0)</f>
        <v>5200</v>
      </c>
      <c r="M16" s="87">
        <f>SUM(M6:M14)</f>
        <v>34329</v>
      </c>
      <c r="N16" s="88">
        <f>ROUND(SUMPRODUCT(M6:M14,N6:N14)/M16,3)</f>
        <v>0.95</v>
      </c>
      <c r="O16" s="87">
        <f>SUM(O6:O14)</f>
        <v>0</v>
      </c>
      <c r="P16" s="87">
        <f>SUM(P6:P14)</f>
        <v>0</v>
      </c>
      <c r="Q16" s="89">
        <f>ROUND(SUMPRODUCT(Q6:Q13,K6:K13)/SUMPRODUCT((Q6:Q13&gt;0)*(K6:K13)),2)</f>
        <v>0.25</v>
      </c>
      <c r="R16" s="974">
        <f ca="1">SUM(R6:R13)</f>
        <v>20242.14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1208</v>
      </c>
      <c r="B18" s="2460"/>
      <c r="C18" s="2438"/>
      <c r="D18" s="2451"/>
      <c r="E18" s="2438"/>
      <c r="F18" s="2438"/>
      <c r="G18" s="2438"/>
      <c r="H18" s="2438">
        <v>5</v>
      </c>
      <c r="I18" s="2438">
        <v>6</v>
      </c>
      <c r="J18" s="2438">
        <v>7.5</v>
      </c>
      <c r="K18" s="2449"/>
      <c r="L18" s="2449">
        <v>5200</v>
      </c>
      <c r="M18" s="2448"/>
      <c r="N18" s="2448">
        <v>2021</v>
      </c>
      <c r="O18" s="2448"/>
      <c r="P18" s="2448"/>
      <c r="Q18" s="2448">
        <v>30</v>
      </c>
      <c r="R18" s="2448"/>
      <c r="S18" s="2448"/>
      <c r="T18" s="2448"/>
      <c r="U18" s="2448">
        <v>5</v>
      </c>
      <c r="V18" s="2448"/>
      <c r="W18" s="2448"/>
      <c r="X18" s="2448"/>
      <c r="Y18" s="2448"/>
      <c r="Z18" s="2448"/>
      <c r="AA18" s="2448"/>
      <c r="AB18" s="2448"/>
      <c r="AC18" s="2448"/>
      <c r="AD18" s="2448"/>
      <c r="AE18" s="2448"/>
      <c r="AF18" s="2448"/>
      <c r="AG18" s="2448"/>
      <c r="AH18" s="2448">
        <v>50377.97</v>
      </c>
      <c r="AI18" s="2448"/>
      <c r="AJ18" s="2448"/>
      <c r="AK18" s="2448">
        <v>1</v>
      </c>
      <c r="AL18" s="2448">
        <v>0.1</v>
      </c>
      <c r="AM18" s="2448">
        <v>2</v>
      </c>
      <c r="AN18" s="2448"/>
      <c r="AO18" s="2448"/>
      <c r="AP18" s="2448"/>
      <c r="AQ18" s="2448"/>
      <c r="AR18" s="2448"/>
    </row>
    <row r="19" spans="1:44" ht="14.25">
      <c r="A19" s="1595" t="s">
        <v>1209</v>
      </c>
      <c r="B19" s="97">
        <v>0</v>
      </c>
      <c r="C19" s="2560" t="s">
        <v>2297</v>
      </c>
      <c r="D19" s="2451"/>
      <c r="E19" s="2438"/>
      <c r="F19" s="2438"/>
      <c r="G19" s="2438"/>
      <c r="H19" s="2438"/>
      <c r="I19" s="2438"/>
      <c r="J19" s="2438"/>
      <c r="K19" s="2449"/>
      <c r="L19" s="2449"/>
      <c r="M19" s="2448"/>
      <c r="N19" s="2448"/>
      <c r="O19" s="2448"/>
      <c r="P19" s="2448"/>
      <c r="Q19" s="2448">
        <f>Q16/B20</f>
        <v>8.3333333333333329E-2</v>
      </c>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1210</v>
      </c>
      <c r="B20" s="98">
        <v>3</v>
      </c>
      <c r="C20" s="2561" t="s">
        <v>2295</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1211</v>
      </c>
      <c r="B21" s="98">
        <f>B20</f>
        <v>3</v>
      </c>
      <c r="C21" s="2438"/>
      <c r="D21" s="2451"/>
      <c r="E21" s="2438">
        <v>3</v>
      </c>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1212</v>
      </c>
      <c r="B22" s="99">
        <f>B19+B20</f>
        <v>3</v>
      </c>
      <c r="C22" s="2438"/>
      <c r="D22" s="2451"/>
      <c r="E22" s="2438"/>
      <c r="F22" s="2438"/>
      <c r="G22" s="2438"/>
      <c r="H22" s="2438"/>
      <c r="I22" s="2438"/>
      <c r="J22" s="2438"/>
      <c r="K22" s="2449"/>
      <c r="L22" s="2449"/>
      <c r="M22" s="2448"/>
      <c r="N22" s="2448"/>
      <c r="O22" s="2448"/>
      <c r="P22" s="2448"/>
      <c r="Q22" s="2448"/>
      <c r="R22" s="3157" t="s">
        <v>4322</v>
      </c>
      <c r="S22" s="3157" t="s">
        <v>4388</v>
      </c>
      <c r="T22" s="3157" t="s">
        <v>4323</v>
      </c>
      <c r="U22" s="3157" t="s">
        <v>4324</v>
      </c>
      <c r="V22" s="2449"/>
      <c r="W22" s="2449"/>
      <c r="X22" s="2449"/>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1213</v>
      </c>
      <c r="B23" s="99">
        <f>B19+B21</f>
        <v>3</v>
      </c>
      <c r="C23" s="2438"/>
      <c r="D23" s="2451"/>
      <c r="E23" s="2438"/>
      <c r="F23" s="2438"/>
      <c r="G23" s="2438"/>
      <c r="H23" s="2438"/>
      <c r="I23" s="2438"/>
      <c r="J23" s="2438"/>
      <c r="K23" s="2449"/>
      <c r="L23" s="2449"/>
      <c r="M23" s="2448"/>
      <c r="N23" s="2448"/>
      <c r="O23" s="2448"/>
      <c r="P23" s="2448"/>
      <c r="Q23" s="2448"/>
      <c r="R23" s="2449">
        <v>1</v>
      </c>
      <c r="S23" s="2449">
        <f>面积指标!I5+面积指标!I20</f>
        <v>16272.95</v>
      </c>
      <c r="T23" s="2449">
        <v>1</v>
      </c>
      <c r="U23" s="2449">
        <v>7</v>
      </c>
      <c r="V23" s="2449">
        <f>S23*U23</f>
        <v>113910.65000000001</v>
      </c>
      <c r="W23" s="2449"/>
      <c r="X23" s="2449"/>
      <c r="Y23" s="2448" t="s">
        <v>6144</v>
      </c>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1214</v>
      </c>
      <c r="B24" s="100">
        <f>B20-B21</f>
        <v>0</v>
      </c>
      <c r="C24" s="2438"/>
      <c r="D24" s="2451"/>
      <c r="E24" s="2438"/>
      <c r="F24" s="2438"/>
      <c r="G24" s="2438"/>
      <c r="H24" s="2438"/>
      <c r="I24" s="2438"/>
      <c r="J24" s="2449" t="s">
        <v>4377</v>
      </c>
      <c r="K24" s="3157" t="s">
        <v>4311</v>
      </c>
      <c r="L24" s="3164" t="s">
        <v>4312</v>
      </c>
      <c r="M24" s="3164" t="s">
        <v>4313</v>
      </c>
      <c r="N24" s="2448"/>
      <c r="O24" s="2448"/>
      <c r="P24" s="2448"/>
      <c r="Q24" s="2448"/>
      <c r="R24" s="2449">
        <v>2</v>
      </c>
      <c r="S24" s="2449">
        <f>面积指标!I6+面积指标!I21</f>
        <v>16469.11</v>
      </c>
      <c r="T24" s="2449">
        <v>0.75</v>
      </c>
      <c r="U24" s="2449">
        <f>$U$23*T24</f>
        <v>5.25</v>
      </c>
      <c r="V24" s="2449">
        <f t="shared" ref="V24:V29" si="12">S24*U24</f>
        <v>86462.827499999999</v>
      </c>
      <c r="W24" s="2449"/>
      <c r="X24" s="2449"/>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3160" t="s">
        <v>4314</v>
      </c>
      <c r="K25" s="3161"/>
      <c r="L25" s="3161">
        <f>ROUND(M31/K26,0)</f>
        <v>4638</v>
      </c>
      <c r="M25" s="3161"/>
      <c r="N25" s="2448"/>
      <c r="O25" s="2448"/>
      <c r="P25" s="2448"/>
      <c r="Q25" s="2448"/>
      <c r="R25" s="2449">
        <v>3</v>
      </c>
      <c r="S25" s="2449">
        <f>面积指标!I7+面积指标!I22</f>
        <v>16534.170000000002</v>
      </c>
      <c r="T25" s="2449">
        <v>0.65</v>
      </c>
      <c r="U25" s="2449">
        <f t="shared" ref="U25:U29" si="13">$U$23*T25</f>
        <v>4.55</v>
      </c>
      <c r="V25" s="2449">
        <f t="shared" si="12"/>
        <v>75230.473500000007</v>
      </c>
      <c r="W25" s="2449"/>
      <c r="X25" s="2449"/>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1215</v>
      </c>
      <c r="B26" s="1599" t="s">
        <v>1216</v>
      </c>
      <c r="C26" s="2452" t="s">
        <v>1217</v>
      </c>
      <c r="D26" s="2451"/>
      <c r="E26" s="2438"/>
      <c r="F26" s="2438"/>
      <c r="G26" s="2438"/>
      <c r="H26" s="2438"/>
      <c r="I26" s="2438"/>
      <c r="J26" s="3162" t="s">
        <v>4315</v>
      </c>
      <c r="K26" s="3163">
        <f>K27+K28</f>
        <v>151641.77999999997</v>
      </c>
      <c r="L26" s="3163">
        <f>ROUND(M26/K26,0)</f>
        <v>3038</v>
      </c>
      <c r="M26" s="3163">
        <f>M27+M28</f>
        <v>460651623.99999994</v>
      </c>
      <c r="N26" s="3159"/>
      <c r="O26" s="2448"/>
      <c r="P26" s="2448"/>
      <c r="Q26" s="2448"/>
      <c r="R26" s="2449">
        <v>4</v>
      </c>
      <c r="S26" s="2449">
        <f>面积指标!I8+面积指标!I23</f>
        <v>16122.720000000001</v>
      </c>
      <c r="T26" s="2449">
        <v>0.6</v>
      </c>
      <c r="U26" s="2449">
        <f t="shared" si="13"/>
        <v>4.2</v>
      </c>
      <c r="V26" s="2449">
        <f t="shared" si="12"/>
        <v>67715.424000000014</v>
      </c>
      <c r="W26" s="2449"/>
      <c r="X26" s="2449"/>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1218</v>
      </c>
      <c r="B27" s="101">
        <v>150</v>
      </c>
      <c r="C27" s="2562" t="s">
        <v>2299</v>
      </c>
      <c r="D27" s="2454"/>
      <c r="E27" s="2439"/>
      <c r="F27" s="2439"/>
      <c r="G27" s="2438"/>
      <c r="H27" s="2438"/>
      <c r="I27" s="2438"/>
      <c r="J27" s="3162" t="s">
        <v>4316</v>
      </c>
      <c r="K27" s="3163">
        <f>面积指标!I12+面积指标!I28</f>
        <v>87003.65</v>
      </c>
      <c r="L27" s="3163">
        <v>2100</v>
      </c>
      <c r="M27" s="3163">
        <f>L27*K27</f>
        <v>182707665</v>
      </c>
      <c r="N27" s="2448"/>
      <c r="O27" s="2448"/>
      <c r="P27" s="2448"/>
      <c r="Q27" s="2448"/>
      <c r="R27" s="2449">
        <v>5</v>
      </c>
      <c r="S27" s="2449">
        <f>面积指标!I9+面积指标!I24</f>
        <v>15454.5</v>
      </c>
      <c r="T27" s="2449">
        <f>T26</f>
        <v>0.6</v>
      </c>
      <c r="U27" s="2449">
        <f t="shared" si="13"/>
        <v>4.2</v>
      </c>
      <c r="V27" s="2449">
        <f t="shared" si="12"/>
        <v>64908.9</v>
      </c>
      <c r="W27" s="2449"/>
      <c r="X27" s="2449"/>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1219</v>
      </c>
      <c r="B28" s="103">
        <v>190</v>
      </c>
      <c r="C28" s="2455"/>
      <c r="D28" s="2454"/>
      <c r="E28" s="2439"/>
      <c r="F28" s="2439"/>
      <c r="G28" s="2438"/>
      <c r="H28" s="2438"/>
      <c r="I28" s="2438"/>
      <c r="J28" s="3162" t="s">
        <v>4317</v>
      </c>
      <c r="K28" s="2231">
        <f>面积指标!D10+面积指标!D13+面积指标!D25+面积指标!D28</f>
        <v>64638.12999999999</v>
      </c>
      <c r="L28" s="3163">
        <v>4300</v>
      </c>
      <c r="M28" s="3163">
        <f t="shared" ref="M28:M30" si="14">L28*K28</f>
        <v>277943958.99999994</v>
      </c>
      <c r="N28" s="2448"/>
      <c r="O28" s="2448"/>
      <c r="P28" s="2448"/>
      <c r="Q28" s="2448"/>
      <c r="R28" s="2449">
        <v>6</v>
      </c>
      <c r="S28" s="2449">
        <f>面积指标!I10+面积指标!I11+面积指标!I25+面积指标!I26+面积指标!I27</f>
        <v>6150.2000000000007</v>
      </c>
      <c r="T28" s="2449">
        <f>T26</f>
        <v>0.6</v>
      </c>
      <c r="U28" s="2449">
        <f t="shared" si="13"/>
        <v>4.2</v>
      </c>
      <c r="V28" s="2449">
        <f t="shared" si="12"/>
        <v>25830.840000000004</v>
      </c>
      <c r="W28" s="2449"/>
      <c r="X28" s="2449"/>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1220</v>
      </c>
      <c r="B29" s="105">
        <f ca="1">成本法!C10</f>
        <v>1254</v>
      </c>
      <c r="C29" s="2563" t="s">
        <v>2288</v>
      </c>
      <c r="D29" s="2454"/>
      <c r="E29" s="2439"/>
      <c r="F29" s="2439"/>
      <c r="G29" s="2438"/>
      <c r="H29" s="2438"/>
      <c r="I29" s="2438"/>
      <c r="J29" s="3162" t="s">
        <v>4318</v>
      </c>
      <c r="K29" s="3163">
        <f>K26</f>
        <v>151641.77999999997</v>
      </c>
      <c r="L29" s="3163">
        <v>500</v>
      </c>
      <c r="M29" s="3163">
        <f t="shared" si="14"/>
        <v>75820889.999999985</v>
      </c>
      <c r="N29" s="2448"/>
      <c r="O29" s="2448"/>
      <c r="P29" s="2448"/>
      <c r="Q29" s="2448"/>
      <c r="R29" s="3167" t="s">
        <v>4326</v>
      </c>
      <c r="S29" s="2449">
        <f>面积指标!D6+面积指标!D21</f>
        <v>17095.98</v>
      </c>
      <c r="T29" s="2449">
        <v>0.7</v>
      </c>
      <c r="U29" s="2449">
        <f t="shared" si="13"/>
        <v>4.8999999999999995</v>
      </c>
      <c r="V29" s="2449">
        <f t="shared" si="12"/>
        <v>83770.301999999981</v>
      </c>
      <c r="W29" s="2449"/>
      <c r="X29" s="2449"/>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1221</v>
      </c>
      <c r="B30" s="638">
        <v>200</v>
      </c>
      <c r="C30" s="2455"/>
      <c r="D30" s="2454"/>
      <c r="E30" s="2439"/>
      <c r="F30" s="2439"/>
      <c r="G30" s="2438"/>
      <c r="H30" s="2438"/>
      <c r="I30" s="2438"/>
      <c r="J30" s="3162" t="s">
        <v>4319</v>
      </c>
      <c r="K30" s="3163">
        <f>K26</f>
        <v>151641.77999999997</v>
      </c>
      <c r="L30" s="3163">
        <v>1100</v>
      </c>
      <c r="M30" s="3163">
        <f t="shared" si="14"/>
        <v>166805957.99999997</v>
      </c>
      <c r="N30" s="2448"/>
      <c r="O30" s="2448"/>
      <c r="P30" s="2448"/>
      <c r="Q30" s="2448"/>
      <c r="R30" s="3157" t="s">
        <v>4313</v>
      </c>
      <c r="S30" s="2449">
        <f>S23+S24+S25+S26+S27+S28+S29</f>
        <v>104099.63</v>
      </c>
      <c r="T30" s="2449"/>
      <c r="U30" s="2449">
        <f>ROUND(V30/S30,1)</f>
        <v>5</v>
      </c>
      <c r="V30" s="2449">
        <f t="shared" ref="V30" si="15">V23+V24+V25+V26+V27+V28+V29</f>
        <v>517829.41700000002</v>
      </c>
      <c r="W30" s="2449"/>
      <c r="X30" s="2449"/>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1222</v>
      </c>
      <c r="B31" s="104">
        <f>B30-B32</f>
        <v>200</v>
      </c>
      <c r="C31" s="2453"/>
      <c r="D31" s="2454"/>
      <c r="E31" s="2439"/>
      <c r="F31" s="2439"/>
      <c r="G31" s="2438"/>
      <c r="H31" s="2438"/>
      <c r="I31" s="2438"/>
      <c r="J31" s="3160" t="s">
        <v>4320</v>
      </c>
      <c r="K31" s="3158">
        <f>K16+面积指标!I28+面积指标!D22</f>
        <v>134067.0799999999</v>
      </c>
      <c r="L31" s="3161">
        <f>ROUND(M31/K31,0)</f>
        <v>5246</v>
      </c>
      <c r="M31" s="3161">
        <f>M26+M29+M30</f>
        <v>703278471.99999988</v>
      </c>
      <c r="N31" s="2448"/>
      <c r="O31" s="2448"/>
      <c r="P31" s="2448"/>
      <c r="Q31" s="2448"/>
      <c r="R31" s="2449"/>
      <c r="S31" s="2449"/>
      <c r="T31" s="2449"/>
      <c r="U31" s="2449"/>
      <c r="V31" s="2449"/>
      <c r="W31" s="2449"/>
      <c r="X31" s="2449"/>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1223</v>
      </c>
      <c r="B32" s="639"/>
      <c r="C32" s="2455"/>
      <c r="D32" s="2451"/>
      <c r="E32" s="2438"/>
      <c r="F32" s="2438"/>
      <c r="G32" s="2438"/>
      <c r="H32" s="2438"/>
      <c r="I32" s="2438"/>
      <c r="J32" s="3165"/>
      <c r="K32" s="3166"/>
      <c r="L32" s="3166"/>
      <c r="M32" s="3166"/>
      <c r="N32" s="2448"/>
      <c r="O32" s="2448"/>
      <c r="P32" s="2448"/>
      <c r="Q32" s="2448"/>
      <c r="R32" s="3157"/>
      <c r="S32" s="3157" t="s">
        <v>4325</v>
      </c>
      <c r="T32" s="3157" t="s">
        <v>4328</v>
      </c>
      <c r="U32" s="3157" t="s">
        <v>4324</v>
      </c>
      <c r="V32" s="2449"/>
      <c r="W32" s="3157" t="s">
        <v>4330</v>
      </c>
      <c r="X32" s="2449"/>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1224</v>
      </c>
      <c r="B33" s="640">
        <v>0.05</v>
      </c>
      <c r="C33" s="2564" t="s">
        <v>3370</v>
      </c>
      <c r="D33" s="2451"/>
      <c r="E33" s="2438">
        <v>5</v>
      </c>
      <c r="F33" s="2438"/>
      <c r="G33" s="2438"/>
      <c r="H33" s="2438"/>
      <c r="I33" s="2438"/>
      <c r="J33" s="2438"/>
      <c r="K33" s="2449"/>
      <c r="L33" s="2449"/>
      <c r="M33" s="2448"/>
      <c r="N33" s="2448"/>
      <c r="O33" s="2448"/>
      <c r="P33" s="2448"/>
      <c r="Q33" s="2448"/>
      <c r="R33" s="3157" t="s">
        <v>4327</v>
      </c>
      <c r="S33" s="2449">
        <f>面积指标!D5+面积指标!D20</f>
        <v>29967.449999999881</v>
      </c>
      <c r="T33" s="2449">
        <f>面积指标!E5+面积指标!E20</f>
        <v>756</v>
      </c>
      <c r="U33" s="2449">
        <f>ROUND(600/W33/30,1)</f>
        <v>0.5</v>
      </c>
      <c r="V33" s="2449">
        <f>U33*S33</f>
        <v>14983.72499999994</v>
      </c>
      <c r="W33" s="2449">
        <f>ROUND(S33/T33,0)</f>
        <v>40</v>
      </c>
      <c r="X33" s="2449"/>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1225</v>
      </c>
      <c r="B34" s="106">
        <v>0</v>
      </c>
      <c r="C34" s="2564" t="s">
        <v>2289</v>
      </c>
      <c r="D34" s="2459" t="s">
        <v>2296</v>
      </c>
      <c r="E34" s="2457"/>
      <c r="F34" s="2438"/>
      <c r="G34" s="2438"/>
      <c r="H34" s="2438"/>
      <c r="I34" s="2438"/>
      <c r="J34" s="2438"/>
      <c r="K34" s="2449"/>
      <c r="L34" s="2449"/>
      <c r="M34" s="2448"/>
      <c r="N34" s="2448"/>
      <c r="O34" s="2448"/>
      <c r="P34" s="2448"/>
      <c r="Q34" s="2448"/>
      <c r="R34" s="3167" t="s">
        <v>4329</v>
      </c>
      <c r="S34" s="2449">
        <f>S30+S33</f>
        <v>134067.0799999999</v>
      </c>
      <c r="T34" s="2449"/>
      <c r="U34" s="2449">
        <f>ROUND(V34/S34,1)</f>
        <v>4</v>
      </c>
      <c r="V34" s="2449">
        <f>V30+V33</f>
        <v>532813.14199999999</v>
      </c>
      <c r="W34" s="2449"/>
      <c r="X34" s="2449"/>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1226</v>
      </c>
      <c r="B35" s="103">
        <v>200</v>
      </c>
      <c r="C35" s="2564" t="s">
        <v>2290</v>
      </c>
      <c r="D35" s="2454"/>
      <c r="E35" s="2439"/>
      <c r="F35" s="2439"/>
      <c r="G35" s="2438"/>
      <c r="H35" s="2438"/>
      <c r="I35" s="2438"/>
      <c r="J35" s="2438"/>
      <c r="K35" s="2449"/>
      <c r="L35" s="2449"/>
      <c r="M35" s="2448"/>
      <c r="N35" s="2448"/>
      <c r="O35" s="2448"/>
      <c r="P35" s="2448"/>
      <c r="Q35" s="2448"/>
      <c r="R35" s="2449"/>
      <c r="S35" s="2449"/>
      <c r="T35" s="2449"/>
      <c r="U35" s="2449"/>
      <c r="V35" s="2449"/>
      <c r="W35" s="2449"/>
      <c r="X35" s="2449"/>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1227</v>
      </c>
      <c r="B36" s="107">
        <v>0.03</v>
      </c>
      <c r="C36" s="2564" t="s">
        <v>3371</v>
      </c>
      <c r="D36" s="2451"/>
      <c r="E36" s="2438">
        <v>1.5</v>
      </c>
      <c r="F36" s="2438"/>
      <c r="G36" s="2438"/>
      <c r="H36" s="2438"/>
      <c r="I36" s="2438"/>
      <c r="J36" s="2438"/>
      <c r="K36" s="2449"/>
      <c r="L36" s="2449"/>
      <c r="M36" s="2448"/>
      <c r="N36" s="2448"/>
      <c r="O36" s="2448"/>
      <c r="P36" s="2448"/>
      <c r="Q36" s="2448"/>
      <c r="R36" s="2449"/>
      <c r="S36" s="2449"/>
      <c r="T36" s="2449"/>
      <c r="U36" s="2449"/>
      <c r="V36" s="2449"/>
      <c r="W36" s="2449"/>
      <c r="X36" s="2449"/>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1228</v>
      </c>
      <c r="B37" s="108">
        <v>0.03</v>
      </c>
      <c r="C37" s="2564" t="s">
        <v>2291</v>
      </c>
      <c r="D37" s="2451"/>
      <c r="E37" s="2438">
        <v>3</v>
      </c>
      <c r="F37" s="2438"/>
      <c r="G37" s="2438"/>
      <c r="H37" s="2438"/>
      <c r="I37" s="2438"/>
      <c r="J37" s="2438"/>
      <c r="K37" s="2449"/>
      <c r="L37" s="2449"/>
      <c r="M37" s="2448"/>
      <c r="N37" s="2448"/>
      <c r="O37" s="2448"/>
      <c r="P37" s="2448"/>
      <c r="Q37" s="2448"/>
      <c r="R37" s="2449"/>
      <c r="S37" s="2449"/>
      <c r="T37" s="2449"/>
      <c r="U37" s="2449"/>
      <c r="V37" s="2449"/>
      <c r="W37" s="2449"/>
      <c r="X37" s="2449"/>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1229</v>
      </c>
      <c r="B38" s="106">
        <v>0.03</v>
      </c>
      <c r="C38" s="2564" t="s">
        <v>2291</v>
      </c>
      <c r="D38" s="2451"/>
      <c r="E38" s="2438">
        <v>3</v>
      </c>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1230</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2306</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1231</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1232</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1233</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1234</v>
      </c>
      <c r="B44" s="112">
        <v>7.0000000000000007E-2</v>
      </c>
      <c r="C44" s="2564" t="s">
        <v>2300</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1235</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1236</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1237</v>
      </c>
      <c r="B47" s="113"/>
      <c r="C47" s="2566" t="s">
        <v>2301</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1238</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1239</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1240</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1241</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1242</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1243</v>
      </c>
      <c r="B53" s="1610" t="s">
        <v>29</v>
      </c>
      <c r="C53" s="2439" t="s">
        <v>1244</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1245</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1246</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1247</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1248</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1249</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1250</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1251</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1252</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1253</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1254</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7" t="str">
        <f>项目基本情况!B1</f>
        <v>北京市房地产抵押价值预评估</v>
      </c>
      <c r="C37" s="3217"/>
      <c r="D37" s="3217"/>
      <c r="E37" s="3217"/>
      <c r="F37" s="3217"/>
      <c r="G37" s="3217"/>
      <c r="H37" s="3217"/>
      <c r="I37" s="321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309" t="s">
        <v>2280</v>
      </c>
      <c r="B1" s="3310"/>
      <c r="C1" s="3310"/>
      <c r="D1" s="3310"/>
      <c r="E1" s="3310"/>
      <c r="F1" s="3310"/>
      <c r="G1" s="331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2275</v>
      </c>
      <c r="D2" s="1594"/>
      <c r="E2" s="2259"/>
      <c r="F2" s="2262"/>
      <c r="G2" s="2261" t="s">
        <v>2276</v>
      </c>
      <c r="H2" s="751"/>
      <c r="I2" s="751"/>
      <c r="J2" s="751"/>
      <c r="K2" s="751"/>
      <c r="L2" s="751"/>
      <c r="M2" s="751"/>
      <c r="N2" s="751"/>
      <c r="O2" s="751"/>
      <c r="P2" s="751"/>
      <c r="Q2" s="751"/>
    </row>
    <row r="3" spans="1:29" ht="48">
      <c r="A3" s="2246" t="s">
        <v>2277</v>
      </c>
      <c r="B3" s="2263" t="s">
        <v>2246</v>
      </c>
      <c r="C3" s="2264" t="s">
        <v>2278</v>
      </c>
      <c r="D3" s="2265"/>
      <c r="E3" s="2247" t="s">
        <v>2277</v>
      </c>
      <c r="F3" s="2266" t="s">
        <v>2247</v>
      </c>
      <c r="G3" s="2267" t="s">
        <v>2279</v>
      </c>
      <c r="H3" s="751"/>
      <c r="I3" s="751"/>
      <c r="J3" s="751"/>
      <c r="K3" s="751"/>
      <c r="L3" s="751"/>
      <c r="M3" s="751"/>
      <c r="N3" s="751"/>
      <c r="O3" s="751"/>
      <c r="P3" s="751"/>
      <c r="Q3" s="751"/>
    </row>
    <row r="4" spans="1:29" ht="36.75">
      <c r="A4" s="2247"/>
      <c r="B4" s="315" t="s">
        <v>2248</v>
      </c>
      <c r="C4" s="2268" t="s">
        <v>2249</v>
      </c>
      <c r="D4" s="2265"/>
      <c r="E4" s="2269"/>
      <c r="F4" s="1280" t="s">
        <v>2250</v>
      </c>
      <c r="G4" s="2270" t="s">
        <v>2251</v>
      </c>
      <c r="H4" s="751"/>
      <c r="I4" s="751"/>
      <c r="J4" s="751"/>
      <c r="K4" s="751"/>
      <c r="L4" s="751"/>
      <c r="M4" s="751"/>
      <c r="N4" s="751"/>
      <c r="O4" s="751"/>
      <c r="P4" s="751"/>
      <c r="Q4" s="751"/>
    </row>
    <row r="5" spans="1:29" ht="36.75">
      <c r="A5" s="2247"/>
      <c r="B5" s="315" t="s">
        <v>2252</v>
      </c>
      <c r="C5" s="2268" t="s">
        <v>2253</v>
      </c>
      <c r="D5" s="2265"/>
      <c r="E5" s="2269"/>
      <c r="F5" s="315" t="s">
        <v>2254</v>
      </c>
      <c r="G5" s="2270" t="s">
        <v>2255</v>
      </c>
      <c r="H5" s="751"/>
      <c r="I5" s="751"/>
      <c r="J5" s="751"/>
      <c r="K5" s="751"/>
      <c r="L5" s="751"/>
      <c r="M5" s="751"/>
      <c r="N5" s="751"/>
      <c r="O5" s="751"/>
      <c r="P5" s="751"/>
      <c r="Q5" s="751"/>
    </row>
    <row r="6" spans="1:29" ht="36">
      <c r="A6" s="2247"/>
      <c r="B6" s="315" t="s">
        <v>2256</v>
      </c>
      <c r="C6" s="2270" t="s">
        <v>2251</v>
      </c>
      <c r="D6" s="2265"/>
      <c r="E6" s="2269"/>
      <c r="F6" s="315" t="s">
        <v>2257</v>
      </c>
      <c r="G6" s="2270" t="s">
        <v>2258</v>
      </c>
      <c r="H6" s="751"/>
      <c r="I6" s="751"/>
      <c r="J6" s="751"/>
      <c r="K6" s="751"/>
      <c r="L6" s="751"/>
      <c r="M6" s="751"/>
      <c r="N6" s="751"/>
      <c r="O6" s="751"/>
      <c r="P6" s="751"/>
      <c r="Q6" s="751"/>
    </row>
    <row r="7" spans="1:29" ht="24.75" thickBot="1">
      <c r="A7" s="2247"/>
      <c r="B7" s="315" t="s">
        <v>2254</v>
      </c>
      <c r="C7" s="2270" t="s">
        <v>2255</v>
      </c>
      <c r="D7" s="2244"/>
      <c r="E7" s="2271"/>
      <c r="F7" s="2272" t="s">
        <v>2259</v>
      </c>
      <c r="G7" s="2273" t="s">
        <v>2260</v>
      </c>
      <c r="H7" s="751"/>
      <c r="I7" s="751"/>
      <c r="J7" s="751"/>
      <c r="K7" s="751"/>
      <c r="L7" s="751"/>
      <c r="M7" s="751"/>
      <c r="N7" s="751"/>
      <c r="O7" s="751"/>
      <c r="P7" s="751"/>
      <c r="Q7" s="751"/>
    </row>
    <row r="8" spans="1:29">
      <c r="A8" s="2247"/>
      <c r="B8" s="315" t="s">
        <v>2257</v>
      </c>
      <c r="C8" s="2270" t="s">
        <v>2258</v>
      </c>
      <c r="D8" s="2244"/>
      <c r="E8" s="2244"/>
      <c r="F8" s="121"/>
      <c r="G8" s="121"/>
      <c r="H8" s="751"/>
      <c r="I8" s="751"/>
      <c r="J8" s="751"/>
      <c r="K8" s="751"/>
      <c r="L8" s="751"/>
      <c r="M8" s="751"/>
      <c r="N8" s="751"/>
      <c r="O8" s="751"/>
      <c r="P8" s="751"/>
      <c r="Q8" s="751"/>
    </row>
    <row r="9" spans="1:29" ht="24">
      <c r="A9" s="2247"/>
      <c r="B9" s="315" t="s">
        <v>2261</v>
      </c>
      <c r="C9" s="2268" t="s">
        <v>2262</v>
      </c>
      <c r="D9" s="2265"/>
      <c r="E9" s="2244"/>
      <c r="F9" s="121"/>
      <c r="G9" s="121"/>
      <c r="H9" s="751"/>
      <c r="I9" s="751"/>
      <c r="J9" s="751"/>
      <c r="K9" s="751"/>
      <c r="L9" s="751"/>
      <c r="M9" s="751"/>
      <c r="N9" s="751"/>
      <c r="O9" s="751"/>
      <c r="P9" s="751"/>
      <c r="Q9" s="751"/>
    </row>
    <row r="10" spans="1:29" ht="15" thickBot="1">
      <c r="A10" s="2248"/>
      <c r="B10" s="2274" t="s">
        <v>2263</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2281</v>
      </c>
      <c r="B13" s="2279"/>
      <c r="C13" s="2279"/>
      <c r="D13" s="2278"/>
      <c r="E13" s="2279"/>
      <c r="F13" s="2279"/>
      <c r="G13" s="2279"/>
    </row>
    <row r="14" spans="1:29" ht="15" thickBot="1">
      <c r="A14" s="2284"/>
      <c r="B14" s="2284"/>
      <c r="C14" s="2285" t="s">
        <v>2264</v>
      </c>
      <c r="D14" s="2265"/>
      <c r="E14" s="2286"/>
      <c r="F14" s="2286"/>
      <c r="G14" s="2261" t="s">
        <v>2265</v>
      </c>
    </row>
    <row r="15" spans="1:29" ht="51">
      <c r="A15" s="2249" t="s">
        <v>2266</v>
      </c>
      <c r="B15" s="2287" t="s">
        <v>2246</v>
      </c>
      <c r="C15" s="2288" t="str">
        <f>C3</f>
        <v>估价对象周边居住用地比例、居住小区规模和社区发展完善程度，综合评价居住社区成熟度一般</v>
      </c>
      <c r="D15" s="2265"/>
      <c r="E15" s="2250" t="s">
        <v>2267</v>
      </c>
      <c r="F15" s="2287" t="s">
        <v>2268</v>
      </c>
      <c r="G15" s="2289" t="str">
        <f>G3</f>
        <v>估价对象位于XX开发区，园区建设成熟度XX，产业集聚程度XX</v>
      </c>
    </row>
    <row r="16" spans="1:29" ht="38.25">
      <c r="A16" s="2251"/>
      <c r="B16" s="2290" t="s">
        <v>2248</v>
      </c>
      <c r="C16" s="2291" t="str">
        <f>C4</f>
        <v>估价对象位于XX商圈，周边商业氛围成熟，人流量大，商业繁华度好</v>
      </c>
      <c r="D16" s="2265"/>
      <c r="E16" s="2252"/>
      <c r="F16" s="2292" t="s">
        <v>2250</v>
      </c>
      <c r="G16" s="2293" t="str">
        <f>G4</f>
        <v>估价对象周边道路状况、公共交通通达情况、停车便捷程度，综合评价交通便捷度较好</v>
      </c>
    </row>
    <row r="17" spans="1:17" ht="38.25">
      <c r="A17" s="2251"/>
      <c r="B17" s="2290" t="s">
        <v>2252</v>
      </c>
      <c r="C17" s="2291" t="str">
        <f>C5</f>
        <v>估价对象位于XX商圈，周边办公楼项目较多，入驻率高，办公集聚程度较好</v>
      </c>
      <c r="D17" s="2244"/>
      <c r="E17" s="2252"/>
      <c r="F17" s="2292" t="s">
        <v>2269</v>
      </c>
      <c r="G17" s="2294"/>
    </row>
    <row r="18" spans="1:17" ht="38.25">
      <c r="A18" s="2251"/>
      <c r="B18" s="2292" t="s">
        <v>2256</v>
      </c>
      <c r="C18" s="2293" t="str">
        <f>C6</f>
        <v>估价对象周边道路状况、公共交通通达情况、停车便捷程度，综合评价交通便捷度较好</v>
      </c>
      <c r="D18" s="2244"/>
      <c r="E18" s="2252"/>
      <c r="F18" s="2292" t="s">
        <v>2259</v>
      </c>
      <c r="G18" s="2293" t="str">
        <f>G7</f>
        <v>该园区内是否有污染型企业，绿化情况，卫生条件，整体环境状况判断</v>
      </c>
    </row>
    <row r="19" spans="1:17" ht="25.5">
      <c r="A19" s="2251"/>
      <c r="B19" s="2292" t="s">
        <v>2270</v>
      </c>
      <c r="C19" s="2294"/>
      <c r="D19" s="2265"/>
      <c r="E19" s="2252"/>
      <c r="F19" s="315" t="s">
        <v>2254</v>
      </c>
      <c r="G19" s="2293" t="str">
        <f>G5</f>
        <v>估价对象所在区域公共配套设施齐备情况</v>
      </c>
    </row>
    <row r="20" spans="1:17" ht="25.5">
      <c r="A20" s="2251"/>
      <c r="B20" s="2292" t="s">
        <v>2271</v>
      </c>
      <c r="C20" s="2291" t="str">
        <f>C9</f>
        <v>区域自然环境：；人文环境；综合评价环境状况一般</v>
      </c>
      <c r="D20" s="2244"/>
      <c r="E20" s="2252"/>
      <c r="F20" s="315" t="s">
        <v>2257</v>
      </c>
      <c r="G20" s="2293" t="str">
        <f>G6</f>
        <v>估价对象所在区域基础设施水平</v>
      </c>
    </row>
    <row r="21" spans="1:17" ht="25.5">
      <c r="A21" s="2251"/>
      <c r="B21" s="315" t="s">
        <v>2254</v>
      </c>
      <c r="C21" s="2293" t="str">
        <f>C7</f>
        <v>估价对象所在区域公共配套设施齐备情况</v>
      </c>
      <c r="D21" s="2265"/>
      <c r="E21" s="2252"/>
      <c r="F21" s="2292" t="s">
        <v>2272</v>
      </c>
      <c r="G21" s="2295"/>
    </row>
    <row r="22" spans="1:17" ht="13.5" customHeight="1">
      <c r="A22" s="2251"/>
      <c r="B22" s="315" t="s">
        <v>2257</v>
      </c>
      <c r="C22" s="2293" t="str">
        <f>C8</f>
        <v>估价对象所在区域基础设施水平</v>
      </c>
      <c r="D22" s="2265"/>
      <c r="E22" s="2252"/>
      <c r="F22" s="2292" t="s">
        <v>2263</v>
      </c>
      <c r="G22" s="2294"/>
    </row>
    <row r="23" spans="1:17" s="751" customFormat="1" ht="15" thickBot="1">
      <c r="A23" s="2251"/>
      <c r="B23" s="2292" t="s">
        <v>2272</v>
      </c>
      <c r="C23" s="2295"/>
      <c r="D23" s="1613"/>
      <c r="E23" s="2253"/>
      <c r="F23" s="2296" t="s">
        <v>2273</v>
      </c>
      <c r="G23" s="2297"/>
      <c r="H23" s="2276"/>
      <c r="I23" s="2276"/>
      <c r="J23" s="2276"/>
      <c r="K23" s="2276"/>
      <c r="L23" s="2276"/>
      <c r="M23" s="2276"/>
      <c r="N23" s="2276"/>
      <c r="O23" s="2276"/>
      <c r="P23" s="2276"/>
      <c r="Q23" s="2276"/>
    </row>
    <row r="24" spans="1:17" s="751" customFormat="1" ht="15" thickBot="1">
      <c r="A24" s="2254"/>
      <c r="B24" s="2296" t="s">
        <v>2274</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10" sqref="F10"/>
    </sheetView>
  </sheetViews>
  <sheetFormatPr defaultColWidth="9" defaultRowHeight="13.5"/>
  <cols>
    <col min="1" max="1" width="25" style="2300" customWidth="1"/>
    <col min="2" max="9" width="15.75" style="2300" customWidth="1"/>
    <col min="10" max="16384" width="9" style="2300"/>
  </cols>
  <sheetData>
    <row r="1" spans="1:11" ht="16.5">
      <c r="A1" s="2299" t="s">
        <v>663</v>
      </c>
      <c r="B1" s="2299">
        <f>SUM(B14:B23)</f>
        <v>134067.0799999999</v>
      </c>
      <c r="C1" s="2461"/>
      <c r="D1" s="2461"/>
      <c r="E1" s="2461"/>
      <c r="F1" s="2461"/>
      <c r="G1" s="2462"/>
      <c r="H1" s="2462"/>
      <c r="I1" s="2462"/>
      <c r="J1" s="2462"/>
      <c r="K1" s="2462"/>
    </row>
    <row r="2" spans="1:11" ht="16.5">
      <c r="A2" s="2299" t="s">
        <v>651</v>
      </c>
      <c r="B2" s="2299">
        <f>SUM(C14:C23)</f>
        <v>35984.160000000003</v>
      </c>
      <c r="C2" s="2461"/>
      <c r="D2" s="2461"/>
      <c r="E2" s="2461"/>
      <c r="F2" s="2461"/>
      <c r="G2" s="2462"/>
      <c r="H2" s="2462"/>
      <c r="I2" s="2462"/>
      <c r="J2" s="2462"/>
      <c r="K2" s="2462"/>
    </row>
    <row r="3" spans="1:11" ht="16.5">
      <c r="A3" s="2299" t="s">
        <v>660</v>
      </c>
      <c r="B3" s="2301">
        <f>项目基本情况!D3</f>
        <v>45604</v>
      </c>
      <c r="C3" s="2461"/>
      <c r="D3" s="2461"/>
      <c r="E3" s="2461"/>
      <c r="F3" s="2461"/>
      <c r="G3" s="2462"/>
      <c r="H3" s="2462"/>
      <c r="I3" s="2462"/>
      <c r="J3" s="2462"/>
      <c r="K3" s="2462"/>
    </row>
    <row r="4" spans="1:11" ht="33">
      <c r="A4" s="2299" t="s">
        <v>659</v>
      </c>
      <c r="B4" s="2299" t="s">
        <v>658</v>
      </c>
      <c r="C4" s="2299" t="s">
        <v>657</v>
      </c>
      <c r="D4" s="2299" t="s">
        <v>656</v>
      </c>
      <c r="E4" s="2461"/>
      <c r="F4" s="2462"/>
      <c r="G4" s="2462"/>
      <c r="H4" s="2462"/>
      <c r="I4" s="2462"/>
      <c r="J4" s="2462"/>
      <c r="K4" s="2462"/>
    </row>
    <row r="5" spans="1:11" ht="16.5">
      <c r="A5" s="2299" t="s">
        <v>655</v>
      </c>
      <c r="B5" s="2299">
        <f ca="1">SUM(D14:D23)</f>
        <v>251139</v>
      </c>
      <c r="C5" s="2299">
        <f ca="1">IF(B5=D14,结果表!H102,ROUND(B5*10000/$B$1,0))</f>
        <v>18732</v>
      </c>
      <c r="D5" s="2299">
        <f ca="1">ROUND(B5*10000/$B$2,0)</f>
        <v>69792</v>
      </c>
      <c r="E5" s="2461"/>
      <c r="F5" s="2462"/>
      <c r="G5" s="2462"/>
      <c r="H5" s="2462"/>
      <c r="I5" s="2462"/>
      <c r="J5" s="2462"/>
      <c r="K5" s="2462"/>
    </row>
    <row r="6" spans="1:11" ht="16.5">
      <c r="A6" s="2299" t="s">
        <v>654</v>
      </c>
      <c r="B6" s="2299">
        <f ca="1">SUM(G14:G23)</f>
        <v>251139</v>
      </c>
      <c r="C6" s="2299">
        <f ca="1">IF(B6=G14,结果表!H108,ROUND(B6*10000/$B$1,0))</f>
        <v>18732</v>
      </c>
      <c r="D6" s="2299">
        <f ca="1">ROUND(B6*10000/$B$2,0)</f>
        <v>69792</v>
      </c>
      <c r="E6" s="2461">
        <v>257326</v>
      </c>
      <c r="F6" s="2462">
        <f ca="1">B5/E6</f>
        <v>0.97595656871050729</v>
      </c>
      <c r="G6" s="2462"/>
      <c r="H6" s="2462"/>
      <c r="I6" s="2462"/>
      <c r="J6" s="2462"/>
      <c r="K6" s="2462"/>
    </row>
    <row r="7" spans="1:11" ht="16.5">
      <c r="A7" s="2299" t="s">
        <v>662</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653</v>
      </c>
      <c r="B9" s="1243"/>
      <c r="C9" s="2461"/>
      <c r="D9" s="2461"/>
      <c r="E9" s="2461"/>
      <c r="F9" s="2462"/>
      <c r="G9" s="2462"/>
      <c r="H9" s="2462"/>
      <c r="I9" s="2462"/>
      <c r="J9" s="2462"/>
      <c r="K9" s="2462"/>
    </row>
    <row r="10" spans="1:11" ht="16.5">
      <c r="A10" s="2299" t="s">
        <v>652</v>
      </c>
      <c r="B10" s="2299">
        <f>IF(E10="",0,ROUND(B1*(E10*365/G10)/10000,0))</f>
        <v>0</v>
      </c>
      <c r="C10" s="2299" t="s">
        <v>3350</v>
      </c>
      <c r="D10" s="2299" t="s">
        <v>3351</v>
      </c>
      <c r="E10" s="3135"/>
      <c r="F10" s="3139" t="s">
        <v>3352</v>
      </c>
      <c r="G10" s="3136"/>
      <c r="H10" s="2462"/>
      <c r="I10" s="2462"/>
      <c r="J10" s="2462"/>
      <c r="K10" s="2462"/>
    </row>
    <row r="11" spans="1:11" ht="16.5">
      <c r="A11" s="2299" t="s">
        <v>668</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667</v>
      </c>
      <c r="B13" s="2303" t="s">
        <v>664</v>
      </c>
      <c r="C13" s="2303" t="s">
        <v>666</v>
      </c>
      <c r="D13" s="2303" t="s">
        <v>665</v>
      </c>
      <c r="E13" s="2299" t="s">
        <v>657</v>
      </c>
      <c r="F13" s="2299" t="s">
        <v>656</v>
      </c>
      <c r="G13" s="2303" t="s">
        <v>650</v>
      </c>
      <c r="H13" s="2303" t="s">
        <v>661</v>
      </c>
      <c r="I13" s="2303" t="s">
        <v>649</v>
      </c>
      <c r="J13" s="2462">
        <f>J14+J15</f>
        <v>257326</v>
      </c>
      <c r="K13" s="2462"/>
    </row>
    <row r="14" spans="1:11" ht="16.5">
      <c r="A14" s="2304" t="s">
        <v>3423</v>
      </c>
      <c r="B14" s="2305">
        <f>结果表!B118</f>
        <v>66017.299999999916</v>
      </c>
      <c r="C14" s="2305">
        <f>结果表!C118</f>
        <v>20242.14</v>
      </c>
      <c r="D14" s="2305">
        <f ca="1">结果表!H101</f>
        <v>123578</v>
      </c>
      <c r="E14" s="2305">
        <f ca="1">ROUND(D14*10000/B14,0)</f>
        <v>18719</v>
      </c>
      <c r="F14" s="2305">
        <f ca="1">ROUND(D14*10000/C14,0)</f>
        <v>61050</v>
      </c>
      <c r="G14" s="2305">
        <f ca="1">结果表!H107</f>
        <v>123578</v>
      </c>
      <c r="H14" s="2305"/>
      <c r="I14" s="2305"/>
      <c r="J14" s="2462">
        <v>125772</v>
      </c>
      <c r="K14" s="2462"/>
    </row>
    <row r="15" spans="1:11" ht="16.5">
      <c r="A15" s="2304" t="s">
        <v>4295</v>
      </c>
      <c r="B15" s="2306">
        <f>[4]系统读取表!$B$14</f>
        <v>68049.77999999997</v>
      </c>
      <c r="C15" s="2306">
        <f>[4]系统读取表!$C$14</f>
        <v>15742.02</v>
      </c>
      <c r="D15" s="2306">
        <f ca="1">[4]系统读取表!$D$14</f>
        <v>127561</v>
      </c>
      <c r="E15" s="2305">
        <f t="shared" ref="E15:E23" ca="1" si="0">ROUND(D15*10000/B15,0)</f>
        <v>18745</v>
      </c>
      <c r="F15" s="2305">
        <f t="shared" ref="F15:F23" ca="1" si="1">ROUND(D15*10000/C15,0)</f>
        <v>81032</v>
      </c>
      <c r="G15" s="1243">
        <f ca="1">[4]系统读取表!$G$14</f>
        <v>127561</v>
      </c>
      <c r="H15" s="1243"/>
      <c r="I15" s="2306"/>
      <c r="J15" s="2462">
        <v>131554</v>
      </c>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5"/>
  <sheetViews>
    <sheetView workbookViewId="0">
      <selection activeCell="B5" sqref="B5"/>
    </sheetView>
  </sheetViews>
  <sheetFormatPr defaultRowHeight="13.5"/>
  <cols>
    <col min="1" max="1" width="35" style="3155" bestFit="1" customWidth="1"/>
    <col min="2" max="2" width="15.25" style="3155" bestFit="1" customWidth="1"/>
    <col min="3" max="3" width="15.875" style="3155" customWidth="1"/>
    <col min="4" max="4" width="27.625" style="3155" bestFit="1" customWidth="1"/>
    <col min="5" max="5" width="12.75" style="3155" bestFit="1" customWidth="1"/>
    <col min="6" max="6" width="15.125" style="3155" bestFit="1" customWidth="1"/>
    <col min="7" max="7" width="9" style="3155"/>
    <col min="8" max="8" width="13.375" style="3155" customWidth="1"/>
    <col min="9" max="9" width="12" style="3155" customWidth="1"/>
    <col min="10" max="16384" width="9" style="3155"/>
  </cols>
  <sheetData>
    <row r="2" spans="1:15">
      <c r="A2" s="3149" t="s">
        <v>4278</v>
      </c>
      <c r="B2" s="3149" t="s">
        <v>4279</v>
      </c>
      <c r="C2" s="3149" t="s">
        <v>4280</v>
      </c>
      <c r="D2" s="3149" t="s">
        <v>4281</v>
      </c>
      <c r="E2" s="3149"/>
      <c r="F2" s="3149" t="s">
        <v>4282</v>
      </c>
      <c r="G2" s="3149"/>
      <c r="H2" s="3149" t="s">
        <v>4283</v>
      </c>
      <c r="I2" s="3149"/>
    </row>
    <row r="3" spans="1:15">
      <c r="A3" s="3149"/>
      <c r="B3" s="3149"/>
      <c r="C3" s="3149"/>
      <c r="D3" s="3149" t="s">
        <v>4284</v>
      </c>
      <c r="E3" s="3149" t="s">
        <v>4285</v>
      </c>
      <c r="F3" s="3149" t="s">
        <v>4284</v>
      </c>
      <c r="G3" s="3149" t="s">
        <v>4285</v>
      </c>
      <c r="H3" s="3149" t="s">
        <v>4284</v>
      </c>
      <c r="I3" s="3149" t="s">
        <v>4285</v>
      </c>
    </row>
    <row r="4" spans="1:15">
      <c r="A4" s="3149" t="s">
        <v>4378</v>
      </c>
      <c r="B4" s="3149">
        <f>结果表!B118</f>
        <v>66017.299999999916</v>
      </c>
      <c r="C4" s="3149">
        <f>结果表!C118</f>
        <v>20242.14</v>
      </c>
      <c r="D4" s="3149">
        <f ca="1">结果表!D118</f>
        <v>79461</v>
      </c>
      <c r="E4" s="3149">
        <f ca="1">结果表!E118</f>
        <v>12036</v>
      </c>
      <c r="F4" s="3149">
        <f ca="1">结果表!F118</f>
        <v>44117</v>
      </c>
      <c r="G4" s="3149">
        <f ca="1">结果表!G118</f>
        <v>6683</v>
      </c>
      <c r="H4" s="3149">
        <f ca="1">结果表!H118</f>
        <v>123578</v>
      </c>
      <c r="I4" s="3149">
        <f ca="1">结果表!I118</f>
        <v>18719</v>
      </c>
      <c r="M4" s="3155" t="s">
        <v>4286</v>
      </c>
      <c r="N4" s="3155" t="s">
        <v>4287</v>
      </c>
      <c r="O4" s="3155" t="s">
        <v>4288</v>
      </c>
    </row>
    <row r="5" spans="1:15" s="3173" customFormat="1">
      <c r="A5" s="3172" t="s">
        <v>4379</v>
      </c>
      <c r="B5" s="3172">
        <f>[4]结果表!$B$118</f>
        <v>68049.77999999997</v>
      </c>
      <c r="C5" s="3172">
        <f>[4]结果表!$C$118</f>
        <v>15742.02</v>
      </c>
      <c r="D5" s="3172">
        <f ca="1">[4]结果表!$D$118</f>
        <v>82149</v>
      </c>
      <c r="E5" s="3172">
        <f ca="1">[4]结果表!$E$118</f>
        <v>12072</v>
      </c>
      <c r="F5" s="3172">
        <f ca="1">[4]结果表!$F$118</f>
        <v>45412</v>
      </c>
      <c r="G5" s="3172">
        <f ca="1">[4]结果表!$G$118</f>
        <v>6673</v>
      </c>
      <c r="H5" s="3172">
        <f ca="1">[4]结果表!$H$118</f>
        <v>127561</v>
      </c>
      <c r="I5" s="3172">
        <f ca="1">[4]结果表!$I$118</f>
        <v>18745</v>
      </c>
      <c r="L5" s="3173" t="s">
        <v>4289</v>
      </c>
      <c r="M5" s="3173">
        <f>'[2]数据-基础表'!I13</f>
        <v>42863.29</v>
      </c>
      <c r="N5" s="3173">
        <f>'[2]数据-基础表'!K13</f>
        <v>7514.68</v>
      </c>
      <c r="O5" s="3173">
        <f>M5+N5</f>
        <v>50377.97</v>
      </c>
    </row>
    <row r="6" spans="1:15" s="3175" customFormat="1">
      <c r="A6" s="3174"/>
      <c r="B6" s="3174">
        <f>SUM(B4:B5)</f>
        <v>134067.0799999999</v>
      </c>
      <c r="C6" s="3174">
        <f>SUM(C4:C5)</f>
        <v>35984.160000000003</v>
      </c>
      <c r="D6" s="3174">
        <f ca="1">D4+D5</f>
        <v>161610</v>
      </c>
      <c r="E6" s="3174">
        <f ca="1">I6-G6</f>
        <v>12054</v>
      </c>
      <c r="F6" s="3174">
        <f ca="1">F5+F4</f>
        <v>89529</v>
      </c>
      <c r="G6" s="3174">
        <f ca="1">ROUND(F6/B6*10000,0)</f>
        <v>6678</v>
      </c>
      <c r="H6" s="3174">
        <f ca="1">H4+H5</f>
        <v>251139</v>
      </c>
      <c r="I6" s="3174">
        <f ca="1">ROUND(H6/B6*10000,0)</f>
        <v>18732</v>
      </c>
      <c r="L6" s="3175" t="s">
        <v>4290</v>
      </c>
      <c r="M6" s="3175">
        <v>0</v>
      </c>
      <c r="N6" s="3175">
        <f>'[2]数据-基础表'!M13</f>
        <v>15639.33</v>
      </c>
      <c r="O6" s="3175">
        <f>M6+N6</f>
        <v>15639.33</v>
      </c>
    </row>
    <row r="7" spans="1:15">
      <c r="A7" s="3149"/>
      <c r="B7" s="3149"/>
      <c r="C7" s="3149"/>
      <c r="D7" s="3303">
        <f ca="1">D6*10000</f>
        <v>1616100000</v>
      </c>
      <c r="E7" s="3303"/>
      <c r="F7" s="3303">
        <f t="shared" ref="F7" ca="1" si="0">F6*10000</f>
        <v>895290000</v>
      </c>
      <c r="G7" s="3303"/>
      <c r="H7" s="3303">
        <f t="shared" ref="H7" ca="1" si="1">H6*10000</f>
        <v>2511390000</v>
      </c>
      <c r="I7" s="3303"/>
      <c r="L7" s="3155" t="s">
        <v>4288</v>
      </c>
      <c r="M7" s="3155">
        <f>SUM(M5:M6)</f>
        <v>42863.29</v>
      </c>
      <c r="N7" s="3155">
        <f>SUM(N5:N6)</f>
        <v>23154.010000000002</v>
      </c>
      <c r="O7" s="3155">
        <f>M7+N7</f>
        <v>66017.3</v>
      </c>
    </row>
    <row r="11" spans="1:15">
      <c r="A11" s="3155" t="s">
        <v>4291</v>
      </c>
      <c r="B11" s="3155" t="s">
        <v>4279</v>
      </c>
      <c r="C11" s="3155" t="s">
        <v>4292</v>
      </c>
      <c r="D11" s="3155" t="s">
        <v>4293</v>
      </c>
    </row>
    <row r="12" spans="1:15">
      <c r="A12" s="3155" t="s">
        <v>4380</v>
      </c>
      <c r="B12" s="3155">
        <f>'数据-汇总表'!F27</f>
        <v>42863.29</v>
      </c>
      <c r="C12" s="3155">
        <f ca="1">E12</f>
        <v>105051</v>
      </c>
      <c r="D12" s="3155">
        <f ca="1">ROUND(C12/B12*10000,0)</f>
        <v>24508</v>
      </c>
      <c r="E12" s="3155">
        <f ca="1">ROUND('土地比较法-住宅、综合'!F56/'土地比较法-住宅、综合'!F65*D4+G4*B12/10000,0)</f>
        <v>105051</v>
      </c>
    </row>
    <row r="13" spans="1:15">
      <c r="A13" s="3155" t="s">
        <v>4381</v>
      </c>
      <c r="B13" s="3155">
        <f>'数据-汇总表'!G27</f>
        <v>23154.009999999915</v>
      </c>
      <c r="C13" s="3155">
        <f ca="1">H4-C12</f>
        <v>18527</v>
      </c>
      <c r="D13" s="3155">
        <f ca="1">ROUND(C13/B13*10000,0)</f>
        <v>8002</v>
      </c>
    </row>
    <row r="14" spans="1:15">
      <c r="A14" s="3155" t="s">
        <v>4382</v>
      </c>
      <c r="B14" s="3155">
        <f>'[4]数据-汇总表'!$F$27</f>
        <v>44140.36</v>
      </c>
      <c r="C14" s="3155">
        <f ca="1">E14</f>
        <v>108086</v>
      </c>
      <c r="D14" s="3155">
        <f ca="1">ROUND(C14/B14*10000,0)</f>
        <v>24487</v>
      </c>
      <c r="E14" s="3176">
        <f ca="1">ROUND([4]成本法!$K$20/[4]成本法!$K$23*拆分结果!D5+G5*B14/10000,0)</f>
        <v>108086</v>
      </c>
    </row>
    <row r="15" spans="1:15">
      <c r="A15" s="3155" t="s">
        <v>4383</v>
      </c>
      <c r="B15" s="3155">
        <f>'[4]数据-汇总表'!$G$27</f>
        <v>23909.419999999969</v>
      </c>
      <c r="C15" s="3155">
        <f ca="1">H5-C14</f>
        <v>19475</v>
      </c>
      <c r="D15" s="3155">
        <f ca="1">ROUND(C15/B15*10000,0)</f>
        <v>8145</v>
      </c>
    </row>
    <row r="16" spans="1:15">
      <c r="B16" s="3155">
        <f>SUM(B12:B15)</f>
        <v>134067.0799999999</v>
      </c>
      <c r="C16" s="3155">
        <f ca="1">SUM(C12:C15)</f>
        <v>251139</v>
      </c>
    </row>
    <row r="18" spans="1:9">
      <c r="A18" s="3149"/>
      <c r="B18" s="3149"/>
      <c r="C18" s="3149"/>
      <c r="D18" s="3149" t="s">
        <v>4281</v>
      </c>
      <c r="E18" s="3149"/>
      <c r="F18" s="3149" t="s">
        <v>4282</v>
      </c>
      <c r="G18" s="3149"/>
      <c r="H18" s="3149" t="s">
        <v>4283</v>
      </c>
      <c r="I18" s="3149"/>
    </row>
    <row r="19" spans="1:9">
      <c r="A19" s="3149"/>
      <c r="B19" s="3149" t="s">
        <v>4279</v>
      </c>
      <c r="C19" s="3149" t="s">
        <v>4280</v>
      </c>
      <c r="D19" s="3149" t="s">
        <v>4284</v>
      </c>
      <c r="E19" s="3149" t="s">
        <v>4285</v>
      </c>
      <c r="F19" s="3149" t="s">
        <v>4284</v>
      </c>
      <c r="G19" s="3149" t="s">
        <v>4285</v>
      </c>
      <c r="H19" s="3149" t="s">
        <v>4284</v>
      </c>
      <c r="I19" s="3149" t="s">
        <v>4285</v>
      </c>
    </row>
    <row r="20" spans="1:9">
      <c r="A20" s="3177" t="s">
        <v>4384</v>
      </c>
      <c r="B20" s="3149">
        <f>B12</f>
        <v>42863.29</v>
      </c>
      <c r="C20" s="3149">
        <f>分摊土地!E3</f>
        <v>13142.83</v>
      </c>
      <c r="D20" s="3149">
        <f ca="1">ROUND('土地比较法-住宅、综合'!F56/'土地比较法-住宅、综合'!F65*拆分结果!D4,0)</f>
        <v>76406</v>
      </c>
      <c r="E20" s="3149">
        <f ca="1">ROUND(D20/B20*10000,0)</f>
        <v>17826</v>
      </c>
      <c r="F20" s="3149">
        <f ca="1">ROUND(G20*B20/10000,0)</f>
        <v>28646</v>
      </c>
      <c r="G20" s="3149">
        <f ca="1">G4</f>
        <v>6683</v>
      </c>
      <c r="H20" s="3149">
        <f ca="1">D20+F20</f>
        <v>105052</v>
      </c>
      <c r="I20" s="3149">
        <f ca="1">E20+G20</f>
        <v>24509</v>
      </c>
    </row>
    <row r="21" spans="1:9">
      <c r="A21" s="3177" t="s">
        <v>4385</v>
      </c>
      <c r="B21" s="3149">
        <f>B13</f>
        <v>23154.009999999915</v>
      </c>
      <c r="C21" s="3149">
        <f>C4-C20</f>
        <v>7099.3099999999995</v>
      </c>
      <c r="D21" s="3149">
        <f ca="1">D4-D20</f>
        <v>3055</v>
      </c>
      <c r="E21" s="3149">
        <f ca="1">ROUND(D21/B21*10000,0)</f>
        <v>1319</v>
      </c>
      <c r="F21" s="3149">
        <f ca="1">F4-F20</f>
        <v>15471</v>
      </c>
      <c r="G21" s="3149">
        <f ca="1">G20</f>
        <v>6683</v>
      </c>
      <c r="H21" s="3149">
        <f ca="1">H4-H20</f>
        <v>18526</v>
      </c>
      <c r="I21" s="3149">
        <f ca="1">E21+G21</f>
        <v>8002</v>
      </c>
    </row>
    <row r="22" spans="1:9">
      <c r="A22" s="3177" t="s">
        <v>4386</v>
      </c>
      <c r="B22" s="3149">
        <f>B14</f>
        <v>44140.36</v>
      </c>
      <c r="C22" s="3149">
        <f>分摊土地!M3</f>
        <v>10210.65</v>
      </c>
      <c r="D22" s="3149">
        <f ca="1">ROUND([4]成本法!$K$20/[4]成本法!$K$23*D5,0)</f>
        <v>78632</v>
      </c>
      <c r="E22" s="3149">
        <f ca="1">ROUND(D22/B22*10000,0)</f>
        <v>17814</v>
      </c>
      <c r="F22" s="3149">
        <f ca="1">ROUND(G22*B22/10000,0)</f>
        <v>29455</v>
      </c>
      <c r="G22" s="3149">
        <f ca="1">G5</f>
        <v>6673</v>
      </c>
      <c r="H22" s="3149">
        <f ca="1">D22+F22</f>
        <v>108087</v>
      </c>
      <c r="I22" s="3149">
        <f ca="1">E22+G22</f>
        <v>24487</v>
      </c>
    </row>
    <row r="23" spans="1:9">
      <c r="A23" s="3177" t="s">
        <v>4387</v>
      </c>
      <c r="B23" s="3149">
        <f>B15</f>
        <v>23909.419999999969</v>
      </c>
      <c r="C23" s="3149">
        <f>C5-C22</f>
        <v>5531.3700000000008</v>
      </c>
      <c r="D23" s="3149">
        <f ca="1">D5-D22</f>
        <v>3517</v>
      </c>
      <c r="E23" s="3149">
        <f ca="1">ROUND(D23/B23*10000,0)</f>
        <v>1471</v>
      </c>
      <c r="F23" s="3149">
        <f ca="1">F5-F22</f>
        <v>15957</v>
      </c>
      <c r="G23" s="3149">
        <f ca="1">G22</f>
        <v>6673</v>
      </c>
      <c r="H23" s="3149">
        <f ca="1">H5-H22</f>
        <v>19474</v>
      </c>
      <c r="I23" s="3149">
        <f ca="1">E23+G23</f>
        <v>8144</v>
      </c>
    </row>
    <row r="24" spans="1:9" s="3175" customFormat="1">
      <c r="A24" s="3174"/>
      <c r="B24" s="3174">
        <f>SUM(B20:B23)</f>
        <v>134067.0799999999</v>
      </c>
      <c r="C24" s="3174">
        <f>SUM(C20:C23)</f>
        <v>35984.160000000003</v>
      </c>
      <c r="D24" s="3311">
        <f ca="1">D20+D21+D22+D23</f>
        <v>161610</v>
      </c>
      <c r="E24" s="3311"/>
      <c r="F24" s="3311">
        <f ca="1">F20+F21+F22+F23</f>
        <v>89529</v>
      </c>
      <c r="G24" s="3311"/>
      <c r="H24" s="3311">
        <f ca="1">SUM(H20:H23)</f>
        <v>251139</v>
      </c>
      <c r="I24" s="3311"/>
    </row>
    <row r="25" spans="1:9">
      <c r="A25" s="3178"/>
      <c r="B25" s="3149"/>
      <c r="C25" s="3149"/>
      <c r="D25" s="3303">
        <f ca="1">D24*10000</f>
        <v>1616100000</v>
      </c>
      <c r="E25" s="3303"/>
      <c r="F25" s="3303">
        <f ca="1">F24*10000</f>
        <v>895290000</v>
      </c>
      <c r="G25" s="3303"/>
      <c r="H25" s="3303">
        <f ca="1">H24*10000</f>
        <v>2511390000</v>
      </c>
      <c r="I25" s="3303"/>
    </row>
  </sheetData>
  <mergeCells count="9">
    <mergeCell ref="D25:E25"/>
    <mergeCell ref="F25:G25"/>
    <mergeCell ref="H25:I25"/>
    <mergeCell ref="D7:E7"/>
    <mergeCell ref="F7:G7"/>
    <mergeCell ref="H7:I7"/>
    <mergeCell ref="D24:E24"/>
    <mergeCell ref="F24:G24"/>
    <mergeCell ref="H24:I24"/>
  </mergeCells>
  <phoneticPr fontId="134"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1260</v>
      </c>
      <c r="B1" s="646"/>
      <c r="C1" s="1619"/>
      <c r="D1" s="646"/>
      <c r="E1" s="646"/>
      <c r="F1" s="1620" t="s">
        <v>1261</v>
      </c>
      <c r="G1" s="1452"/>
      <c r="H1" s="1620" t="str">
        <f>IF(G1="现房","——","估价对象范围")</f>
        <v>估价对象范围</v>
      </c>
      <c r="I1" s="1621"/>
    </row>
    <row r="2" spans="1:12" ht="21.75" customHeight="1" thickBot="1">
      <c r="A2" s="3379" t="str">
        <f>项目基本情况!S2</f>
        <v>北京市房地产</v>
      </c>
      <c r="B2" s="3380"/>
      <c r="C2" s="3380"/>
      <c r="D2" s="3380"/>
      <c r="E2" s="3380"/>
      <c r="F2" s="3380"/>
      <c r="G2" s="3380"/>
      <c r="H2" s="3380"/>
      <c r="I2" s="3381"/>
    </row>
    <row r="3" spans="1:12" ht="12.75">
      <c r="A3" s="3383" t="s">
        <v>1262</v>
      </c>
      <c r="B3" s="3384"/>
      <c r="C3" s="3384"/>
      <c r="D3" s="3384"/>
      <c r="E3" s="3384"/>
      <c r="F3" s="3384"/>
      <c r="G3" s="3384"/>
      <c r="H3" s="3384"/>
      <c r="I3" s="3384"/>
    </row>
    <row r="4" spans="1:12" ht="14.25">
      <c r="A4" s="1623" t="s">
        <v>1263</v>
      </c>
      <c r="B4" s="1624" t="s">
        <v>1264</v>
      </c>
      <c r="C4" s="1625" t="s">
        <v>4370</v>
      </c>
      <c r="D4" s="1625" t="s">
        <v>4335</v>
      </c>
      <c r="E4" s="3388" t="s">
        <v>1265</v>
      </c>
      <c r="F4" s="3389"/>
      <c r="G4" s="3389"/>
      <c r="H4" s="3389"/>
      <c r="I4" s="339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27" t="s">
        <v>1266</v>
      </c>
      <c r="B5" s="3382">
        <v>25</v>
      </c>
      <c r="C5" s="3385"/>
      <c r="D5" s="3373"/>
      <c r="E5" s="123" t="s">
        <v>1267</v>
      </c>
      <c r="F5" s="1626"/>
      <c r="G5" s="1626"/>
      <c r="H5" s="1626"/>
      <c r="I5" s="1280"/>
    </row>
    <row r="6" spans="1:12" ht="12.75">
      <c r="A6" s="3327"/>
      <c r="B6" s="3382"/>
      <c r="C6" s="3387"/>
      <c r="D6" s="3373"/>
      <c r="E6" s="123" t="s">
        <v>1268</v>
      </c>
      <c r="F6" s="1626"/>
      <c r="G6" s="1626"/>
      <c r="H6" s="1626"/>
      <c r="I6" s="1280"/>
    </row>
    <row r="7" spans="1:12" ht="12.75">
      <c r="A7" s="3327"/>
      <c r="B7" s="3382"/>
      <c r="C7" s="3386"/>
      <c r="D7" s="3373"/>
      <c r="E7" s="123" t="s">
        <v>1269</v>
      </c>
      <c r="F7" s="1626"/>
      <c r="G7" s="1626"/>
      <c r="H7" s="1626"/>
      <c r="I7" s="1280"/>
    </row>
    <row r="8" spans="1:12" ht="12.75">
      <c r="A8" s="3327" t="s">
        <v>1270</v>
      </c>
      <c r="B8" s="3382">
        <v>15</v>
      </c>
      <c r="C8" s="3385"/>
      <c r="D8" s="3373"/>
      <c r="E8" s="123" t="s">
        <v>1271</v>
      </c>
      <c r="F8" s="1626"/>
      <c r="G8" s="1626"/>
      <c r="H8" s="1626"/>
      <c r="I8" s="1280"/>
    </row>
    <row r="9" spans="1:12" ht="12.75">
      <c r="A9" s="3327"/>
      <c r="B9" s="3382"/>
      <c r="C9" s="3386"/>
      <c r="D9" s="3373"/>
      <c r="E9" s="123" t="s">
        <v>1272</v>
      </c>
      <c r="F9" s="1626"/>
      <c r="G9" s="1626"/>
      <c r="H9" s="1626"/>
      <c r="I9" s="1280"/>
    </row>
    <row r="10" spans="1:12" ht="12.75">
      <c r="A10" s="3327" t="s">
        <v>1273</v>
      </c>
      <c r="B10" s="3382">
        <v>15</v>
      </c>
      <c r="C10" s="3385"/>
      <c r="D10" s="3373"/>
      <c r="E10" s="123" t="s">
        <v>1274</v>
      </c>
      <c r="F10" s="1626"/>
      <c r="G10" s="1626"/>
      <c r="H10" s="1626"/>
      <c r="I10" s="1280"/>
    </row>
    <row r="11" spans="1:12" ht="12.75">
      <c r="A11" s="3327"/>
      <c r="B11" s="3382"/>
      <c r="C11" s="3386"/>
      <c r="D11" s="3373"/>
      <c r="E11" s="123" t="s">
        <v>1275</v>
      </c>
      <c r="F11" s="1626"/>
      <c r="G11" s="1626"/>
      <c r="H11" s="1626"/>
      <c r="I11" s="1280"/>
    </row>
    <row r="12" spans="1:12" ht="12.75">
      <c r="A12" s="3327" t="s">
        <v>1276</v>
      </c>
      <c r="B12" s="3382">
        <v>15</v>
      </c>
      <c r="C12" s="3385"/>
      <c r="D12" s="3373"/>
      <c r="E12" s="123" t="s">
        <v>1277</v>
      </c>
      <c r="F12" s="1626"/>
      <c r="G12" s="1626"/>
      <c r="H12" s="1626"/>
      <c r="I12" s="1280"/>
    </row>
    <row r="13" spans="1:12" ht="12.75">
      <c r="A13" s="3327"/>
      <c r="B13" s="3382"/>
      <c r="C13" s="3386"/>
      <c r="D13" s="3373"/>
      <c r="E13" s="123" t="s">
        <v>1278</v>
      </c>
      <c r="F13" s="1626"/>
      <c r="G13" s="1626"/>
      <c r="H13" s="1626"/>
      <c r="I13" s="1280"/>
    </row>
    <row r="14" spans="1:12" ht="12.75">
      <c r="A14" s="3327" t="s">
        <v>1279</v>
      </c>
      <c r="B14" s="3382">
        <v>30</v>
      </c>
      <c r="C14" s="3385">
        <v>5</v>
      </c>
      <c r="D14" s="3373">
        <v>5</v>
      </c>
      <c r="E14" s="123" t="s">
        <v>1280</v>
      </c>
      <c r="F14" s="1626"/>
      <c r="G14" s="1626"/>
      <c r="H14" s="1626"/>
      <c r="I14" s="1280"/>
    </row>
    <row r="15" spans="1:12" ht="12.75">
      <c r="A15" s="3327"/>
      <c r="B15" s="3382"/>
      <c r="C15" s="3387"/>
      <c r="D15" s="3373"/>
      <c r="E15" s="123" t="s">
        <v>1281</v>
      </c>
      <c r="F15" s="1626"/>
      <c r="G15" s="1626"/>
      <c r="H15" s="1626"/>
      <c r="I15" s="1280"/>
    </row>
    <row r="16" spans="1:12" ht="12.75">
      <c r="A16" s="3327"/>
      <c r="B16" s="3382"/>
      <c r="C16" s="3386"/>
      <c r="D16" s="3373"/>
      <c r="E16" s="123" t="s">
        <v>1282</v>
      </c>
      <c r="F16" s="1626"/>
      <c r="G16" s="1626"/>
      <c r="H16" s="1626"/>
      <c r="I16" s="1280"/>
    </row>
    <row r="17" spans="1:36" ht="15">
      <c r="A17" s="1627" t="s">
        <v>1283</v>
      </c>
      <c r="B17" s="54"/>
      <c r="C17" s="124">
        <f>SUM(C5:C16)</f>
        <v>5</v>
      </c>
      <c r="D17" s="124">
        <f>SUM(D5:D16)</f>
        <v>5</v>
      </c>
      <c r="E17" s="121"/>
      <c r="F17" s="121"/>
      <c r="G17" s="121"/>
      <c r="H17" s="121"/>
      <c r="I17" s="121"/>
      <c r="K17" s="294"/>
      <c r="L17" s="294" t="s">
        <v>1284</v>
      </c>
      <c r="M17" s="294" t="s">
        <v>1285</v>
      </c>
    </row>
    <row r="18" spans="1:36" ht="31.9" customHeight="1" thickBot="1">
      <c r="A18" s="1628" t="s">
        <v>1286</v>
      </c>
      <c r="B18" s="1541"/>
      <c r="C18" s="125">
        <f>ROUND(C17/SUM(C17:D17),2)</f>
        <v>0.5</v>
      </c>
      <c r="D18" s="125">
        <f>1-C18</f>
        <v>0.5</v>
      </c>
      <c r="E18" s="3404" t="s">
        <v>2125</v>
      </c>
      <c r="F18" s="3405"/>
      <c r="G18" s="3405"/>
      <c r="H18" s="3405"/>
      <c r="I18" s="3405"/>
      <c r="J18" s="684">
        <v>2023.12</v>
      </c>
      <c r="K18" s="294" t="s">
        <v>1287</v>
      </c>
      <c r="L18" s="294">
        <f>IF(C1="",'数据-汇总表'!E3,SUMIF(项目类型,C1,'数据-汇总表'!E17:E26)+SUMIF(项目类型,C1,'数据-汇总表'!I17:I26))</f>
        <v>66017.299999999916</v>
      </c>
      <c r="M18" s="294">
        <f>IF(C1="",'数据-汇总表'!E3,SUMIF(项目类型,C1,'数据-汇总表'!E17:E26))</f>
        <v>66017.299999999916</v>
      </c>
    </row>
    <row r="19" spans="1:36" ht="15">
      <c r="A19" s="1629" t="s">
        <v>1288</v>
      </c>
      <c r="B19" s="1630" t="s">
        <v>1289</v>
      </c>
      <c r="C19" s="126">
        <f ca="1">SUMIF(INDIRECT("'"&amp;C4&amp;"'"&amp;"!A:A"),结果表!B19,INDIRECT("'"&amp;C4&amp;"'"&amp;"!B:B"))</f>
        <v>150270</v>
      </c>
      <c r="D19" s="127">
        <f ca="1">SUMIF(INDIRECT("'"&amp;D4&amp;"'"&amp;"!A:A"),结果表!B19,INDIRECT("'"&amp;D4&amp;"'"&amp;"!B:B"))</f>
        <v>96885</v>
      </c>
      <c r="E19" s="1629" t="s">
        <v>1290</v>
      </c>
      <c r="F19" s="1630" t="s">
        <v>1289</v>
      </c>
      <c r="G19" s="128">
        <f ca="1">ROUND(C19*$C$18+D19*$D$18,0)</f>
        <v>123578</v>
      </c>
      <c r="H19" s="1631" t="s">
        <v>1291</v>
      </c>
      <c r="I19" s="121"/>
      <c r="J19" s="684">
        <v>125772</v>
      </c>
      <c r="K19" s="294" t="s">
        <v>1292</v>
      </c>
      <c r="L19" s="294">
        <f>IF(C1="",'数据-汇总表'!D3,SUMIF(项目类型,C1,'数据-汇总表'!D17:D26)+SUMIF(项目类型,C1,'数据-汇总表'!H17:H27))</f>
        <v>20242.14</v>
      </c>
      <c r="M19" s="294">
        <f>IF(C1="",'数据-汇总表'!D3,SUMIF(项目类型,C1,'数据-汇总表'!D17:D26))</f>
        <v>20242.14</v>
      </c>
    </row>
    <row r="20" spans="1:36" ht="15">
      <c r="A20" s="1632"/>
      <c r="B20" s="43" t="s">
        <v>1293</v>
      </c>
      <c r="C20" s="129">
        <f ca="1">SUMIF(INDIRECT("'"&amp;C4&amp;"'"&amp;"!A:A"),结果表!B20,INDIRECT("'"&amp;C4&amp;"'"&amp;"!B:B"))</f>
        <v>22762</v>
      </c>
      <c r="D20" s="130">
        <f ca="1">SUMIF(INDIRECT("'"&amp;D4&amp;"'"&amp;"!A:A"),结果表!B20,INDIRECT("'"&amp;D4&amp;"'"&amp;"!B:B"))</f>
        <v>14676</v>
      </c>
      <c r="E20" s="1632"/>
      <c r="F20" s="43" t="s">
        <v>1293</v>
      </c>
      <c r="G20" s="131">
        <f ca="1">ROUND(C20*$C$18+D20*$D$18,0)</f>
        <v>18719</v>
      </c>
      <c r="H20" s="760" t="s">
        <v>1294</v>
      </c>
      <c r="I20" s="121"/>
      <c r="J20" s="684">
        <v>19052</v>
      </c>
    </row>
    <row r="21" spans="1:36" ht="15" customHeight="1" thickBot="1">
      <c r="A21" s="449"/>
      <c r="B21" s="93" t="s">
        <v>1295</v>
      </c>
      <c r="C21" s="678">
        <f ca="1">ROUND(C19*10000/L19,0)</f>
        <v>74236</v>
      </c>
      <c r="D21" s="679">
        <f ca="1">ROUND(D19*10000/L19,0)</f>
        <v>47863</v>
      </c>
      <c r="E21" s="449"/>
      <c r="F21" s="93" t="s">
        <v>1295</v>
      </c>
      <c r="G21" s="132">
        <f ca="1">ROUND(G19*10000/L19,0)</f>
        <v>61050</v>
      </c>
      <c r="H21" s="1633" t="s">
        <v>1294</v>
      </c>
      <c r="I21" s="121"/>
      <c r="J21" s="684">
        <v>62134</v>
      </c>
    </row>
    <row r="22" spans="1:36" ht="15" thickBot="1">
      <c r="A22" s="1563" t="s">
        <v>1296</v>
      </c>
      <c r="B22" s="1634"/>
      <c r="C22" s="1635"/>
      <c r="D22" s="680">
        <f ca="1">IF(C19&lt;D19,D19/C19-1,C19/D19-1)</f>
        <v>0.55101408886824577</v>
      </c>
      <c r="E22" s="121"/>
      <c r="F22" s="121"/>
      <c r="G22" s="121"/>
      <c r="H22" s="121"/>
      <c r="I22" s="121"/>
    </row>
    <row r="23" spans="1:36" ht="13.5" thickBot="1">
      <c r="A23" s="646"/>
      <c r="B23" s="646"/>
      <c r="C23" s="646"/>
      <c r="D23" s="646"/>
      <c r="E23" s="121"/>
      <c r="F23" s="121"/>
      <c r="G23" s="121"/>
      <c r="H23" s="121"/>
      <c r="I23" s="121"/>
    </row>
    <row r="24" spans="1:36" ht="14.25">
      <c r="A24" s="3397" t="s">
        <v>1297</v>
      </c>
      <c r="B24" s="1630" t="s">
        <v>1289</v>
      </c>
      <c r="C24" s="128">
        <f>IF(B30=0,0,D30)</f>
        <v>0</v>
      </c>
      <c r="D24" s="1636"/>
      <c r="E24" s="121"/>
      <c r="F24" s="121"/>
      <c r="G24" s="121"/>
      <c r="H24" s="121"/>
      <c r="I24" s="121"/>
    </row>
    <row r="25" spans="1:36" ht="14.25">
      <c r="A25" s="3398"/>
      <c r="B25" s="43" t="s">
        <v>1293</v>
      </c>
      <c r="C25" s="133">
        <f>IF(B30=0,0,C30)</f>
        <v>0</v>
      </c>
      <c r="D25" s="1637"/>
      <c r="E25" s="121"/>
      <c r="F25" s="121"/>
      <c r="G25" s="121"/>
      <c r="H25" s="121"/>
      <c r="I25" s="121"/>
    </row>
    <row r="26" spans="1:36" ht="13.5" customHeight="1">
      <c r="A26" s="1638" t="s">
        <v>1298</v>
      </c>
      <c r="B26" s="134" t="s">
        <v>1299</v>
      </c>
      <c r="C26" s="134" t="s">
        <v>1300</v>
      </c>
      <c r="D26" s="135" t="s">
        <v>1301</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1302</v>
      </c>
      <c r="B30" s="134"/>
      <c r="C30" s="134"/>
      <c r="D30" s="134"/>
      <c r="E30" s="2126" t="s">
        <v>2126</v>
      </c>
      <c r="F30" s="121"/>
      <c r="G30" s="121"/>
      <c r="H30" s="121"/>
      <c r="I30" s="121"/>
    </row>
    <row r="31" spans="1:36" s="2132" customFormat="1" ht="26.45" customHeight="1" thickTop="1" thickBot="1">
      <c r="A31" s="2127"/>
      <c r="B31" s="2128"/>
      <c r="C31" s="2128"/>
      <c r="D31" s="2128"/>
      <c r="E31" s="2128"/>
      <c r="F31" s="2128"/>
      <c r="G31" s="2128"/>
      <c r="H31" s="2128"/>
      <c r="I31" s="2129" t="s">
        <v>2127</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1303</v>
      </c>
      <c r="B32" s="1534"/>
      <c r="C32" s="136">
        <f ca="1">IF(D32="总价",G19-C24,G20-C25)</f>
        <v>123578</v>
      </c>
      <c r="D32" s="1640" t="s">
        <v>4368</v>
      </c>
      <c r="E32" s="121"/>
      <c r="F32" s="121"/>
      <c r="G32" s="121"/>
      <c r="H32" s="121"/>
      <c r="I32" s="121"/>
    </row>
    <row r="33" spans="1:15" ht="15">
      <c r="A33" s="740" t="s">
        <v>1304</v>
      </c>
      <c r="B33" s="123"/>
      <c r="C33" s="1641" t="s">
        <v>4369</v>
      </c>
      <c r="D33" s="1642" t="s">
        <v>4370</v>
      </c>
      <c r="E33" s="1643" t="s">
        <v>1305</v>
      </c>
      <c r="F33" s="1644" t="str">
        <f>IF(D32="楼面单价","取值（单价）","取值（总价）")</f>
        <v>取值（总价）</v>
      </c>
      <c r="G33" s="121"/>
      <c r="H33" s="121"/>
      <c r="I33" s="121"/>
    </row>
    <row r="34" spans="1:15" ht="15">
      <c r="A34" s="1645"/>
      <c r="B34" s="1646" t="s">
        <v>1306</v>
      </c>
      <c r="C34" s="140">
        <f ca="1">IF(C33="自定义",F34,C32-C35)</f>
        <v>79461</v>
      </c>
      <c r="D34" s="808">
        <f ca="1">IF(C33="自定义",ROUND(C34/C32,3),IF(C33="收益比率",SUMIF(INDIRECT("'"&amp;D33&amp;"'"&amp;"!b:b"),"土地收益比率",INDIRECT("'"&amp;D33&amp;"'"&amp;"!c:c")),SUMIF(INDIRECT("'"&amp;D33&amp;"'"&amp;"!b:b"),"土地成本比率",INDIRECT("'"&amp;D33&amp;"'"&amp;"!c:c"))))</f>
        <v>0.64300000000000002</v>
      </c>
      <c r="E34" s="1647" t="s">
        <v>1307</v>
      </c>
      <c r="F34" s="1242"/>
      <c r="G34" s="121"/>
      <c r="H34" s="121"/>
      <c r="I34" s="121"/>
    </row>
    <row r="35" spans="1:15" ht="15.75" thickBot="1">
      <c r="A35" s="1648"/>
      <c r="B35" s="1649" t="s">
        <v>1308</v>
      </c>
      <c r="C35" s="1090">
        <f ca="1">IF(C33="自定义",F35,ROUND(C32*D35,0))</f>
        <v>44117</v>
      </c>
      <c r="D35" s="1091">
        <f ca="1">IF(C33="自定义",ROUND(C35/C32,3),IF(C33="收益比率",SUMIF(INDIRECT("'"&amp;D33&amp;"'"&amp;"!b:b"),"建筑物收益比率",INDIRECT("'"&amp;D33&amp;"'"&amp;"!c:c")),SUMIF(INDIRECT("'"&amp;D33&amp;"'"&amp;"!b:b"),"建筑物成本比率",INDIRECT("'"&amp;D33&amp;"'"&amp;"!c:c"))))</f>
        <v>0.35699999999999998</v>
      </c>
      <c r="E35" s="1650" t="s">
        <v>1309</v>
      </c>
      <c r="F35" s="146"/>
      <c r="G35" s="121"/>
      <c r="H35" s="121"/>
      <c r="I35" s="121"/>
    </row>
    <row r="36" spans="1:15" ht="15.75" thickBot="1">
      <c r="A36" s="3374" t="s">
        <v>1310</v>
      </c>
      <c r="B36" s="1651" t="s">
        <v>1311</v>
      </c>
      <c r="C36" s="137"/>
      <c r="D36" s="1652"/>
      <c r="E36" s="1566"/>
      <c r="F36" s="1653"/>
      <c r="G36" s="121"/>
      <c r="H36" s="121"/>
      <c r="I36" s="121"/>
    </row>
    <row r="37" spans="1:15" ht="15.75" thickBot="1">
      <c r="A37" s="3375"/>
      <c r="B37" s="1554" t="s">
        <v>1312</v>
      </c>
      <c r="C37" s="139"/>
      <c r="D37" s="1071"/>
      <c r="E37" s="1071"/>
      <c r="F37" s="1653"/>
      <c r="G37" s="121"/>
      <c r="H37" s="121"/>
      <c r="I37" s="121"/>
    </row>
    <row r="38" spans="1:15" ht="15.75" thickBot="1">
      <c r="A38" s="3376"/>
      <c r="B38" s="1654" t="s">
        <v>1313</v>
      </c>
      <c r="C38" s="641"/>
      <c r="D38" s="1655" t="s">
        <v>1314</v>
      </c>
      <c r="E38" s="1071"/>
      <c r="F38" s="1653"/>
      <c r="G38" s="121"/>
      <c r="H38" s="121"/>
      <c r="I38" s="121"/>
    </row>
    <row r="39" spans="1:15" ht="15">
      <c r="A39" s="1632" t="s">
        <v>1315</v>
      </c>
      <c r="B39" s="1656" t="s">
        <v>1316</v>
      </c>
      <c r="C39" s="1657" t="s">
        <v>1317</v>
      </c>
      <c r="D39" s="1657" t="s">
        <v>1318</v>
      </c>
      <c r="E39" s="1658" t="s">
        <v>1319</v>
      </c>
      <c r="F39" s="1653"/>
      <c r="G39" s="121"/>
      <c r="H39" s="121"/>
      <c r="I39" s="121"/>
    </row>
    <row r="40" spans="1:15" ht="14.25">
      <c r="A40" s="1659" t="s">
        <v>1320</v>
      </c>
      <c r="B40" s="141"/>
      <c r="C40" s="142"/>
      <c r="D40" s="142"/>
      <c r="E40" s="143"/>
      <c r="F40" s="1653"/>
      <c r="G40" s="121"/>
      <c r="H40" s="121"/>
      <c r="I40" s="121"/>
    </row>
    <row r="41" spans="1:15" ht="14.25">
      <c r="A41" s="1659" t="s">
        <v>1321</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1322</v>
      </c>
      <c r="B44" s="1663"/>
      <c r="C44" s="1663"/>
      <c r="D44" s="1664"/>
      <c r="E44" s="1664"/>
      <c r="F44" s="1665"/>
      <c r="G44" s="1665"/>
      <c r="H44" s="1665"/>
      <c r="I44" s="1665"/>
      <c r="J44" s="1666" t="s">
        <v>1323</v>
      </c>
      <c r="K44" s="4"/>
      <c r="L44" s="4"/>
      <c r="M44" s="4"/>
      <c r="N44" s="4"/>
      <c r="O44" s="4"/>
    </row>
    <row r="45" spans="1:15" ht="14.25" customHeight="1" thickBot="1">
      <c r="A45" s="3394" t="s">
        <v>1324</v>
      </c>
      <c r="B45" s="3395"/>
      <c r="C45" s="3396"/>
      <c r="D45" s="147">
        <f ca="1">ROUND(H101*F45,0)</f>
        <v>123578</v>
      </c>
      <c r="E45" s="148" t="s">
        <v>1325</v>
      </c>
      <c r="F45" s="149">
        <v>1</v>
      </c>
      <c r="G45" s="150" t="s">
        <v>1326</v>
      </c>
      <c r="H45" s="121"/>
      <c r="I45" s="121"/>
      <c r="J45" s="3314" t="s">
        <v>1327</v>
      </c>
      <c r="K45" s="3314"/>
      <c r="L45" s="3314"/>
      <c r="M45" s="3314"/>
      <c r="N45" s="3314"/>
      <c r="O45" s="3314"/>
    </row>
    <row r="46" spans="1:15" ht="14.25" customHeight="1">
      <c r="A46" s="3391" t="s">
        <v>1328</v>
      </c>
      <c r="B46" s="3392"/>
      <c r="C46" s="3392"/>
      <c r="D46" s="3392"/>
      <c r="E46" s="3392"/>
      <c r="F46" s="3392"/>
      <c r="G46" s="3393"/>
      <c r="H46" s="1667"/>
      <c r="I46" s="151"/>
      <c r="J46" s="2309">
        <v>1</v>
      </c>
      <c r="K46" s="3315" t="s">
        <v>1329</v>
      </c>
      <c r="L46" s="3315"/>
      <c r="M46" s="3316"/>
      <c r="N46" s="3316"/>
      <c r="O46" s="3316"/>
    </row>
    <row r="47" spans="1:15" ht="12" customHeight="1">
      <c r="A47" s="152" t="s">
        <v>1330</v>
      </c>
      <c r="B47" s="153"/>
      <c r="C47" s="154"/>
      <c r="D47" s="1024" t="s">
        <v>1331</v>
      </c>
      <c r="E47" s="294" t="s">
        <v>1332</v>
      </c>
      <c r="F47" s="155" t="s">
        <v>1333</v>
      </c>
      <c r="G47" s="2332" t="s">
        <v>1334</v>
      </c>
      <c r="H47" s="2333"/>
      <c r="I47" s="151"/>
      <c r="J47" s="2309">
        <v>2</v>
      </c>
      <c r="K47" s="3315" t="s">
        <v>1335</v>
      </c>
      <c r="L47" s="3315"/>
      <c r="M47" s="3317">
        <f>'数据-取费表'!B2</f>
        <v>45604</v>
      </c>
      <c r="N47" s="3317"/>
      <c r="O47" s="3317"/>
    </row>
    <row r="48" spans="1:15" ht="25.5">
      <c r="A48" s="3377" t="s">
        <v>1336</v>
      </c>
      <c r="B48" s="3378"/>
      <c r="C48" s="337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1337</v>
      </c>
      <c r="H48" s="2336"/>
      <c r="I48" s="1667"/>
      <c r="J48" s="2309">
        <v>3</v>
      </c>
      <c r="K48" s="3315" t="s">
        <v>1338</v>
      </c>
      <c r="L48" s="3315"/>
      <c r="M48" s="3318">
        <f ca="1">H101</f>
        <v>123578</v>
      </c>
      <c r="N48" s="3318"/>
      <c r="O48" s="3318"/>
    </row>
    <row r="49" spans="1:35" ht="25.5" customHeight="1">
      <c r="A49" s="2151" t="s">
        <v>1339</v>
      </c>
      <c r="B49" s="3363" t="s">
        <v>1340</v>
      </c>
      <c r="C49" s="3363"/>
      <c r="D49" s="1477">
        <v>0</v>
      </c>
      <c r="E49" s="316" t="s">
        <v>1341</v>
      </c>
      <c r="F49" s="2232" t="s">
        <v>28</v>
      </c>
      <c r="G49" s="3346"/>
      <c r="H49" s="2133" t="s">
        <v>2128</v>
      </c>
      <c r="I49" s="2134"/>
      <c r="J49" s="2309">
        <v>4</v>
      </c>
      <c r="K49" s="3315" t="str">
        <f>IF(项目基本情况!E8="房地产抵押价值","房地产抵押价值","抵押担保权已注销时的房地产抵押价值")</f>
        <v>房地产抵押价值</v>
      </c>
      <c r="L49" s="3315"/>
      <c r="M49" s="3318">
        <f ca="1">IF(项目基本情况!E8="房地产抵押价值",H107,H109)</f>
        <v>123578</v>
      </c>
      <c r="N49" s="3318"/>
      <c r="O49" s="3318"/>
    </row>
    <row r="50" spans="1:35" ht="25.5" customHeight="1">
      <c r="A50" s="2337"/>
      <c r="B50" s="3363" t="s">
        <v>1342</v>
      </c>
      <c r="C50" s="3363"/>
      <c r="D50" s="2188"/>
      <c r="E50" s="323"/>
      <c r="F50" s="2232"/>
      <c r="G50" s="3347"/>
      <c r="H50" s="2135" t="s">
        <v>2129</v>
      </c>
      <c r="I50" s="2134"/>
      <c r="J50" s="3314" t="s">
        <v>1343</v>
      </c>
      <c r="K50" s="3314"/>
      <c r="L50" s="3314"/>
      <c r="M50" s="3314"/>
      <c r="N50" s="3314"/>
      <c r="O50" s="3314"/>
    </row>
    <row r="51" spans="1:35" ht="20.45" customHeight="1">
      <c r="A51" s="2338"/>
      <c r="B51" s="3363" t="s">
        <v>1344</v>
      </c>
      <c r="C51" s="3363"/>
      <c r="D51" s="1024"/>
      <c r="E51" s="319"/>
      <c r="F51" s="2232"/>
      <c r="G51" s="3348"/>
      <c r="H51" s="2135" t="s">
        <v>2130</v>
      </c>
      <c r="I51" s="2134"/>
      <c r="J51" s="2310" t="s">
        <v>1345</v>
      </c>
      <c r="K51" s="3315" t="s">
        <v>1346</v>
      </c>
      <c r="L51" s="3315"/>
      <c r="M51" s="2310" t="s">
        <v>1347</v>
      </c>
      <c r="N51" s="2310" t="s">
        <v>1348</v>
      </c>
      <c r="O51" s="2310" t="s">
        <v>1349</v>
      </c>
    </row>
    <row r="52" spans="1:35" ht="24" customHeight="1">
      <c r="A52" s="2152" t="s">
        <v>1350</v>
      </c>
      <c r="B52" s="3363" t="s">
        <v>1351</v>
      </c>
      <c r="C52" s="3363"/>
      <c r="D52" s="1024">
        <f ca="1">ROUND(D45*'数据-取费表'!B41/(1+'数据-取费表'!C42),0)</f>
        <v>6591</v>
      </c>
      <c r="E52" s="1255" t="s">
        <v>1352</v>
      </c>
      <c r="F52" s="2339">
        <f>'数据-取费表'!B41</f>
        <v>5.6000000000000001E-2</v>
      </c>
      <c r="G52" s="2340"/>
      <c r="H52" s="2330"/>
      <c r="I52" s="1668"/>
      <c r="J52" s="2309">
        <v>1</v>
      </c>
      <c r="K52" s="3340" t="s">
        <v>1353</v>
      </c>
      <c r="L52" s="3340"/>
      <c r="M52" s="2311" t="b">
        <f>D48</f>
        <v>0</v>
      </c>
      <c r="N52" s="2309" t="str">
        <f>E48</f>
        <v>销售额×税（费）率</v>
      </c>
      <c r="O52" s="2312">
        <f>F48</f>
        <v>5.6000000000000001E-2</v>
      </c>
    </row>
    <row r="53" spans="1:35" ht="12" customHeight="1">
      <c r="A53" s="2152" t="s">
        <v>1354</v>
      </c>
      <c r="B53" s="3364" t="s">
        <v>2285</v>
      </c>
      <c r="C53" s="3365"/>
      <c r="D53" s="1024">
        <f ca="1">ROUND(D45*'数据-取费表'!B41/(1+'数据-取费表'!C42),0)</f>
        <v>6591</v>
      </c>
      <c r="E53" s="1255" t="s">
        <v>1352</v>
      </c>
      <c r="F53" s="2339">
        <f>'数据-取费表'!B41</f>
        <v>5.6000000000000001E-2</v>
      </c>
      <c r="G53" s="2340"/>
      <c r="H53" s="2330"/>
      <c r="I53" s="1668"/>
      <c r="J53" s="2309">
        <v>2</v>
      </c>
      <c r="K53" s="3340" t="s">
        <v>1355</v>
      </c>
      <c r="L53" s="3340"/>
      <c r="M53" s="2311">
        <f t="shared" ref="M53:O54" ca="1" si="0">D55</f>
        <v>62</v>
      </c>
      <c r="N53" s="2309" t="str">
        <f t="shared" si="0"/>
        <v>销售额×税（费）率</v>
      </c>
      <c r="O53" s="2312" t="str">
        <f t="shared" si="0"/>
        <v>免征</v>
      </c>
    </row>
    <row r="54" spans="1:35" ht="12" customHeight="1">
      <c r="A54" s="2152" t="s">
        <v>1356</v>
      </c>
      <c r="B54" s="3364" t="s">
        <v>2286</v>
      </c>
      <c r="C54" s="3365"/>
      <c r="D54" s="1024">
        <f ca="1">C68</f>
        <v>6591</v>
      </c>
      <c r="E54" s="319" t="s">
        <v>1357</v>
      </c>
      <c r="F54" s="2339">
        <f>'数据-取费表'!B41</f>
        <v>5.6000000000000001E-2</v>
      </c>
      <c r="G54" s="2340"/>
      <c r="H54" s="2341"/>
      <c r="I54" s="1668"/>
      <c r="J54" s="2309">
        <v>3</v>
      </c>
      <c r="K54" s="3340" t="s">
        <v>1358</v>
      </c>
      <c r="L54" s="3340"/>
      <c r="M54" s="2311">
        <f t="shared" ca="1" si="0"/>
        <v>69945</v>
      </c>
      <c r="N54" s="2309" t="str">
        <f t="shared" si="0"/>
        <v>增值额×税（费）率</v>
      </c>
      <c r="O54" s="2313" t="str">
        <f t="shared" si="0"/>
        <v>免征</v>
      </c>
    </row>
    <row r="55" spans="1:35" ht="24" customHeight="1">
      <c r="A55" s="3400" t="s">
        <v>1359</v>
      </c>
      <c r="B55" s="3378"/>
      <c r="C55" s="3378"/>
      <c r="D55" s="12">
        <f ca="1">IF(H55="个人住宅",0,ROUND(D45*I55,0))</f>
        <v>62</v>
      </c>
      <c r="E55" s="1255" t="s">
        <v>1360</v>
      </c>
      <c r="F55" s="2339" t="str">
        <f>IF(H55="正常",I55,"免征")</f>
        <v>免征</v>
      </c>
      <c r="G55" s="2340"/>
      <c r="H55" s="2336"/>
      <c r="I55" s="157">
        <f>'数据-取费表'!B49</f>
        <v>5.0000000000000001E-4</v>
      </c>
      <c r="J55" s="2309">
        <f>IF(H59="非个人房产","",4)</f>
        <v>4</v>
      </c>
      <c r="K55" s="3340" t="str">
        <f>IF(H59="非个人房产","——","个人所得税")</f>
        <v>个人所得税</v>
      </c>
      <c r="L55" s="3340"/>
      <c r="M55" s="2314">
        <f ca="1">D59</f>
        <v>1177</v>
      </c>
      <c r="N55" s="1882" t="str">
        <f>E59</f>
        <v>差额计税</v>
      </c>
      <c r="O55" s="2315">
        <f>F59</f>
        <v>0.01</v>
      </c>
    </row>
    <row r="56" spans="1:35" ht="24.75">
      <c r="A56" s="3400" t="s">
        <v>1361</v>
      </c>
      <c r="B56" s="3378"/>
      <c r="C56" s="3378"/>
      <c r="D56" s="12">
        <f ca="1">IF(H56="个人住宅",D57,D58)</f>
        <v>69945</v>
      </c>
      <c r="E56" s="1255" t="s">
        <v>1362</v>
      </c>
      <c r="F56" s="2339" t="str">
        <f>IF(H56="正常",F58,"免征")</f>
        <v>免征</v>
      </c>
      <c r="G56" s="2342" t="s">
        <v>1363</v>
      </c>
      <c r="H56" s="2343"/>
      <c r="I56" s="1669"/>
      <c r="J56" s="2309" t="str">
        <f>IF(项目基本情况!K6="上海银行",IF(J55="",4,J55+1),"")</f>
        <v/>
      </c>
      <c r="K56" s="3321" t="str">
        <f>IF(项目基本情况!K6="上海银行","其他处置费用","")</f>
        <v/>
      </c>
      <c r="L56" s="3322"/>
      <c r="M56" s="2311" t="str">
        <f>IF(项目基本情况!K6="上海银行",M69,"")</f>
        <v/>
      </c>
      <c r="N56" s="3321" t="str">
        <f>IF(项目基本情况!K6="上海银行","包含处置中涉及的律师、诉讼、拍卖、评估等费用","")</f>
        <v/>
      </c>
      <c r="O56" s="3324"/>
    </row>
    <row r="57" spans="1:35" ht="12.75">
      <c r="A57" s="2152" t="s">
        <v>1339</v>
      </c>
      <c r="B57" s="3364" t="s">
        <v>1364</v>
      </c>
      <c r="C57" s="3365"/>
      <c r="D57" s="1477">
        <v>0</v>
      </c>
      <c r="E57" s="316" t="s">
        <v>1341</v>
      </c>
      <c r="F57" s="294"/>
      <c r="G57" s="2340"/>
      <c r="H57" s="2344"/>
      <c r="I57" s="1669"/>
      <c r="J57" s="3340">
        <f>IF(AND(J55="",J56=""),4,IF(项目基本情况!K6="上海银行",结果表!J56+1,结果表!J55+1))</f>
        <v>5</v>
      </c>
      <c r="K57" s="3340" t="s">
        <v>1365</v>
      </c>
      <c r="L57" s="2316" t="s">
        <v>1366</v>
      </c>
      <c r="M57" s="2317"/>
      <c r="N57" s="2318">
        <f ca="1">SUMIF(M52:M56,"&lt;9e307")</f>
        <v>71184</v>
      </c>
      <c r="O57" s="2319"/>
      <c r="P57" s="2464">
        <f ca="1">N57/M49</f>
        <v>0.57602485879363641</v>
      </c>
    </row>
    <row r="58" spans="1:35" ht="24.75">
      <c r="A58" s="2152" t="s">
        <v>1350</v>
      </c>
      <c r="B58" s="3364" t="s">
        <v>1367</v>
      </c>
      <c r="C58" s="3363"/>
      <c r="D58" s="12">
        <f ca="1">IF(H58="转让取得",C81,C97)</f>
        <v>69945</v>
      </c>
      <c r="E58" s="1255" t="s">
        <v>1362</v>
      </c>
      <c r="F58" s="294" t="s">
        <v>28</v>
      </c>
      <c r="G58" s="2340"/>
      <c r="H58" s="2343"/>
      <c r="I58" s="1669"/>
      <c r="J58" s="3340"/>
      <c r="K58" s="3340"/>
      <c r="L58" s="2316" t="s">
        <v>1368</v>
      </c>
      <c r="M58" s="2320"/>
      <c r="N58" s="2321" t="str">
        <f ca="1">NUMBERSTRING(INT(N57*10000),2)&amp;"元整"</f>
        <v>柒亿壹仟壹佰捌拾肆万元整</v>
      </c>
      <c r="O58" s="2322"/>
    </row>
    <row r="59" spans="1:35" ht="24.75" thickBot="1">
      <c r="A59" s="3344" t="s">
        <v>1369</v>
      </c>
      <c r="B59" s="3345"/>
      <c r="C59" s="3345"/>
      <c r="D59" s="2345">
        <f ca="1">IF(H59="非个人房产","——",IF(H59="个人住宅（满五唯一有凭证）",0,IF(H59="个人其他（无凭证）",ROUND(D45*F59,0),ROUND(C67*F59,0))))</f>
        <v>1177</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7"/>
      <c r="I59" s="2136" t="s">
        <v>2131</v>
      </c>
      <c r="J59" s="3342">
        <f>J57+1</f>
        <v>6</v>
      </c>
      <c r="K59" s="3340" t="s">
        <v>1370</v>
      </c>
      <c r="L59" s="2309" t="s">
        <v>1366</v>
      </c>
      <c r="M59" s="2323"/>
      <c r="N59" s="2324">
        <f ca="1">M49-N57</f>
        <v>52394</v>
      </c>
      <c r="O59" s="2325"/>
    </row>
    <row r="60" spans="1:35" ht="12" customHeight="1">
      <c r="A60" s="1670"/>
      <c r="B60" s="646"/>
      <c r="C60" s="646"/>
      <c r="D60" s="646"/>
      <c r="E60" s="1465"/>
      <c r="F60" s="1669"/>
      <c r="G60" s="1669"/>
      <c r="H60" s="151"/>
      <c r="I60" s="121"/>
      <c r="J60" s="3343"/>
      <c r="K60" s="3340"/>
      <c r="L60" s="2316" t="s">
        <v>1368</v>
      </c>
      <c r="M60" s="2320"/>
      <c r="N60" s="2321" t="str">
        <f ca="1">NUMBERSTRING(INT(N59*10000),2)&amp;"元整"</f>
        <v>伍亿贰仟叁佰玖拾肆万元整</v>
      </c>
      <c r="O60" s="2322"/>
    </row>
    <row r="61" spans="1:35" ht="13.5" thickBot="1">
      <c r="A61" s="3399" t="s">
        <v>1371</v>
      </c>
      <c r="B61" s="3399"/>
      <c r="C61" s="3399"/>
      <c r="D61" s="3399"/>
      <c r="E61" s="3399"/>
      <c r="F61" s="1669"/>
      <c r="G61" s="1669"/>
      <c r="H61" s="151"/>
      <c r="I61" s="121"/>
      <c r="J61" s="2309">
        <f>J59+1</f>
        <v>7</v>
      </c>
      <c r="K61" s="3340" t="s">
        <v>1372</v>
      </c>
      <c r="L61" s="3340"/>
      <c r="M61" s="2326"/>
      <c r="N61" s="2327">
        <f ca="1">ROUND(N59*10000/'数据-汇总表'!E3,0)</f>
        <v>7936</v>
      </c>
      <c r="O61" s="2328"/>
    </row>
    <row r="62" spans="1:35" ht="12.75">
      <c r="A62" s="3359" t="s">
        <v>1373</v>
      </c>
      <c r="B62" s="3360"/>
      <c r="C62" s="1864"/>
      <c r="D62" s="1864" t="s">
        <v>1374</v>
      </c>
      <c r="E62" s="158" t="s">
        <v>1375</v>
      </c>
      <c r="F62" s="1669"/>
      <c r="G62" s="1669"/>
      <c r="H62" s="151"/>
      <c r="I62" s="121"/>
    </row>
    <row r="63" spans="1:35" ht="12.75">
      <c r="A63" s="165" t="s">
        <v>330</v>
      </c>
      <c r="B63" s="159" t="s">
        <v>1376</v>
      </c>
      <c r="C63" s="2349">
        <f ca="1">ROUND((C64+C65)/(1+'数据-取费表'!C42),0)</f>
        <v>117693</v>
      </c>
      <c r="D63" s="159"/>
      <c r="E63" s="160"/>
      <c r="F63" s="1669"/>
      <c r="G63" s="1669"/>
      <c r="H63" s="151"/>
      <c r="I63" s="121"/>
      <c r="J63" s="3323" t="s">
        <v>1377</v>
      </c>
      <c r="K63" s="1244" t="s">
        <v>1378</v>
      </c>
      <c r="L63" s="1244">
        <f ca="1">IF(M49&gt;10000,M49*0.5%,IF(AND(M49&gt;1000,M49&lt;=10000),M49*1%,IF(AND(M49&gt;100,M49&lt;=1000),M49*3%,IF(AND(M49&gt;10,M49&lt;=100),M49*5%,M49*8%))))</f>
        <v>617.89</v>
      </c>
      <c r="M63" s="294">
        <f ca="1">ROUND(L63,1)</f>
        <v>617.9</v>
      </c>
      <c r="N63" s="2329"/>
      <c r="Z63" s="1622"/>
      <c r="AI63" s="1560"/>
    </row>
    <row r="64" spans="1:35" ht="14.25" customHeight="1">
      <c r="A64" s="161" t="s">
        <v>325</v>
      </c>
      <c r="B64" s="162" t="s">
        <v>1379</v>
      </c>
      <c r="C64" s="2350">
        <f ca="1">D45</f>
        <v>123578</v>
      </c>
      <c r="D64" s="162" t="s">
        <v>26</v>
      </c>
      <c r="E64" s="164"/>
      <c r="F64" s="1669"/>
      <c r="G64" s="1669"/>
      <c r="H64" s="151"/>
      <c r="I64" s="121"/>
      <c r="J64" s="3323"/>
      <c r="K64" s="1244" t="s">
        <v>1380</v>
      </c>
      <c r="L64" s="1244">
        <f ca="1">IF(M49&gt;2000,M49*0.5%,IF(AND(M49&gt;1000,M49&lt;=2000),M49*0.6%,IF(AND(M49&gt;500,M49&lt;=1000),M49*0.7%,IF(AND(M49&gt;200,M49&lt;=500),M49*0.8%,IF(AND(M49&gt;100,M49&lt;=200),M49*0.9%,IF(AND(M49&gt;50,M49&lt;=100),M49*1%,IF(AND(M49&gt;20,M49&lt;=50),M49*1.5%,IF(AND(M49&gt;10,M49&lt;=20),M49*2%,IF(AND(M49&gt;1,M49&lt;=10),M49*2.5%)))))))))</f>
        <v>617.89</v>
      </c>
      <c r="M64" s="294">
        <f t="shared" ref="M64:M65" ca="1" si="1">ROUND(L64,1)</f>
        <v>617.9</v>
      </c>
      <c r="N64" s="2330" t="s">
        <v>1381</v>
      </c>
      <c r="Z64" s="1622"/>
      <c r="AI64" s="1560"/>
    </row>
    <row r="65" spans="1:35" ht="14.25" customHeight="1">
      <c r="A65" s="161" t="s">
        <v>326</v>
      </c>
      <c r="B65" s="162" t="s">
        <v>1382</v>
      </c>
      <c r="C65" s="2351"/>
      <c r="D65" s="162"/>
      <c r="E65" s="164"/>
      <c r="F65" s="1669"/>
      <c r="G65" s="1669"/>
      <c r="H65" s="151"/>
      <c r="I65" s="121"/>
      <c r="J65" s="3323"/>
      <c r="K65" s="1244" t="s">
        <v>1383</v>
      </c>
      <c r="L65" s="1244">
        <f ca="1">IF(M49&gt;1000,M49*0.1%,IF(AND(M49&gt;500,M49&lt;=1000),M49*0.5%,IF(AND(M49&gt;50,M49&lt;=500),M49*1%,IF(AND(M49&gt;1,M49&lt;=50),M49*1.5%))))</f>
        <v>123.578</v>
      </c>
      <c r="M65" s="294">
        <f t="shared" ca="1" si="1"/>
        <v>123.6</v>
      </c>
      <c r="N65" s="2330" t="s">
        <v>1381</v>
      </c>
      <c r="Z65" s="1622"/>
      <c r="AI65" s="1560"/>
    </row>
    <row r="66" spans="1:35" ht="14.25" customHeight="1">
      <c r="A66" s="165" t="s">
        <v>327</v>
      </c>
      <c r="B66" s="166" t="s">
        <v>1384</v>
      </c>
      <c r="C66" s="2352"/>
      <c r="D66" s="166" t="s">
        <v>26</v>
      </c>
      <c r="E66" s="1250" t="s">
        <v>669</v>
      </c>
      <c r="F66" s="1669"/>
      <c r="G66" s="1669"/>
      <c r="H66" s="151"/>
      <c r="I66" s="121"/>
      <c r="J66" s="3323"/>
      <c r="K66" s="1244" t="s">
        <v>1385</v>
      </c>
      <c r="L66" s="1244">
        <f ca="1">M49*0.5%</f>
        <v>617.89</v>
      </c>
      <c r="M66" s="294">
        <f ca="1">IF(L66&gt;0.5,0.5,ROUND(L66,0))</f>
        <v>0.5</v>
      </c>
      <c r="N66" s="2330" t="s">
        <v>1386</v>
      </c>
      <c r="Z66" s="1622"/>
      <c r="AI66" s="1560"/>
    </row>
    <row r="67" spans="1:35" ht="14.25" customHeight="1">
      <c r="A67" s="165" t="s">
        <v>328</v>
      </c>
      <c r="B67" s="166" t="s">
        <v>1387</v>
      </c>
      <c r="C67" s="2353">
        <f ca="1">C63-C66</f>
        <v>117693</v>
      </c>
      <c r="D67" s="162" t="s">
        <v>26</v>
      </c>
      <c r="E67" s="164"/>
      <c r="F67" s="1669"/>
      <c r="G67" s="1669"/>
      <c r="H67" s="151"/>
      <c r="I67" s="121"/>
      <c r="J67" s="3323"/>
      <c r="K67" s="1244" t="s">
        <v>1388</v>
      </c>
      <c r="L67" s="1244">
        <f ca="1">IF(M49&gt;=10000,(8.25+(M49-10000)*0.01%),IF(AND(M49&gt;=8000,M49&lt;10000),(7.85+(M49-8000)*0.02%),IF(AND(M49&gt;=5000,M49&lt;8000),(6.65+(M49-5000)*0.04%),IF(AND(M49&gt;=2000,M49&lt;5000),(4.25+(PM49-2000)*0.08%),IF(AND(M49&gt;=1000,M49&lt;2000),(2.75+(M49-1000)*0.15%),IF(AND(M49&gt;=100,M49&lt;1000),(0.5+(M49-100)*0.25%),IF(AND(M49&gt;0,M49&lt;100),M49*0.5%)))))))</f>
        <v>19.607800000000001</v>
      </c>
      <c r="M67" s="294">
        <f ca="1">ROUND(L67*0.9,1)</f>
        <v>17.600000000000001</v>
      </c>
      <c r="N67" s="2329"/>
      <c r="Z67" s="1622"/>
      <c r="AI67" s="1560"/>
    </row>
    <row r="68" spans="1:35" ht="14.25" customHeight="1" thickBot="1">
      <c r="A68" s="168" t="s">
        <v>329</v>
      </c>
      <c r="B68" s="169" t="s">
        <v>1389</v>
      </c>
      <c r="C68" s="2354">
        <f ca="1">IF(C67&lt;=0,0,ROUND(C67*D68,0))</f>
        <v>6591</v>
      </c>
      <c r="D68" s="2355">
        <f>'数据-取费表'!B41</f>
        <v>5.6000000000000001E-2</v>
      </c>
      <c r="E68" s="170"/>
      <c r="F68" s="1669"/>
      <c r="G68" s="1669"/>
      <c r="H68" s="151"/>
      <c r="I68" s="121"/>
      <c r="J68" s="3323"/>
      <c r="K68" s="1244" t="s">
        <v>1390</v>
      </c>
      <c r="L68" s="1244">
        <f ca="1">IF(M49&gt;10000,M49*0.5%,IF(AND(M49&gt;5000,M49&lt;=10000),M49*1%,IF(AND(M49&gt;1000,M49&lt;=5000),M49*2%,IF(AND(M49&gt;200,M49&lt;=1000),M49*3%,M49*5%))))</f>
        <v>617.89</v>
      </c>
      <c r="M68" s="294">
        <f ca="1">ROUND(L68,1)</f>
        <v>617.9</v>
      </c>
      <c r="N68" s="2329"/>
      <c r="Z68" s="1622"/>
      <c r="AI68" s="1560"/>
    </row>
    <row r="69" spans="1:35" ht="16.5" customHeight="1">
      <c r="A69" s="1671"/>
      <c r="B69" s="1672"/>
      <c r="C69" s="1673"/>
      <c r="D69" s="1674"/>
      <c r="E69" s="1675"/>
      <c r="F69" s="1465"/>
      <c r="G69" s="1465"/>
      <c r="H69" s="1466"/>
      <c r="I69" s="646"/>
      <c r="J69" s="3323"/>
      <c r="K69" s="1244" t="s">
        <v>1391</v>
      </c>
      <c r="L69" s="1244"/>
      <c r="M69" s="294">
        <f ca="1">ROUND(SUM(M63:M68),0)</f>
        <v>1995</v>
      </c>
      <c r="N69" s="2331">
        <f ca="1">M69/M49</f>
        <v>1.6143650164268723E-2</v>
      </c>
      <c r="Z69" s="1622"/>
      <c r="AI69" s="1560"/>
    </row>
    <row r="70" spans="1:35" s="642" customFormat="1" ht="15" thickBot="1">
      <c r="A70" s="3367" t="s">
        <v>1392</v>
      </c>
      <c r="B70" s="3368"/>
      <c r="C70" s="3368"/>
      <c r="D70" s="3368"/>
      <c r="E70" s="3368"/>
      <c r="F70" s="3368"/>
      <c r="G70" s="3368"/>
      <c r="H70" s="336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59" t="s">
        <v>1373</v>
      </c>
      <c r="B71" s="3360"/>
      <c r="C71" s="1864"/>
      <c r="D71" s="1864" t="s">
        <v>1374</v>
      </c>
      <c r="E71" s="171" t="s">
        <v>1375</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1393</v>
      </c>
      <c r="C72" s="2353">
        <f ca="1">ROUND(D45/(1+'数据-取费表'!C42),0)</f>
        <v>117693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1394</v>
      </c>
      <c r="C73" s="2353">
        <f ca="1">C74+C78</f>
        <v>706</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1395</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1396</v>
      </c>
      <c r="C75" s="2356"/>
      <c r="D75" s="162" t="s">
        <v>26</v>
      </c>
      <c r="E75" s="176" t="s">
        <v>1397</v>
      </c>
      <c r="F75" s="2357"/>
      <c r="G75" s="176" t="s">
        <v>1398</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1399</v>
      </c>
      <c r="C76" s="162">
        <f>IF(F75="购房发票",ROUND(C75*H75*D76,0),0)</f>
        <v>0</v>
      </c>
      <c r="D76" s="2359">
        <v>0.05</v>
      </c>
      <c r="E76" s="3364" t="s">
        <v>1400</v>
      </c>
      <c r="F76" s="3363"/>
      <c r="G76" s="3363"/>
      <c r="H76" s="336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1401</v>
      </c>
      <c r="C77" s="162">
        <f>ROUND(IF(G77="个人住宅",0,IF(G77="2016年5月1日前购买",C75*D77,C75*D77/(1+'数据-取费表'!C42))),0)</f>
        <v>0</v>
      </c>
      <c r="D77" s="2360">
        <f>'数据-取费表'!B48+'数据-取费表'!B49</f>
        <v>3.0499999999999999E-2</v>
      </c>
      <c r="E77" s="12" t="s">
        <v>1402</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1403</v>
      </c>
      <c r="C78" s="2361">
        <f ca="1">ROUND(D45*D78/(1+'数据-取费表'!C42),0)</f>
        <v>706</v>
      </c>
      <c r="D78" s="2362">
        <f>'数据-取费表'!B43</f>
        <v>6.000000000000001E-3</v>
      </c>
      <c r="E78" s="3356" t="s">
        <v>1404</v>
      </c>
      <c r="F78" s="3357"/>
      <c r="G78" s="3357"/>
      <c r="H78" s="335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1405</v>
      </c>
      <c r="C79" s="2353">
        <f ca="1">C72-C73</f>
        <v>116987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1406</v>
      </c>
      <c r="C80" s="2363">
        <f ca="1">IF(C79&lt;=0,0,C79/C73)</f>
        <v>165.70396600566573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1407</v>
      </c>
      <c r="C81" s="2364">
        <f ca="1">ROUND(IF(C79&lt;=0,0,IF(C80&gt;=200%,C79*60%-C73*35%,IF(C80&gt;=100%,C79*50%-C73*15%,IF(C80&gt;=50%,C79*40%-C73*5%,IF(C80&lt;50%,C79*30%,0))))),0)</f>
        <v>69945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67" t="s">
        <v>1408</v>
      </c>
      <c r="B83" s="3368"/>
      <c r="C83" s="3368"/>
      <c r="D83" s="3368"/>
      <c r="E83" s="3368"/>
      <c r="F83" s="3368"/>
      <c r="G83" s="3368"/>
      <c r="H83" s="336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59" t="s">
        <v>1373</v>
      </c>
      <c r="B84" s="3360"/>
      <c r="C84" s="1864"/>
      <c r="D84" s="1864" t="s">
        <v>1374</v>
      </c>
      <c r="E84" s="171" t="s">
        <v>1375</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1393</v>
      </c>
      <c r="C85" s="2353">
        <f ca="1">ROUND(D45/(1+'数据-取费表'!C42),0)</f>
        <v>117693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1394</v>
      </c>
      <c r="C86" s="2353">
        <f ca="1">IF(H88="仅含出让金",C87+C90+C91+C92+C93+C94,C87+C91+C92+C93+C94)</f>
        <v>706</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1409</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1410</v>
      </c>
      <c r="C88" s="2367"/>
      <c r="D88" s="2362"/>
      <c r="E88" s="185" t="s">
        <v>1411</v>
      </c>
      <c r="F88" s="2147"/>
      <c r="G88" s="186" t="s">
        <v>1412</v>
      </c>
      <c r="H88" s="1683"/>
      <c r="I88" s="1680"/>
      <c r="J88" s="2307"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1401</v>
      </c>
      <c r="C89" s="2361">
        <f>ROUND(C88*D89,0)</f>
        <v>0</v>
      </c>
      <c r="D89" s="2362">
        <f>'数据-取费表'!B48+'数据-取费表'!B49</f>
        <v>3.0499999999999999E-2</v>
      </c>
      <c r="E89" s="185" t="s">
        <v>1413</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1414</v>
      </c>
      <c r="C90" s="2367"/>
      <c r="D90" s="2362"/>
      <c r="E90" s="185" t="str">
        <f>IF(H88="-","土地取得成本中已包含该笔费用"," ")</f>
        <v xml:space="preserve"> </v>
      </c>
      <c r="F90" s="2147"/>
      <c r="G90" s="3325" t="s">
        <v>2123</v>
      </c>
      <c r="H90" s="3326"/>
      <c r="I90" s="1680"/>
      <c r="J90" s="2307"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1415</v>
      </c>
      <c r="B91" s="162" t="s">
        <v>1416</v>
      </c>
      <c r="C91" s="2361">
        <f>IF(H91="——",成本法!C33,I91)</f>
        <v>0</v>
      </c>
      <c r="D91" s="2362"/>
      <c r="E91" s="3356" t="s">
        <v>1417</v>
      </c>
      <c r="F91" s="3357"/>
      <c r="G91" s="335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1418</v>
      </c>
      <c r="B92" s="162" t="s">
        <v>1419</v>
      </c>
      <c r="C92" s="2361">
        <f>ROUND((C87+C90+C91)*D92,0)</f>
        <v>0</v>
      </c>
      <c r="D92" s="2368"/>
      <c r="E92" s="3356" t="s">
        <v>1420</v>
      </c>
      <c r="F92" s="3357"/>
      <c r="G92" s="3357"/>
      <c r="H92" s="3358"/>
      <c r="I92" s="1680"/>
      <c r="J92" s="2308"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1421</v>
      </c>
      <c r="B93" s="162" t="s">
        <v>1403</v>
      </c>
      <c r="C93" s="2361">
        <f ca="1">ROUND(D45*D93/(1+'数据-取费表'!C42),0)</f>
        <v>706</v>
      </c>
      <c r="D93" s="2362">
        <f>'数据-取费表'!B43</f>
        <v>6.000000000000001E-3</v>
      </c>
      <c r="E93" s="3356" t="s">
        <v>1404</v>
      </c>
      <c r="F93" s="3357"/>
      <c r="G93" s="3357"/>
      <c r="H93" s="335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1422</v>
      </c>
      <c r="B94" s="162" t="s">
        <v>1423</v>
      </c>
      <c r="C94" s="2367">
        <f>ROUND((C87+C90+C91)*D94,0)</f>
        <v>0</v>
      </c>
      <c r="D94" s="2362">
        <v>0.2</v>
      </c>
      <c r="E94" s="3401" t="s">
        <v>1424</v>
      </c>
      <c r="F94" s="3402"/>
      <c r="G94" s="3402"/>
      <c r="H94" s="340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1405</v>
      </c>
      <c r="C95" s="2353">
        <f ca="1">ROUND(C85-C86,0)</f>
        <v>116987</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1406</v>
      </c>
      <c r="C96" s="2363">
        <f ca="1">IF(C95&lt;=0,0,C95/C86)</f>
        <v>165.70396600566573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1407</v>
      </c>
      <c r="C97" s="2364">
        <f ca="1">ROUND(IF(C95&lt;=0,0,IF(C96&gt;=200%,C95*60%-C86*35%,IF(C96&gt;=100%,C95*50%-C86*15%,IF(C96&gt;=50%,C95*40%-C86*5%,IF(C96&lt;50%,C95*30%,0))))),0)</f>
        <v>69945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1425</v>
      </c>
      <c r="B99" s="646"/>
      <c r="C99" s="646"/>
      <c r="D99" s="646"/>
      <c r="E99" s="1465"/>
      <c r="F99" s="1465"/>
      <c r="G99" s="1465"/>
      <c r="H99" s="1466"/>
      <c r="I99" s="121"/>
    </row>
    <row r="100" spans="1:35" ht="18.75" customHeight="1">
      <c r="A100" s="3299" t="s">
        <v>1426</v>
      </c>
      <c r="B100" s="3300"/>
      <c r="C100" s="3300"/>
      <c r="D100" s="3341"/>
      <c r="E100" s="3300" t="s">
        <v>1427</v>
      </c>
      <c r="F100" s="3300"/>
      <c r="G100" s="3300"/>
      <c r="H100" s="3341"/>
      <c r="I100" s="121"/>
    </row>
    <row r="101" spans="1:35" ht="18.75" customHeight="1">
      <c r="A101" s="3349" t="s">
        <v>1428</v>
      </c>
      <c r="B101" s="3350"/>
      <c r="C101" s="2370" t="str">
        <f>C4</f>
        <v>成本法</v>
      </c>
      <c r="D101" s="2371" t="str">
        <f>D4</f>
        <v>收益法</v>
      </c>
      <c r="E101" s="3319" t="s">
        <v>1429</v>
      </c>
      <c r="F101" s="3320"/>
      <c r="G101" s="1686" t="s">
        <v>1430</v>
      </c>
      <c r="H101" s="2380">
        <f ca="1">H118</f>
        <v>123578</v>
      </c>
      <c r="I101" s="121"/>
    </row>
    <row r="102" spans="1:35" ht="18.75" customHeight="1">
      <c r="A102" s="3351" t="s">
        <v>1431</v>
      </c>
      <c r="B102" s="2369" t="s">
        <v>1430</v>
      </c>
      <c r="C102" s="2370">
        <f ca="1">IF(D32="楼面单价",ROUND(C19,0),C19)</f>
        <v>150270</v>
      </c>
      <c r="D102" s="2371">
        <f ca="1">IF(D32="楼面单价",ROUND(D19,0),D19)</f>
        <v>96885</v>
      </c>
      <c r="E102" s="3319"/>
      <c r="F102" s="3320"/>
      <c r="G102" s="1686" t="s">
        <v>1432</v>
      </c>
      <c r="H102" s="2340">
        <f ca="1">I118</f>
        <v>18719</v>
      </c>
      <c r="I102" s="121"/>
    </row>
    <row r="103" spans="1:35" ht="42.75" customHeight="1">
      <c r="A103" s="3351"/>
      <c r="B103" s="2369" t="s">
        <v>1432</v>
      </c>
      <c r="C103" s="2372">
        <f ca="1">C20</f>
        <v>22762</v>
      </c>
      <c r="D103" s="2373">
        <f ca="1">D20</f>
        <v>14676</v>
      </c>
      <c r="E103" s="3312" t="s">
        <v>1433</v>
      </c>
      <c r="F103" s="3313"/>
      <c r="G103" s="1687" t="s">
        <v>1434</v>
      </c>
      <c r="H103" s="2380">
        <f>IF(D36="正常操作",H104+H105+H106,H105+H106)</f>
        <v>0</v>
      </c>
      <c r="I103" s="121"/>
    </row>
    <row r="104" spans="1:35" ht="18.75" customHeight="1">
      <c r="A104" s="3351" t="s">
        <v>1435</v>
      </c>
      <c r="B104" s="2374" t="s">
        <v>1430</v>
      </c>
      <c r="C104" s="2375">
        <f ca="1">H118</f>
        <v>123578</v>
      </c>
      <c r="D104" s="2376"/>
      <c r="E104" s="1554" t="s">
        <v>1436</v>
      </c>
      <c r="F104" s="1547"/>
      <c r="G104" s="1687" t="s">
        <v>1434</v>
      </c>
      <c r="H104" s="2381">
        <f>IF(D36="同一抵押权人同一抵押物续贷",C36&amp;"（续贷，未扣减，详见特别提示）",C36)</f>
        <v>0</v>
      </c>
      <c r="I104" s="121"/>
    </row>
    <row r="105" spans="1:35" ht="18.75" customHeight="1" thickBot="1">
      <c r="A105" s="3361"/>
      <c r="B105" s="2377" t="s">
        <v>1432</v>
      </c>
      <c r="C105" s="2378">
        <f ca="1">I118</f>
        <v>18719</v>
      </c>
      <c r="D105" s="2379"/>
      <c r="E105" s="1554" t="s">
        <v>1437</v>
      </c>
      <c r="F105" s="1547"/>
      <c r="G105" s="1687" t="s">
        <v>1434</v>
      </c>
      <c r="H105" s="2382">
        <f>C37</f>
        <v>0</v>
      </c>
      <c r="I105" s="121"/>
    </row>
    <row r="106" spans="1:35" ht="18.75" customHeight="1">
      <c r="A106" s="646" t="s">
        <v>1438</v>
      </c>
      <c r="B106" s="646"/>
      <c r="C106" s="646"/>
      <c r="D106" s="646"/>
      <c r="E106" s="1688" t="s">
        <v>1439</v>
      </c>
      <c r="F106" s="1547"/>
      <c r="G106" s="1687" t="s">
        <v>1434</v>
      </c>
      <c r="H106" s="2382">
        <f>C38</f>
        <v>0</v>
      </c>
      <c r="I106" s="121"/>
    </row>
    <row r="107" spans="1:35" ht="18.75" customHeight="1">
      <c r="A107" s="121"/>
      <c r="B107" s="121"/>
      <c r="C107" s="121"/>
      <c r="D107" s="121"/>
      <c r="E107" s="3352" t="str">
        <f>IF(项目基本情况!E8="已注销","——","3.房地产抵押价值")</f>
        <v>3.房地产抵押价值</v>
      </c>
      <c r="F107" s="3320"/>
      <c r="G107" s="1686" t="s">
        <v>1430</v>
      </c>
      <c r="H107" s="2380">
        <f ca="1">IF(E107="——","——",H101-H103)</f>
        <v>123578</v>
      </c>
      <c r="I107" s="121"/>
    </row>
    <row r="108" spans="1:35" ht="18.75" customHeight="1">
      <c r="A108" s="121"/>
      <c r="B108" s="121"/>
      <c r="C108" s="121"/>
      <c r="D108" s="121"/>
      <c r="E108" s="3352"/>
      <c r="F108" s="3320"/>
      <c r="G108" s="1686" t="s">
        <v>1432</v>
      </c>
      <c r="H108" s="2340">
        <f ca="1">IF(H107=H101,H102,ROUND(H107*10000/'数据-汇总表'!E3,0))</f>
        <v>18719</v>
      </c>
      <c r="I108" s="121"/>
    </row>
    <row r="109" spans="1:35" ht="18.75" customHeight="1">
      <c r="A109" s="121"/>
      <c r="B109" s="121"/>
      <c r="C109" s="121"/>
      <c r="D109" s="121"/>
      <c r="E109" s="3352" t="str">
        <f>IF(项目基本情况!E8="已注销及未注销","4.抵押担保权已注销时的房地产抵押价值",IF(项目基本情况!E8="已注销","3.抵押担保权已注销时的房地产抵押价值","——"))</f>
        <v>——</v>
      </c>
      <c r="F109" s="3320"/>
      <c r="G109" s="1686" t="s">
        <v>1430</v>
      </c>
      <c r="H109" s="2383" t="str">
        <f>IF(E109="——","——",H101-H105-H106)</f>
        <v>——</v>
      </c>
      <c r="I109" s="121"/>
    </row>
    <row r="110" spans="1:35" ht="18.75" customHeight="1">
      <c r="A110" s="121"/>
      <c r="B110" s="121"/>
      <c r="C110" s="121"/>
      <c r="D110" s="121"/>
      <c r="E110" s="3352"/>
      <c r="F110" s="3320"/>
      <c r="G110" s="1686" t="s">
        <v>1432</v>
      </c>
      <c r="H110" s="2340" t="str">
        <f>IF(H109="——","——",ROUND(H109*10000/'数据-汇总表'!E3,0))</f>
        <v>——</v>
      </c>
      <c r="I110" s="121"/>
    </row>
    <row r="111" spans="1:35" ht="18.75" customHeight="1">
      <c r="A111" s="121"/>
      <c r="B111" s="121"/>
      <c r="C111" s="121"/>
      <c r="D111" s="121"/>
      <c r="E111" s="3353" t="str">
        <f>IF(项目基本情况!E9="抵押净值",IF(OR(项目基本情况!E8="已注销",项目基本情况!E8="房地产抵押价值"),"4.抵押净值","5.抵押净值"),"——")</f>
        <v>——</v>
      </c>
      <c r="F111" s="3339"/>
      <c r="G111" s="1686" t="s">
        <v>1430</v>
      </c>
      <c r="H111" s="2380" t="str">
        <f>IF(E111="——","——",N59)</f>
        <v>——</v>
      </c>
      <c r="I111" s="121"/>
    </row>
    <row r="112" spans="1:35" ht="18.75" customHeight="1" thickBot="1">
      <c r="A112" s="121"/>
      <c r="B112" s="121"/>
      <c r="C112" s="121"/>
      <c r="D112" s="121"/>
      <c r="E112" s="3354"/>
      <c r="F112" s="3355"/>
      <c r="G112" s="1689" t="s">
        <v>1432</v>
      </c>
      <c r="H112" s="2384" t="str">
        <f>IF(E111="——","——",N61)</f>
        <v>——</v>
      </c>
      <c r="I112" s="121"/>
    </row>
    <row r="113" spans="1:27" ht="18.75" customHeight="1">
      <c r="A113" s="121"/>
      <c r="B113" s="121"/>
      <c r="C113" s="121"/>
      <c r="D113" s="121"/>
      <c r="E113" s="3362" t="s">
        <v>1438</v>
      </c>
      <c r="F113" s="3362"/>
      <c r="G113" s="3362"/>
      <c r="H113" s="3362"/>
      <c r="I113" s="121"/>
    </row>
    <row r="114" spans="1:27" ht="3.75" customHeight="1">
      <c r="A114" s="646"/>
      <c r="B114" s="646"/>
      <c r="C114" s="646"/>
      <c r="D114" s="646"/>
      <c r="E114" s="1670"/>
      <c r="F114" s="1670"/>
      <c r="G114" s="1670"/>
      <c r="H114" s="1670"/>
      <c r="I114" s="646"/>
    </row>
    <row r="115" spans="1:27" ht="18.75" customHeight="1">
      <c r="A115" s="3370" t="s">
        <v>1440</v>
      </c>
      <c r="B115" s="3371"/>
      <c r="C115" s="3371"/>
      <c r="D115" s="3371"/>
      <c r="E115" s="3371"/>
      <c r="F115" s="3371"/>
      <c r="G115" s="3371"/>
      <c r="H115" s="3371"/>
      <c r="I115" s="3372"/>
    </row>
    <row r="116" spans="1:27" ht="27" customHeight="1">
      <c r="A116" s="3327" t="s">
        <v>1441</v>
      </c>
      <c r="B116" s="3331" t="s">
        <v>3506</v>
      </c>
      <c r="C116" s="3331" t="s">
        <v>3507</v>
      </c>
      <c r="D116" s="3337" t="s">
        <v>1442</v>
      </c>
      <c r="E116" s="3338"/>
      <c r="F116" s="3369" t="s">
        <v>4376</v>
      </c>
      <c r="G116" s="3369"/>
      <c r="H116" s="3327" t="s">
        <v>1443</v>
      </c>
      <c r="I116" s="3327"/>
    </row>
    <row r="117" spans="1:27" ht="18.75" customHeight="1">
      <c r="A117" s="3327"/>
      <c r="B117" s="3332"/>
      <c r="C117" s="3332"/>
      <c r="D117" s="2149" t="s">
        <v>1444</v>
      </c>
      <c r="E117" s="2149" t="s">
        <v>1445</v>
      </c>
      <c r="F117" s="2149" t="s">
        <v>1444</v>
      </c>
      <c r="G117" s="2149" t="s">
        <v>1446</v>
      </c>
      <c r="H117" s="2149" t="s">
        <v>1444</v>
      </c>
      <c r="I117" s="2149" t="s">
        <v>1446</v>
      </c>
    </row>
    <row r="118" spans="1:27" ht="24.75" customHeight="1">
      <c r="A118" s="2385" t="str">
        <f>项目基本情况!S2</f>
        <v>北京市房地产</v>
      </c>
      <c r="B118" s="2149">
        <f>M18</f>
        <v>66017.299999999916</v>
      </c>
      <c r="C118" s="2149">
        <f>M19</f>
        <v>20242.14</v>
      </c>
      <c r="D118" s="2149">
        <f ca="1">ROUND(IF(D32="总价",C34,E118*B118/10000),0)</f>
        <v>79461</v>
      </c>
      <c r="E118" s="2149">
        <f ca="1">ROUND(IF(C33="自定义",IF(D32="楼面单价",C34,D118*10000/B118),I118-G118),0)</f>
        <v>12036</v>
      </c>
      <c r="F118" s="2149">
        <f ca="1">ROUND(IF(D32="总价",C35,G118*B118/10000),0)</f>
        <v>44117</v>
      </c>
      <c r="G118" s="2149">
        <f ca="1">ROUND(IF(D32="楼面单价",C35,F118*10000/B118),0)</f>
        <v>6683</v>
      </c>
      <c r="H118" s="2149">
        <f ca="1">ROUND(IF(D32="总价",C32,I118*B118/10000),0)</f>
        <v>123578</v>
      </c>
      <c r="I118" s="2149">
        <f ca="1">ROUND(IF(D32="楼面单价",C32,H118*10000/B118),0)</f>
        <v>18719</v>
      </c>
    </row>
    <row r="119" spans="1:27" ht="18.75" customHeight="1">
      <c r="A119" s="3327" t="s">
        <v>1447</v>
      </c>
      <c r="B119" s="3327"/>
      <c r="C119" s="3327"/>
      <c r="D119" s="3333" t="str">
        <f ca="1">NUMBERSTRING(INT(D118*10000),2)&amp;"元整"</f>
        <v>柒亿玖仟肆佰陆拾壹万元整</v>
      </c>
      <c r="E119" s="3334"/>
      <c r="F119" s="3333" t="str">
        <f ca="1">NUMBERSTRING(INT(F118*10000),2)&amp;"元整"</f>
        <v>肆亿肆仟壹佰壹拾柒万元整</v>
      </c>
      <c r="G119" s="3334"/>
      <c r="H119" s="3333" t="str">
        <f ca="1">NUMBERSTRING(INT(H118*10000),2)&amp;"元整"</f>
        <v>壹拾贰亿叁仟伍佰柒拾捌万元整</v>
      </c>
      <c r="I119" s="3334"/>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3" t="s">
        <v>1447</v>
      </c>
      <c r="B121" s="3335"/>
      <c r="C121" s="3334"/>
      <c r="D121" s="3333" t="str">
        <f>IF(D120=0,"零元整",NUMBERSTRING(INT(D120*10000),2)&amp;"元整")</f>
        <v>零元整</v>
      </c>
      <c r="E121" s="3335"/>
      <c r="F121" s="3335"/>
      <c r="G121" s="3335"/>
      <c r="H121" s="3335"/>
      <c r="I121" s="3334"/>
      <c r="AA121" s="684"/>
    </row>
    <row r="122" spans="1:27" ht="18.75" customHeight="1">
      <c r="A122" s="3339" t="str">
        <f>IF(项目基本情况!B9="房地产市场价值","",MID(E107,3,LEN(E107)-2))</f>
        <v>房地产抵押价值</v>
      </c>
      <c r="B122" s="3339"/>
      <c r="C122" s="3339"/>
      <c r="D122" s="3328">
        <f ca="1">H107</f>
        <v>123578</v>
      </c>
      <c r="E122" s="3329"/>
      <c r="F122" s="3329"/>
      <c r="G122" s="3329"/>
      <c r="H122" s="3329"/>
      <c r="I122" s="3330"/>
      <c r="AA122" s="684"/>
    </row>
    <row r="123" spans="1:27" ht="18.75" customHeight="1">
      <c r="A123" s="3327" t="s">
        <v>1447</v>
      </c>
      <c r="B123" s="3327"/>
      <c r="C123" s="3327"/>
      <c r="D123" s="3333" t="str">
        <f ca="1">NUMBERSTRING(INT(D122*10000),2)&amp;"元整"</f>
        <v>壹拾贰亿叁仟伍佰柒拾捌万元整</v>
      </c>
      <c r="E123" s="3335"/>
      <c r="F123" s="3335"/>
      <c r="G123" s="3335"/>
      <c r="H123" s="3335"/>
      <c r="I123" s="3334"/>
      <c r="AA123" s="684"/>
    </row>
    <row r="124" spans="1:27" ht="18.75" customHeight="1">
      <c r="A124" s="3339" t="str">
        <f>IF(项目基本情况!B9="房地产市场价值","",MID(E109,3,LEN(E109)-2))</f>
        <v/>
      </c>
      <c r="B124" s="3339"/>
      <c r="C124" s="3339"/>
      <c r="D124" s="3328" t="str">
        <f>H109</f>
        <v>——</v>
      </c>
      <c r="E124" s="3329"/>
      <c r="F124" s="3329"/>
      <c r="G124" s="3329"/>
      <c r="H124" s="3329"/>
      <c r="I124" s="3330"/>
      <c r="AA124" s="684"/>
    </row>
    <row r="125" spans="1:27" ht="18.75" customHeight="1">
      <c r="A125" s="3327" t="s">
        <v>1447</v>
      </c>
      <c r="B125" s="3327"/>
      <c r="C125" s="3327"/>
      <c r="D125" s="3333" t="e">
        <f>NUMBERSTRING(INT(D124*10000),2)&amp;"元整"</f>
        <v>#VALUE!</v>
      </c>
      <c r="E125" s="3335"/>
      <c r="F125" s="3335"/>
      <c r="G125" s="3335"/>
      <c r="H125" s="3335"/>
      <c r="I125" s="3334"/>
      <c r="AA125" s="684"/>
    </row>
    <row r="126" spans="1:27" ht="18.75" customHeight="1">
      <c r="A126" s="3339" t="str">
        <f>IF(项目基本情况!B9="房地产市场价值","",MID(E111,3,LEN(E111)-2))</f>
        <v/>
      </c>
      <c r="B126" s="3339"/>
      <c r="C126" s="3339"/>
      <c r="D126" s="3328" t="str">
        <f>H111</f>
        <v>——</v>
      </c>
      <c r="E126" s="3329"/>
      <c r="F126" s="3329"/>
      <c r="G126" s="3329"/>
      <c r="H126" s="3329"/>
      <c r="I126" s="3330"/>
      <c r="AA126" s="684"/>
    </row>
    <row r="127" spans="1:27" ht="18.75" customHeight="1">
      <c r="A127" s="3327" t="s">
        <v>1447</v>
      </c>
      <c r="B127" s="3327"/>
      <c r="C127" s="3327"/>
      <c r="D127" s="3333" t="e">
        <f>NUMBERSTRING(INT(D126*10000),2)&amp;"元整"</f>
        <v>#VALUE!</v>
      </c>
      <c r="E127" s="3335"/>
      <c r="F127" s="3335"/>
      <c r="G127" s="3335"/>
      <c r="H127" s="3335"/>
      <c r="I127" s="3334"/>
      <c r="AA127" s="684"/>
    </row>
    <row r="128" spans="1:27" ht="21.75" customHeight="1">
      <c r="A128" s="3336" t="s">
        <v>1448</v>
      </c>
      <c r="B128" s="3336"/>
      <c r="C128" s="3336"/>
      <c r="D128" s="3336"/>
      <c r="E128" s="3336"/>
      <c r="F128" s="3336"/>
      <c r="G128" s="3336"/>
      <c r="H128" s="3336"/>
      <c r="I128" s="3336"/>
      <c r="AA128" s="684"/>
    </row>
    <row r="129" spans="1:35" ht="21.75" customHeight="1">
      <c r="A129" s="1690" t="s">
        <v>1449</v>
      </c>
      <c r="B129" s="1691"/>
      <c r="C129" s="1692" t="s">
        <v>1450</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1451</v>
      </c>
      <c r="G135" s="1705"/>
      <c r="H135" s="1705"/>
      <c r="I135" s="1706" t="s">
        <v>1452</v>
      </c>
    </row>
    <row r="136" spans="1:35" ht="21.75" customHeight="1">
      <c r="A136" s="684"/>
      <c r="B136" s="1707" t="s">
        <v>1453</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1454</v>
      </c>
    </row>
    <row r="139" spans="1:35" ht="21.75" customHeight="1">
      <c r="A139" s="684"/>
      <c r="B139" s="1707" t="s">
        <v>1455</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1454</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1456</v>
      </c>
      <c r="B1" s="1373"/>
      <c r="C1" s="190"/>
      <c r="D1" s="190"/>
      <c r="E1" s="190"/>
      <c r="F1" s="190"/>
      <c r="G1" s="1062">
        <f>MATCH(B1,'数据-取费表'!A6:A16,0)+5</f>
        <v>7</v>
      </c>
    </row>
    <row r="2" spans="1:9" s="192" customFormat="1" ht="18" customHeight="1">
      <c r="A2" s="193" t="s">
        <v>1457</v>
      </c>
      <c r="B2" s="194">
        <f ca="1">IF(D2="——",C52,C52-E2)</f>
        <v>150270</v>
      </c>
      <c r="C2" s="191" t="s">
        <v>1458</v>
      </c>
      <c r="D2" s="1710" t="s">
        <v>43</v>
      </c>
      <c r="E2" s="1089" t="e">
        <f ca="1">SUMIF(INDIRECT("'"&amp;G2&amp;"'"&amp;"!A:A"),"承租人权益价值",INDIRECT("'"&amp;G2&amp;"'"&amp;"!c:c"))</f>
        <v>#REF!</v>
      </c>
      <c r="F2" s="1711" t="s">
        <v>1458</v>
      </c>
      <c r="G2" s="1712"/>
    </row>
    <row r="3" spans="1:9" s="192" customFormat="1" ht="18" customHeight="1" thickBot="1">
      <c r="A3" s="195" t="s">
        <v>1459</v>
      </c>
      <c r="B3" s="196">
        <f ca="1">ROUND(B2*10000/(IF(B1="",'数据-汇总表'!E3,INDIRECT("'数据-取费表'!k"&amp;$G$1))),0)</f>
        <v>22762</v>
      </c>
      <c r="C3" s="191" t="s">
        <v>1460</v>
      </c>
      <c r="D3" s="191"/>
      <c r="E3" s="191"/>
      <c r="F3" s="191"/>
      <c r="G3" s="191"/>
    </row>
    <row r="4" spans="1:9" s="200" customFormat="1" ht="15.75">
      <c r="A4" s="197" t="s">
        <v>1461</v>
      </c>
      <c r="B4" s="198"/>
      <c r="C4" s="198"/>
      <c r="D4" s="198"/>
      <c r="E4" s="198"/>
      <c r="F4" s="198"/>
      <c r="G4" s="199"/>
    </row>
    <row r="5" spans="1:9" s="206" customFormat="1" ht="13.5" customHeight="1">
      <c r="A5" s="247" t="s">
        <v>1462</v>
      </c>
      <c r="B5" s="202" t="s">
        <v>1463</v>
      </c>
      <c r="C5" s="203">
        <f ca="1">C6+C7+C8</f>
        <v>63324</v>
      </c>
      <c r="D5" s="203" t="s">
        <v>1464</v>
      </c>
      <c r="E5" s="204" t="s">
        <v>1465</v>
      </c>
      <c r="F5" s="204" t="s">
        <v>1466</v>
      </c>
      <c r="G5" s="205"/>
    </row>
    <row r="6" spans="1:9" s="206" customFormat="1" ht="13.5" customHeight="1">
      <c r="A6" s="732" t="s">
        <v>1467</v>
      </c>
      <c r="B6" s="207" t="s">
        <v>1468</v>
      </c>
      <c r="C6" s="208">
        <f>'土地比较法-住宅、综合'!F65</f>
        <v>60233</v>
      </c>
      <c r="D6" s="209"/>
      <c r="E6" s="210"/>
      <c r="F6" s="210"/>
      <c r="G6" s="211"/>
    </row>
    <row r="7" spans="1:9" s="206" customFormat="1" ht="13.5" customHeight="1">
      <c r="A7" s="732" t="s">
        <v>1469</v>
      </c>
      <c r="B7" s="207" t="s">
        <v>1470</v>
      </c>
      <c r="C7" s="212">
        <f>ROUND(C6*F7,0)</f>
        <v>1837</v>
      </c>
      <c r="D7" s="212"/>
      <c r="E7" s="210"/>
      <c r="F7" s="213">
        <f>IF(项目基本情况!B8="出让",0,'数据-取费表'!B48+'数据-取费表'!B49)</f>
        <v>3.0499999999999999E-2</v>
      </c>
      <c r="G7" s="211"/>
    </row>
    <row r="8" spans="1:9" s="215" customFormat="1">
      <c r="A8" s="732" t="s">
        <v>1471</v>
      </c>
      <c r="B8" s="207" t="s">
        <v>1472</v>
      </c>
      <c r="C8" s="212">
        <f ca="1">IF(G8="已包含在土地购买价格中","0",IF(B1="",'数据-取费表'!B29,IF(G9="全部缴纳",C9+C10,H9)))</f>
        <v>1254</v>
      </c>
      <c r="D8" s="214"/>
      <c r="E8" s="212"/>
      <c r="F8" s="213"/>
      <c r="G8" s="1713" t="s">
        <v>4365</v>
      </c>
    </row>
    <row r="9" spans="1:9" s="206" customFormat="1" ht="13.5" customHeight="1">
      <c r="A9" s="733" t="s">
        <v>355</v>
      </c>
      <c r="B9" s="216" t="s">
        <v>1473</v>
      </c>
      <c r="C9" s="217">
        <f ca="1">ROUND(D9*E9/10000,0)</f>
        <v>0</v>
      </c>
      <c r="D9" s="795">
        <f ca="1">IF(B1="",'数据-汇总表'!E5,IF(INDIRECT("'数据-取费表'!c"&amp;$G$1)="住宅",INDIRECT("'数据-取费表'!k"&amp;$G$1),0))</f>
        <v>0</v>
      </c>
      <c r="E9" s="217">
        <f>'数据-取费表'!B27</f>
        <v>150</v>
      </c>
      <c r="F9" s="213"/>
      <c r="G9" s="1714" t="s">
        <v>4366</v>
      </c>
      <c r="H9" s="1070"/>
      <c r="I9" s="1715" t="s">
        <v>1474</v>
      </c>
    </row>
    <row r="10" spans="1:9" s="206" customFormat="1" ht="13.5" customHeight="1">
      <c r="A10" s="733" t="s">
        <v>356</v>
      </c>
      <c r="B10" s="216" t="s">
        <v>1475</v>
      </c>
      <c r="C10" s="217">
        <f ca="1">ROUND(D10*E10/10000,0)</f>
        <v>1254</v>
      </c>
      <c r="D10" s="795">
        <f ca="1">IF(B1="",'数据-汇总表'!E6,IF(INDIRECT("'数据-取费表'!c"&amp;$G$1)="住宅",INDIRECT("'数据-取费表'!s"&amp;$G$1),INDIRECT("'数据-取费表'!k"&amp;$G$1)+INDIRECT("'数据-取费表'!s"&amp;$G$1)))</f>
        <v>66017.299999999916</v>
      </c>
      <c r="E10" s="217">
        <f>'数据-取费表'!B28</f>
        <v>190</v>
      </c>
      <c r="F10" s="213"/>
      <c r="G10" s="218"/>
    </row>
    <row r="11" spans="1:9" s="206" customFormat="1" ht="13.5" hidden="1" customHeight="1">
      <c r="A11" s="219" t="s">
        <v>4</v>
      </c>
      <c r="B11" s="207" t="s">
        <v>1476</v>
      </c>
      <c r="C11" s="203"/>
      <c r="D11" s="210"/>
      <c r="E11" s="210"/>
      <c r="F11" s="210"/>
      <c r="G11" s="211"/>
    </row>
    <row r="12" spans="1:9" s="206" customFormat="1" ht="13.5" hidden="1" customHeight="1">
      <c r="A12" s="219" t="s">
        <v>5</v>
      </c>
      <c r="B12" s="207" t="s">
        <v>1477</v>
      </c>
      <c r="C12" s="203">
        <v>0</v>
      </c>
      <c r="D12" s="210"/>
      <c r="E12" s="220"/>
      <c r="F12" s="213">
        <v>3.0499999999999999E-2</v>
      </c>
      <c r="G12" s="211"/>
    </row>
    <row r="13" spans="1:9" s="206" customFormat="1" ht="13.5" hidden="1" customHeight="1">
      <c r="A13" s="219" t="s">
        <v>6</v>
      </c>
      <c r="B13" s="207" t="s">
        <v>1478</v>
      </c>
      <c r="C13" s="203"/>
      <c r="D13" s="210"/>
      <c r="E13" s="210"/>
      <c r="F13" s="210"/>
      <c r="G13" s="211"/>
    </row>
    <row r="14" spans="1:9" s="206" customFormat="1" ht="13.5" hidden="1" customHeight="1">
      <c r="A14" s="219" t="s">
        <v>7</v>
      </c>
      <c r="B14" s="207" t="s">
        <v>1479</v>
      </c>
      <c r="C14" s="203"/>
      <c r="D14" s="210"/>
      <c r="E14" s="210"/>
      <c r="F14" s="210"/>
      <c r="G14" s="211" t="s">
        <v>1480</v>
      </c>
    </row>
    <row r="15" spans="1:9" s="206" customFormat="1" ht="13.5" hidden="1" customHeight="1">
      <c r="A15" s="219" t="s">
        <v>8</v>
      </c>
      <c r="B15" s="207" t="s">
        <v>1481</v>
      </c>
      <c r="C15" s="212"/>
      <c r="D15" s="210"/>
      <c r="E15" s="210"/>
      <c r="F15" s="210"/>
      <c r="G15" s="211" t="s">
        <v>1482</v>
      </c>
    </row>
    <row r="16" spans="1:9" s="206" customFormat="1" ht="13.5" hidden="1" customHeight="1">
      <c r="A16" s="219" t="s">
        <v>9</v>
      </c>
      <c r="B16" s="207" t="s">
        <v>1479</v>
      </c>
      <c r="C16" s="212"/>
      <c r="D16" s="210"/>
      <c r="E16" s="210"/>
      <c r="F16" s="210"/>
      <c r="G16" s="211"/>
    </row>
    <row r="17" spans="1:7" s="206" customFormat="1" ht="13.5" hidden="1" customHeight="1">
      <c r="A17" s="219" t="s">
        <v>10</v>
      </c>
      <c r="B17" s="207" t="s">
        <v>1483</v>
      </c>
      <c r="C17" s="221"/>
      <c r="D17" s="221"/>
      <c r="E17" s="221"/>
      <c r="F17" s="221"/>
      <c r="G17" s="211" t="s">
        <v>1482</v>
      </c>
    </row>
    <row r="18" spans="1:7" s="206" customFormat="1" ht="13.5" hidden="1" customHeight="1">
      <c r="A18" s="219" t="s">
        <v>11</v>
      </c>
      <c r="B18" s="207" t="s">
        <v>1484</v>
      </c>
      <c r="C18" s="212">
        <v>0</v>
      </c>
      <c r="D18" s="210"/>
      <c r="E18" s="210"/>
      <c r="F18" s="213">
        <v>3.0499999999999999E-2</v>
      </c>
      <c r="G18" s="211" t="s">
        <v>1485</v>
      </c>
    </row>
    <row r="19" spans="1:7" s="215" customFormat="1" ht="13.5" customHeight="1">
      <c r="A19" s="247" t="s">
        <v>1486</v>
      </c>
      <c r="B19" s="202" t="s">
        <v>1487</v>
      </c>
      <c r="C19" s="203" t="str">
        <f>IF(G19="已包含在土地取得成本中","0",ROUND(D19*E19/10000,0))</f>
        <v>0</v>
      </c>
      <c r="D19" s="204">
        <f ca="1">D9+D10</f>
        <v>66017.299999999916</v>
      </c>
      <c r="E19" s="203">
        <f>'数据-取费表'!B31</f>
        <v>200</v>
      </c>
      <c r="F19" s="223"/>
      <c r="G19" s="1713" t="s">
        <v>4367</v>
      </c>
    </row>
    <row r="20" spans="1:7" s="206" customFormat="1" ht="13.5" customHeight="1">
      <c r="A20" s="247" t="s">
        <v>1488</v>
      </c>
      <c r="B20" s="202" t="s">
        <v>1489</v>
      </c>
      <c r="C20" s="224">
        <f ca="1">ROUND((C5+C19)*F20,0)</f>
        <v>1900</v>
      </c>
      <c r="D20" s="224"/>
      <c r="E20" s="224"/>
      <c r="F20" s="225">
        <f>'数据-取费表'!B37</f>
        <v>0.03</v>
      </c>
      <c r="G20" s="226" t="s">
        <v>1490</v>
      </c>
    </row>
    <row r="21" spans="1:7" s="206" customFormat="1" ht="13.5" customHeight="1">
      <c r="A21" s="247" t="s">
        <v>1491</v>
      </c>
      <c r="B21" s="202" t="s">
        <v>1492</v>
      </c>
      <c r="C21" s="227">
        <f>F21</f>
        <v>0.03</v>
      </c>
      <c r="D21" s="228" t="s">
        <v>1493</v>
      </c>
      <c r="E21" s="224"/>
      <c r="F21" s="225">
        <f>'数据-取费表'!B38</f>
        <v>0.03</v>
      </c>
      <c r="G21" s="226" t="s">
        <v>1494</v>
      </c>
    </row>
    <row r="22" spans="1:7" s="206" customFormat="1" ht="13.5" customHeight="1">
      <c r="A22" s="247" t="s">
        <v>1495</v>
      </c>
      <c r="B22" s="202" t="s">
        <v>1496</v>
      </c>
      <c r="C22" s="1041">
        <f ca="1">ROUND(SUM(C23:C25),0)</f>
        <v>6163</v>
      </c>
      <c r="D22" s="227">
        <f ca="1">C26</f>
        <v>1.4E-3</v>
      </c>
      <c r="E22" s="228" t="s">
        <v>1493</v>
      </c>
      <c r="F22" s="229">
        <f ca="1">'数据-取费表'!B40</f>
        <v>3.1E-2</v>
      </c>
      <c r="G22" s="226" t="str">
        <f>IF('数据-取费表'!B22&lt;=1,"单利计息","复利计息")</f>
        <v>复利计息</v>
      </c>
    </row>
    <row r="23" spans="1:7" s="206" customFormat="1" ht="13.5" customHeight="1">
      <c r="A23" s="734" t="s">
        <v>1497</v>
      </c>
      <c r="B23" s="207" t="s">
        <v>1498</v>
      </c>
      <c r="C23" s="1042">
        <f ca="1">ROUND(IF('数据-取费表'!B22&lt;=1,C5*F22*'数据-取费表'!B23,C5*(POWER((1+F22),'数据-取费表'!B23)-1)),0)</f>
        <v>6074</v>
      </c>
      <c r="D23" s="230"/>
      <c r="E23" s="230"/>
      <c r="F23" s="231"/>
      <c r="G23" s="232" t="s">
        <v>1499</v>
      </c>
    </row>
    <row r="24" spans="1:7" s="206" customFormat="1" ht="13.5" customHeight="1">
      <c r="A24" s="734" t="s">
        <v>1500</v>
      </c>
      <c r="B24" s="207" t="s">
        <v>1501</v>
      </c>
      <c r="C24" s="1042">
        <f ca="1">ROUND(IF('数据-取费表'!B22&lt;=1,C19*F22*('数据-取费表'!B19/2+'数据-取费表'!B21),C19*(POWER((1+F22),('数据-取费表'!B19/2+'数据-取费表'!B21))-1)),0)</f>
        <v>0</v>
      </c>
      <c r="D24" s="230"/>
      <c r="E24" s="230"/>
      <c r="F24" s="231"/>
      <c r="G24" s="232" t="s">
        <v>1502</v>
      </c>
    </row>
    <row r="25" spans="1:7" s="206" customFormat="1" ht="24">
      <c r="A25" s="734" t="s">
        <v>1503</v>
      </c>
      <c r="B25" s="207" t="s">
        <v>1504</v>
      </c>
      <c r="C25" s="1042">
        <f ca="1">ROUND(IF('数据-取费表'!B22&lt;=1,C20*F22*'数据-取费表'!B23/2,C20*(POWER((1+F22),'数据-取费表'!B23/2)-1)),0)</f>
        <v>89</v>
      </c>
      <c r="D25" s="230"/>
      <c r="E25" s="233"/>
      <c r="F25" s="231"/>
      <c r="G25" s="234" t="s">
        <v>1505</v>
      </c>
    </row>
    <row r="26" spans="1:7" s="206" customFormat="1">
      <c r="A26" s="734" t="s">
        <v>350</v>
      </c>
      <c r="B26" s="207" t="s">
        <v>1506</v>
      </c>
      <c r="C26" s="230">
        <f ca="1">ROUND(IF('数据-取费表'!B22&lt;=1,F21*F22*'数据-取费表'!B23/2,F21*(POWER((1+F22),'数据-取费表'!B23/2)-1)),4)</f>
        <v>1.4E-3</v>
      </c>
      <c r="D26" s="230"/>
      <c r="E26" s="233"/>
      <c r="F26" s="231"/>
      <c r="G26" s="235"/>
    </row>
    <row r="27" spans="1:7" s="206" customFormat="1" ht="24.75">
      <c r="A27" s="247" t="s">
        <v>1507</v>
      </c>
      <c r="B27" s="236" t="s">
        <v>1508</v>
      </c>
      <c r="C27" s="237">
        <f ca="1">C28</f>
        <v>16306</v>
      </c>
      <c r="D27" s="227">
        <f ca="1">C29</f>
        <v>7.4999999999999997E-3</v>
      </c>
      <c r="E27" s="228" t="s">
        <v>1509</v>
      </c>
      <c r="F27" s="238">
        <f ca="1">IF(B1="",'数据-取费表'!Q16,INDIRECT("'数据-取费表'!q"&amp;$G$1))</f>
        <v>0.25</v>
      </c>
      <c r="G27" s="239" t="s">
        <v>1510</v>
      </c>
    </row>
    <row r="28" spans="1:7" s="206" customFormat="1" ht="13.5" customHeight="1">
      <c r="A28" s="734" t="s">
        <v>346</v>
      </c>
      <c r="B28" s="240" t="s">
        <v>1511</v>
      </c>
      <c r="C28" s="241">
        <f ca="1">ROUND((C5+C19+C20)*F27*'数据-取费表'!B21/'数据-取费表'!B20,0)</f>
        <v>16306</v>
      </c>
      <c r="D28" s="227"/>
      <c r="E28" s="228"/>
      <c r="F28" s="238"/>
      <c r="G28" s="239"/>
    </row>
    <row r="29" spans="1:7" s="206" customFormat="1" ht="13.5" customHeight="1">
      <c r="A29" s="734" t="s">
        <v>347</v>
      </c>
      <c r="B29" s="240" t="s">
        <v>1512</v>
      </c>
      <c r="C29" s="230">
        <f ca="1">ROUND(C21*F27*'数据-取费表'!B21/'数据-取费表'!B20,4)</f>
        <v>7.4999999999999997E-3</v>
      </c>
      <c r="D29" s="227"/>
      <c r="E29" s="228"/>
      <c r="F29" s="238"/>
      <c r="G29" s="239"/>
    </row>
    <row r="30" spans="1:7" s="206" customFormat="1" ht="13.5" customHeight="1">
      <c r="A30" s="247" t="s">
        <v>1513</v>
      </c>
      <c r="B30" s="202" t="s">
        <v>1514</v>
      </c>
      <c r="C30" s="227">
        <f>ROUND(F30/(1+'数据-取费表'!C42),4)</f>
        <v>5.33E-2</v>
      </c>
      <c r="D30" s="228" t="s">
        <v>1509</v>
      </c>
      <c r="E30" s="233"/>
      <c r="F30" s="229">
        <f>'数据-取费表'!B41</f>
        <v>5.6000000000000001E-2</v>
      </c>
      <c r="G30" s="226" t="s">
        <v>1515</v>
      </c>
    </row>
    <row r="31" spans="1:7" ht="16.5" customHeight="1">
      <c r="A31" s="201">
        <v>1</v>
      </c>
      <c r="B31" s="202" t="s">
        <v>1516</v>
      </c>
      <c r="C31" s="203">
        <f ca="1">ROUND((C5+C19+C20+C22+C27)/(1-C21-D22-D27-C30),0)</f>
        <v>96599</v>
      </c>
      <c r="D31" s="222"/>
      <c r="E31" s="203"/>
      <c r="F31" s="242"/>
      <c r="G31" s="226" t="s">
        <v>1517</v>
      </c>
    </row>
    <row r="32" spans="1:7" s="200" customFormat="1" ht="15.75">
      <c r="A32" s="244" t="s">
        <v>1518</v>
      </c>
      <c r="B32" s="245"/>
      <c r="C32" s="245"/>
      <c r="D32" s="245"/>
      <c r="E32" s="245"/>
      <c r="F32" s="245"/>
      <c r="G32" s="246"/>
    </row>
    <row r="33" spans="1:7" s="206" customFormat="1" ht="13.5" customHeight="1">
      <c r="A33" s="247" t="s">
        <v>337</v>
      </c>
      <c r="B33" s="202" t="s">
        <v>1519</v>
      </c>
      <c r="C33" s="248">
        <f ca="1">SUM(C34:C38)</f>
        <v>38395</v>
      </c>
      <c r="D33" s="224"/>
      <c r="E33" s="204"/>
      <c r="F33" s="233"/>
      <c r="G33" s="226"/>
    </row>
    <row r="34" spans="1:7" s="250" customFormat="1" ht="13.5" customHeight="1">
      <c r="A34" s="734" t="s">
        <v>346</v>
      </c>
      <c r="B34" s="207" t="s">
        <v>1520</v>
      </c>
      <c r="C34" s="212">
        <f ca="1">IF(B1="",IF(F34=100%,'数据-取费表'!M16,'数据-取费表'!O16),IF(F34=100%,INDIRECT("'数据-取费表'!m"&amp;$G$1)+INDIRECT("'数据-取费表'!t"&amp;$G$1),INDIRECT("'数据-取费表'!o"&amp;$G$1)+INDIRECT("'数据-取费表'!aq"&amp;$G$1)))</f>
        <v>34329</v>
      </c>
      <c r="D34" s="209"/>
      <c r="E34" s="212"/>
      <c r="F34" s="249">
        <f ca="1">IF('数据-取费表'!B24=0,1,IF(B1="",'数据-取费表'!N16,INDIRECT("'数据-取费表'!n"&amp;$G$1)))</f>
        <v>1</v>
      </c>
      <c r="G34" s="211" t="s">
        <v>1521</v>
      </c>
    </row>
    <row r="35" spans="1:7" ht="13.5" customHeight="1">
      <c r="A35" s="734" t="s">
        <v>351</v>
      </c>
      <c r="B35" s="207" t="s">
        <v>1522</v>
      </c>
      <c r="C35" s="212">
        <f ca="1">ROUND(C34*F35,0)</f>
        <v>1716</v>
      </c>
      <c r="D35" s="212"/>
      <c r="E35" s="212"/>
      <c r="F35" s="251">
        <f>'数据-取费表'!B33</f>
        <v>0.05</v>
      </c>
      <c r="G35" s="211" t="s">
        <v>1523</v>
      </c>
    </row>
    <row r="36" spans="1:7" ht="24">
      <c r="A36" s="734" t="s">
        <v>352</v>
      </c>
      <c r="B36" s="207" t="s">
        <v>1524</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1525</v>
      </c>
    </row>
    <row r="37" spans="1:7" s="250" customFormat="1" ht="13.5" customHeight="1">
      <c r="A37" s="734" t="s">
        <v>353</v>
      </c>
      <c r="B37" s="207" t="s">
        <v>1526</v>
      </c>
      <c r="C37" s="241">
        <f ca="1">ROUND(E37*D37*F34/10000,0)</f>
        <v>1320</v>
      </c>
      <c r="D37" s="209">
        <f ca="1">D19</f>
        <v>66017.299999999916</v>
      </c>
      <c r="E37" s="241">
        <f>'数据-取费表'!B35</f>
        <v>200</v>
      </c>
      <c r="F37" s="251"/>
      <c r="G37" s="253" t="s">
        <v>1527</v>
      </c>
    </row>
    <row r="38" spans="1:7" ht="13.5" customHeight="1">
      <c r="A38" s="734" t="s">
        <v>354</v>
      </c>
      <c r="B38" s="207" t="s">
        <v>1528</v>
      </c>
      <c r="C38" s="212">
        <f ca="1">ROUND(C34*F38,0)</f>
        <v>1030</v>
      </c>
      <c r="D38" s="212"/>
      <c r="E38" s="212"/>
      <c r="F38" s="251">
        <f>'数据-取费表'!B36</f>
        <v>0.03</v>
      </c>
      <c r="G38" s="211" t="s">
        <v>1523</v>
      </c>
    </row>
    <row r="39" spans="1:7" s="206" customFormat="1" ht="13.5" customHeight="1">
      <c r="A39" s="247" t="s">
        <v>1529</v>
      </c>
      <c r="B39" s="202" t="s">
        <v>1530</v>
      </c>
      <c r="C39" s="224">
        <f ca="1">ROUND(C33*F20,0)</f>
        <v>1152</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1853</v>
      </c>
      <c r="D41" s="227">
        <f ca="1">C44</f>
        <v>1.4E-3</v>
      </c>
      <c r="E41" s="228" t="s">
        <v>1534</v>
      </c>
      <c r="F41" s="229">
        <f ca="1">F22</f>
        <v>3.1E-2</v>
      </c>
      <c r="G41" s="226" t="str">
        <f>IF('数据-取费表'!B22&lt;=1,"单利计息","复利计息")</f>
        <v>复利计息</v>
      </c>
    </row>
    <row r="42" spans="1:7" ht="13.5" customHeight="1">
      <c r="A42" s="734" t="s">
        <v>346</v>
      </c>
      <c r="B42" s="207" t="s">
        <v>1538</v>
      </c>
      <c r="C42" s="230">
        <f ca="1">ROUND(IF('数据-取费表'!B22&lt;=1,C33*F22*'数据-取费表'!B21/2,C33*(POWER((1+F22),'数据-取费表'!B21/2)-1)),0)</f>
        <v>1799</v>
      </c>
      <c r="D42" s="230"/>
      <c r="E42" s="230"/>
      <c r="F42" s="231"/>
      <c r="G42" s="3406" t="s">
        <v>1539</v>
      </c>
    </row>
    <row r="43" spans="1:7" ht="13.5" customHeight="1">
      <c r="A43" s="734" t="s">
        <v>347</v>
      </c>
      <c r="B43" s="207" t="s">
        <v>1540</v>
      </c>
      <c r="C43" s="230">
        <f ca="1">ROUND(IF('数据-取费表'!B22&lt;=1,C39*F22*'数据-取费表'!B21/2,C39*(POWER((1+F22),'数据-取费表'!B21/2)-1)),0)</f>
        <v>54</v>
      </c>
      <c r="D43" s="230"/>
      <c r="E43" s="230"/>
      <c r="F43" s="231"/>
      <c r="G43" s="3407"/>
    </row>
    <row r="44" spans="1:7" ht="13.5" customHeight="1">
      <c r="A44" s="734" t="s">
        <v>348</v>
      </c>
      <c r="B44" s="207" t="s">
        <v>1541</v>
      </c>
      <c r="C44" s="230">
        <f ca="1">ROUND(IF('数据-取费表'!B22&lt;=1,C40*F22*'数据-取费表'!B21/2,C40*(POWER((1+F22),'数据-取费表'!B21/2)-1)),4)</f>
        <v>1.4E-3</v>
      </c>
      <c r="D44" s="230"/>
      <c r="E44" s="230"/>
      <c r="F44" s="231"/>
      <c r="G44" s="3408"/>
    </row>
    <row r="45" spans="1:7" s="206" customFormat="1" ht="13.5" customHeight="1">
      <c r="A45" s="247" t="s">
        <v>1542</v>
      </c>
      <c r="B45" s="236" t="s">
        <v>1508</v>
      </c>
      <c r="C45" s="237">
        <f ca="1">C46</f>
        <v>9887</v>
      </c>
      <c r="D45" s="227">
        <f ca="1">C47</f>
        <v>7.4999999999999997E-3</v>
      </c>
      <c r="E45" s="228" t="s">
        <v>1534</v>
      </c>
      <c r="F45" s="238">
        <f ca="1">F27</f>
        <v>0.25</v>
      </c>
      <c r="G45" s="239" t="s">
        <v>1543</v>
      </c>
    </row>
    <row r="46" spans="1:7" s="206" customFormat="1" ht="13.5" customHeight="1">
      <c r="A46" s="734" t="s">
        <v>346</v>
      </c>
      <c r="B46" s="240" t="s">
        <v>1544</v>
      </c>
      <c r="C46" s="241">
        <f ca="1">ROUND((C33+C39)*F27,0)</f>
        <v>9887</v>
      </c>
      <c r="D46" s="255"/>
      <c r="E46" s="228"/>
      <c r="F46" s="238"/>
      <c r="G46" s="239"/>
    </row>
    <row r="47" spans="1:7" s="206" customFormat="1" ht="13.5" customHeight="1">
      <c r="A47" s="734" t="s">
        <v>347</v>
      </c>
      <c r="B47" s="240" t="s">
        <v>1545</v>
      </c>
      <c r="C47" s="230">
        <f ca="1">ROUND(C40*F27,4)</f>
        <v>7.4999999999999997E-3</v>
      </c>
      <c r="D47" s="255"/>
      <c r="E47" s="228"/>
      <c r="F47" s="238"/>
      <c r="G47" s="239"/>
    </row>
    <row r="48" spans="1:7" s="206" customFormat="1" ht="13.5" customHeight="1">
      <c r="A48" s="247" t="s">
        <v>1507</v>
      </c>
      <c r="B48" s="202" t="s">
        <v>1546</v>
      </c>
      <c r="C48" s="227">
        <f>ROUND(F30/(1+'数据-取费表'!C42),4)</f>
        <v>5.33E-2</v>
      </c>
      <c r="D48" s="228" t="s">
        <v>1534</v>
      </c>
      <c r="E48" s="224"/>
      <c r="F48" s="229">
        <f>F30</f>
        <v>5.6000000000000001E-2</v>
      </c>
      <c r="G48" s="226" t="s">
        <v>1547</v>
      </c>
    </row>
    <row r="49" spans="1:7" ht="16.5" customHeight="1">
      <c r="A49" s="247" t="s">
        <v>1513</v>
      </c>
      <c r="B49" s="202" t="s">
        <v>1548</v>
      </c>
      <c r="C49" s="224">
        <f ca="1">ROUND((C33+C39+C41+C45)/(1-C40-D41-D45-C48),0)</f>
        <v>56496</v>
      </c>
      <c r="D49" s="224"/>
      <c r="E49" s="224"/>
      <c r="F49" s="256"/>
      <c r="G49" s="226" t="s">
        <v>1549</v>
      </c>
    </row>
    <row r="50" spans="1:7" s="250" customFormat="1" ht="24">
      <c r="A50" s="247" t="s">
        <v>1550</v>
      </c>
      <c r="B50" s="202" t="s">
        <v>1551</v>
      </c>
      <c r="C50" s="224"/>
      <c r="D50" s="224"/>
      <c r="E50" s="224"/>
      <c r="F50" s="256">
        <f>IF('数据-取费表'!B24=0,'数据-取费表'!N16,1)</f>
        <v>0.95</v>
      </c>
      <c r="G50" s="239" t="s">
        <v>1552</v>
      </c>
    </row>
    <row r="51" spans="1:7" ht="16.5" customHeight="1">
      <c r="A51" s="247" t="s">
        <v>1553</v>
      </c>
      <c r="B51" s="202" t="s">
        <v>1554</v>
      </c>
      <c r="C51" s="224">
        <f ca="1">ROUND(C49*F50,0)</f>
        <v>53671</v>
      </c>
      <c r="D51" s="224"/>
      <c r="E51" s="224"/>
      <c r="F51" s="256"/>
      <c r="G51" s="226" t="s">
        <v>1555</v>
      </c>
    </row>
    <row r="52" spans="1:7" s="200" customFormat="1" ht="16.5" thickBot="1">
      <c r="A52" s="257" t="s">
        <v>1556</v>
      </c>
      <c r="B52" s="258"/>
      <c r="C52" s="259">
        <f ca="1">C31+C51</f>
        <v>150270</v>
      </c>
      <c r="D52" s="258"/>
      <c r="E52" s="258"/>
      <c r="F52" s="258"/>
      <c r="G52" s="260"/>
    </row>
    <row r="55" spans="1:7" ht="15">
      <c r="B55" s="262" t="s">
        <v>1557</v>
      </c>
      <c r="C55" s="263"/>
    </row>
    <row r="56" spans="1:7">
      <c r="B56" s="265" t="s">
        <v>800</v>
      </c>
      <c r="C56" s="267">
        <f ca="1">1-C57</f>
        <v>0.64300000000000002</v>
      </c>
    </row>
    <row r="57" spans="1:7">
      <c r="B57" s="265" t="s">
        <v>801</v>
      </c>
      <c r="C57" s="266">
        <f ca="1">ROUND(C51/C52,3)</f>
        <v>0.35699999999999998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1456</v>
      </c>
      <c r="B1" s="1373"/>
      <c r="C1" s="1716" t="s">
        <v>1558</v>
      </c>
      <c r="D1" s="190"/>
      <c r="E1" s="190"/>
      <c r="F1" s="190"/>
      <c r="G1" s="1062">
        <f>MATCH(B1,'数据-取费表'!A6:A16,0)+5</f>
        <v>7</v>
      </c>
      <c r="H1" s="998" t="str">
        <f>IF(ISERROR(FIND("住宅",B1)),"非住宅","住宅")</f>
        <v>非住宅</v>
      </c>
    </row>
    <row r="2" spans="1:8" s="192" customFormat="1" ht="18" customHeight="1">
      <c r="A2" s="193" t="s">
        <v>1457</v>
      </c>
      <c r="B2" s="3121">
        <f ca="1">ROUND(IF(D2="——",C52/10000,C52/10000-E2),4)</f>
        <v>57599.287799999998</v>
      </c>
      <c r="C2" s="191" t="s">
        <v>1458</v>
      </c>
      <c r="D2" s="1710" t="s">
        <v>43</v>
      </c>
      <c r="E2" s="1089" t="e">
        <f ca="1">SUMIF(INDIRECT("'"&amp;G2&amp;"'"&amp;"!A:A"),"承租人权益价值",INDIRECT("'"&amp;G2&amp;"'"&amp;"!c:c"))</f>
        <v>#REF!</v>
      </c>
      <c r="F2" s="1711" t="s">
        <v>1458</v>
      </c>
      <c r="G2" s="1712"/>
    </row>
    <row r="3" spans="1:8" s="192" customFormat="1" ht="18" customHeight="1" thickBot="1">
      <c r="A3" s="195" t="s">
        <v>1459</v>
      </c>
      <c r="B3" s="196">
        <f ca="1">ROUND(B2*10000/(IF(B1="",'数据-汇总表'!E3,INDIRECT("'数据-取费表'!k"&amp;$G$1))),0)</f>
        <v>8725</v>
      </c>
      <c r="C3" s="191" t="s">
        <v>1460</v>
      </c>
      <c r="D3" s="191"/>
      <c r="E3" s="191"/>
      <c r="F3" s="191"/>
      <c r="G3" s="191"/>
    </row>
    <row r="4" spans="1:8" s="200" customFormat="1" ht="15.75">
      <c r="A4" s="197" t="s">
        <v>1461</v>
      </c>
      <c r="B4" s="198"/>
      <c r="C4" s="198"/>
      <c r="D4" s="198"/>
      <c r="E4" s="198"/>
      <c r="F4" s="198"/>
      <c r="G4" s="199"/>
    </row>
    <row r="5" spans="1:8" s="206" customFormat="1" ht="13.5" customHeight="1">
      <c r="A5" s="247" t="s">
        <v>1462</v>
      </c>
      <c r="B5" s="202" t="s">
        <v>1463</v>
      </c>
      <c r="C5" s="203">
        <f ca="1">C6+C7+C8</f>
        <v>12543287</v>
      </c>
      <c r="D5" s="203" t="s">
        <v>1464</v>
      </c>
      <c r="E5" s="204" t="s">
        <v>1465</v>
      </c>
      <c r="F5" s="204" t="s">
        <v>1466</v>
      </c>
      <c r="G5" s="205"/>
    </row>
    <row r="6" spans="1:8" s="206" customFormat="1" ht="13.5" customHeight="1">
      <c r="A6" s="732" t="s">
        <v>1467</v>
      </c>
      <c r="B6" s="207" t="s">
        <v>1468</v>
      </c>
      <c r="C6" s="208"/>
      <c r="D6" s="209"/>
      <c r="E6" s="210"/>
      <c r="F6" s="210"/>
      <c r="G6" s="211"/>
    </row>
    <row r="7" spans="1:8" s="206" customFormat="1" ht="13.5" customHeight="1">
      <c r="A7" s="732" t="s">
        <v>1469</v>
      </c>
      <c r="B7" s="207" t="s">
        <v>1470</v>
      </c>
      <c r="C7" s="212">
        <f>ROUND(C6*F7,0)</f>
        <v>0</v>
      </c>
      <c r="D7" s="212"/>
      <c r="E7" s="210"/>
      <c r="F7" s="213">
        <f>IF(项目基本情况!B8="出让",0,'数据-取费表'!B48+'数据-取费表'!B49)</f>
        <v>3.0499999999999999E-2</v>
      </c>
      <c r="G7" s="211"/>
    </row>
    <row r="8" spans="1:8" s="215" customFormat="1">
      <c r="A8" s="732" t="s">
        <v>1471</v>
      </c>
      <c r="B8" s="207" t="s">
        <v>1472</v>
      </c>
      <c r="C8" s="212">
        <f ca="1">IF(G8="已包含在土地购买价格中",0,C9+C10)</f>
        <v>12543287</v>
      </c>
      <c r="D8" s="214"/>
      <c r="E8" s="212"/>
      <c r="F8" s="213"/>
      <c r="G8" s="1713"/>
    </row>
    <row r="9" spans="1:8" s="206" customFormat="1" ht="13.5" customHeight="1">
      <c r="A9" s="733" t="s">
        <v>355</v>
      </c>
      <c r="B9" s="216" t="s">
        <v>1473</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1475</v>
      </c>
      <c r="C10" s="217">
        <f ca="1">ROUND(D10*E10,0)</f>
        <v>12543287</v>
      </c>
      <c r="D10" s="795">
        <f ca="1">IF(B1="",'数据-汇总表'!E6,IF(INDIRECT("'数据-取费表'!c"&amp;$G$1)="住宅",INDIRECT("'数据-取费表'!s"&amp;$G$1),INDIRECT("'数据-取费表'!k"&amp;$G$1)+INDIRECT("'数据-取费表'!s"&amp;$G$1)))</f>
        <v>66017.299999999916</v>
      </c>
      <c r="E10" s="217">
        <f>'数据-取费表'!B28</f>
        <v>190</v>
      </c>
      <c r="F10" s="213"/>
      <c r="G10" s="218"/>
    </row>
    <row r="11" spans="1:8" s="206" customFormat="1" ht="13.5" hidden="1" customHeight="1">
      <c r="A11" s="219" t="s">
        <v>4</v>
      </c>
      <c r="B11" s="207" t="s">
        <v>1476</v>
      </c>
      <c r="C11" s="203"/>
      <c r="D11" s="210"/>
      <c r="E11" s="210"/>
      <c r="F11" s="210"/>
      <c r="G11" s="211"/>
    </row>
    <row r="12" spans="1:8" s="206" customFormat="1" ht="13.5" hidden="1" customHeight="1">
      <c r="A12" s="219" t="s">
        <v>5</v>
      </c>
      <c r="B12" s="207" t="s">
        <v>1559</v>
      </c>
      <c r="C12" s="203">
        <v>0</v>
      </c>
      <c r="D12" s="210"/>
      <c r="E12" s="220"/>
      <c r="F12" s="213">
        <v>3.0499999999999999E-2</v>
      </c>
      <c r="G12" s="211"/>
    </row>
    <row r="13" spans="1:8" s="206" customFormat="1" ht="13.5" hidden="1" customHeight="1">
      <c r="A13" s="219" t="s">
        <v>6</v>
      </c>
      <c r="B13" s="207" t="s">
        <v>1560</v>
      </c>
      <c r="C13" s="203"/>
      <c r="D13" s="210"/>
      <c r="E13" s="210"/>
      <c r="F13" s="210"/>
      <c r="G13" s="211"/>
    </row>
    <row r="14" spans="1:8" s="206" customFormat="1" ht="13.5" hidden="1" customHeight="1">
      <c r="A14" s="219" t="s">
        <v>7</v>
      </c>
      <c r="B14" s="207" t="s">
        <v>1472</v>
      </c>
      <c r="C14" s="203"/>
      <c r="D14" s="210"/>
      <c r="E14" s="210"/>
      <c r="F14" s="210"/>
      <c r="G14" s="211" t="s">
        <v>1561</v>
      </c>
    </row>
    <row r="15" spans="1:8" s="206" customFormat="1" ht="13.5" hidden="1" customHeight="1">
      <c r="A15" s="219" t="s">
        <v>8</v>
      </c>
      <c r="B15" s="207" t="s">
        <v>1562</v>
      </c>
      <c r="C15" s="212"/>
      <c r="D15" s="210"/>
      <c r="E15" s="210"/>
      <c r="F15" s="210"/>
      <c r="G15" s="211" t="s">
        <v>1563</v>
      </c>
    </row>
    <row r="16" spans="1:8" s="206" customFormat="1" ht="13.5" hidden="1" customHeight="1">
      <c r="A16" s="219" t="s">
        <v>9</v>
      </c>
      <c r="B16" s="207" t="s">
        <v>1472</v>
      </c>
      <c r="C16" s="212"/>
      <c r="D16" s="210"/>
      <c r="E16" s="210"/>
      <c r="F16" s="210"/>
      <c r="G16" s="211"/>
    </row>
    <row r="17" spans="1:7" s="206" customFormat="1" ht="13.5" hidden="1" customHeight="1">
      <c r="A17" s="219" t="s">
        <v>10</v>
      </c>
      <c r="B17" s="207" t="s">
        <v>1564</v>
      </c>
      <c r="C17" s="221"/>
      <c r="D17" s="221"/>
      <c r="E17" s="221"/>
      <c r="F17" s="221"/>
      <c r="G17" s="211" t="s">
        <v>1563</v>
      </c>
    </row>
    <row r="18" spans="1:7" s="206" customFormat="1" ht="13.5" hidden="1" customHeight="1">
      <c r="A18" s="219" t="s">
        <v>11</v>
      </c>
      <c r="B18" s="207" t="s">
        <v>1565</v>
      </c>
      <c r="C18" s="212">
        <v>0</v>
      </c>
      <c r="D18" s="210"/>
      <c r="E18" s="210"/>
      <c r="F18" s="213">
        <v>3.0499999999999999E-2</v>
      </c>
      <c r="G18" s="211" t="s">
        <v>1566</v>
      </c>
    </row>
    <row r="19" spans="1:7" s="215" customFormat="1" ht="13.5" customHeight="1">
      <c r="A19" s="247" t="s">
        <v>1567</v>
      </c>
      <c r="B19" s="202" t="s">
        <v>1568</v>
      </c>
      <c r="C19" s="203">
        <f ca="1">IF(G19="已包含在土地取得成本中","0",ROUND(D19*E19,0))</f>
        <v>13203460</v>
      </c>
      <c r="D19" s="204">
        <f ca="1">D9+D10</f>
        <v>66017.299999999916</v>
      </c>
      <c r="E19" s="203">
        <f>'数据-取费表'!B31</f>
        <v>200</v>
      </c>
      <c r="F19" s="223"/>
      <c r="G19" s="1713"/>
    </row>
    <row r="20" spans="1:7" s="206" customFormat="1" ht="13.5" customHeight="1">
      <c r="A20" s="247" t="s">
        <v>1569</v>
      </c>
      <c r="B20" s="202" t="s">
        <v>1570</v>
      </c>
      <c r="C20" s="224">
        <f ca="1">ROUND((C5+C19)*F20,0)</f>
        <v>772402</v>
      </c>
      <c r="D20" s="224"/>
      <c r="E20" s="224"/>
      <c r="F20" s="225">
        <f>'数据-取费表'!B37</f>
        <v>0.03</v>
      </c>
      <c r="G20" s="226" t="s">
        <v>1571</v>
      </c>
    </row>
    <row r="21" spans="1:7" s="206" customFormat="1" ht="13.5" customHeight="1">
      <c r="A21" s="247" t="s">
        <v>1572</v>
      </c>
      <c r="B21" s="202" t="s">
        <v>1573</v>
      </c>
      <c r="C21" s="227">
        <f>F21</f>
        <v>0.03</v>
      </c>
      <c r="D21" s="228" t="s">
        <v>1574</v>
      </c>
      <c r="E21" s="224"/>
      <c r="F21" s="225">
        <f>'数据-取费表'!B38</f>
        <v>0.03</v>
      </c>
      <c r="G21" s="226" t="s">
        <v>1575</v>
      </c>
    </row>
    <row r="22" spans="1:7" s="206" customFormat="1" ht="13.5" customHeight="1">
      <c r="A22" s="247" t="s">
        <v>1576</v>
      </c>
      <c r="B22" s="202" t="s">
        <v>1577</v>
      </c>
      <c r="C22" s="224">
        <f ca="1">ROUND(SUM(C23:C25),0)</f>
        <v>2505637</v>
      </c>
      <c r="D22" s="227">
        <f ca="1">C26</f>
        <v>1.4E-3</v>
      </c>
      <c r="E22" s="228" t="s">
        <v>1574</v>
      </c>
      <c r="F22" s="229">
        <f ca="1">'数据-取费表'!B40</f>
        <v>3.1E-2</v>
      </c>
      <c r="G22" s="226" t="str">
        <f>IF('数据-取费表'!B22&lt;=1,"单利计息","复利计息")</f>
        <v>复利计息</v>
      </c>
    </row>
    <row r="23" spans="1:7" s="206" customFormat="1" ht="13.5" customHeight="1">
      <c r="A23" s="734" t="s">
        <v>1467</v>
      </c>
      <c r="B23" s="207" t="s">
        <v>1578</v>
      </c>
      <c r="C23" s="230">
        <f ca="1">ROUND(IF('数据-取费表'!B22&lt;=1,C5*F22*'数据-取费表'!B22,C5*(POWER((1+F22),'数据-取费表'!B22)-1)),0)</f>
        <v>1203062</v>
      </c>
      <c r="D23" s="230"/>
      <c r="E23" s="230"/>
      <c r="F23" s="231"/>
      <c r="G23" s="232" t="s">
        <v>1579</v>
      </c>
    </row>
    <row r="24" spans="1:7" s="206" customFormat="1" ht="13.5" customHeight="1">
      <c r="A24" s="734" t="s">
        <v>1469</v>
      </c>
      <c r="B24" s="207" t="s">
        <v>1580</v>
      </c>
      <c r="C24" s="230">
        <f ca="1">ROUND(IF('数据-取费表'!B22&lt;=1,C19*F22*('数据-取费表'!B19/2+'数据-取费表'!B20),C19*(POWER((1+F22),('数据-取费表'!B19/2+'数据-取费表'!B20))-1)),0)</f>
        <v>1266381</v>
      </c>
      <c r="D24" s="230"/>
      <c r="E24" s="230"/>
      <c r="F24" s="231"/>
      <c r="G24" s="232" t="s">
        <v>1581</v>
      </c>
    </row>
    <row r="25" spans="1:7" s="206" customFormat="1" ht="24">
      <c r="A25" s="734" t="s">
        <v>1471</v>
      </c>
      <c r="B25" s="207" t="s">
        <v>1582</v>
      </c>
      <c r="C25" s="230">
        <f ca="1">ROUND(IF('数据-取费表'!B22&lt;=1,C20*F22*'数据-取费表'!B22/2,C20*(POWER((1+F22),'数据-取费表'!B22/2)-1)),0)</f>
        <v>36194</v>
      </c>
      <c r="D25" s="230"/>
      <c r="E25" s="233"/>
      <c r="F25" s="231"/>
      <c r="G25" s="234" t="s">
        <v>1583</v>
      </c>
    </row>
    <row r="26" spans="1:7" s="206" customFormat="1">
      <c r="A26" s="734" t="s">
        <v>350</v>
      </c>
      <c r="B26" s="207" t="s">
        <v>1506</v>
      </c>
      <c r="C26" s="230">
        <f ca="1">ROUND(IF('数据-取费表'!B22&lt;=1,F21*F22*'数据-取费表'!B22/2,F21*(POWER((1+F22),'数据-取费表'!B22/2)-1)),4)</f>
        <v>1.4E-3</v>
      </c>
      <c r="D26" s="230"/>
      <c r="E26" s="233"/>
      <c r="F26" s="231"/>
      <c r="G26" s="235"/>
    </row>
    <row r="27" spans="1:7" s="206" customFormat="1" ht="24.75">
      <c r="A27" s="247" t="s">
        <v>1507</v>
      </c>
      <c r="B27" s="236" t="s">
        <v>1508</v>
      </c>
      <c r="C27" s="237">
        <f ca="1">C28</f>
        <v>6629787</v>
      </c>
      <c r="D27" s="227">
        <f ca="1">C29</f>
        <v>7.4999999999999997E-3</v>
      </c>
      <c r="E27" s="228" t="s">
        <v>1509</v>
      </c>
      <c r="F27" s="238">
        <f ca="1">IF(B1="",'数据-取费表'!Q16,INDIRECT("'数据-取费表'!q"&amp;$G$1))</f>
        <v>0.25</v>
      </c>
      <c r="G27" s="239" t="s">
        <v>1510</v>
      </c>
    </row>
    <row r="28" spans="1:7" s="206" customFormat="1" ht="13.5" customHeight="1">
      <c r="A28" s="734" t="s">
        <v>346</v>
      </c>
      <c r="B28" s="240" t="s">
        <v>1511</v>
      </c>
      <c r="C28" s="241">
        <f ca="1">ROUND((C5+C19+C20)*F27,0)</f>
        <v>6629787</v>
      </c>
      <c r="D28" s="227"/>
      <c r="E28" s="228"/>
      <c r="F28" s="238"/>
      <c r="G28" s="239"/>
    </row>
    <row r="29" spans="1:7" s="206" customFormat="1" ht="13.5" customHeight="1">
      <c r="A29" s="734" t="s">
        <v>347</v>
      </c>
      <c r="B29" s="240" t="s">
        <v>1512</v>
      </c>
      <c r="C29" s="230">
        <f ca="1">ROUND(C21*F27,4)</f>
        <v>7.4999999999999997E-3</v>
      </c>
      <c r="D29" s="227"/>
      <c r="E29" s="228"/>
      <c r="F29" s="238"/>
      <c r="G29" s="239"/>
    </row>
    <row r="30" spans="1:7" s="206" customFormat="1" ht="13.5" customHeight="1">
      <c r="A30" s="247" t="s">
        <v>1513</v>
      </c>
      <c r="B30" s="202" t="s">
        <v>1514</v>
      </c>
      <c r="C30" s="227">
        <f>ROUND(F30/(1+'数据-取费表'!C42),4)</f>
        <v>5.33E-2</v>
      </c>
      <c r="D30" s="228" t="s">
        <v>1509</v>
      </c>
      <c r="E30" s="233"/>
      <c r="F30" s="229">
        <f>'数据-取费表'!B41</f>
        <v>5.6000000000000001E-2</v>
      </c>
      <c r="G30" s="226" t="s">
        <v>1515</v>
      </c>
    </row>
    <row r="31" spans="1:7" ht="16.5" customHeight="1">
      <c r="A31" s="201">
        <v>1</v>
      </c>
      <c r="B31" s="202" t="s">
        <v>1516</v>
      </c>
      <c r="C31" s="203">
        <f ca="1">ROUND((C5+C19+C20+C22+C27)/(1-C21-D22-D27-C30),0)</f>
        <v>39275802</v>
      </c>
      <c r="D31" s="222"/>
      <c r="E31" s="203"/>
      <c r="F31" s="242"/>
      <c r="G31" s="226" t="s">
        <v>1517</v>
      </c>
    </row>
    <row r="32" spans="1:7" s="200" customFormat="1" ht="15.75">
      <c r="A32" s="244" t="s">
        <v>1584</v>
      </c>
      <c r="B32" s="245"/>
      <c r="C32" s="245"/>
      <c r="D32" s="245"/>
      <c r="E32" s="245"/>
      <c r="F32" s="245"/>
      <c r="G32" s="246"/>
    </row>
    <row r="33" spans="1:7" s="206" customFormat="1" ht="13.5" customHeight="1">
      <c r="A33" s="247" t="s">
        <v>337</v>
      </c>
      <c r="B33" s="202" t="s">
        <v>1585</v>
      </c>
      <c r="C33" s="248">
        <f ca="1">SUM(C34:C38)</f>
        <v>383956617</v>
      </c>
      <c r="D33" s="224"/>
      <c r="E33" s="204"/>
      <c r="F33" s="233"/>
      <c r="G33" s="226"/>
    </row>
    <row r="34" spans="1:7" s="250" customFormat="1" ht="13.5" customHeight="1">
      <c r="A34" s="734" t="s">
        <v>346</v>
      </c>
      <c r="B34" s="207" t="s">
        <v>1520</v>
      </c>
      <c r="C34" s="212">
        <f ca="1">ROUND(IF(B1="",SUMPRODUCT('数据-取费表'!K6:K14,'数据-取费表'!L6:L14),INDIRECT("'数据-取费表'!l"&amp;$G$1)*INDIRECT("'数据-取费表'!k"&amp;$G$1)+'数据-取费表'!L14*INDIRECT("'数据-取费表'!S"&amp;$G$1)),0)</f>
        <v>343289960</v>
      </c>
      <c r="D34" s="209"/>
      <c r="E34" s="212"/>
      <c r="F34" s="249"/>
      <c r="G34" s="211"/>
    </row>
    <row r="35" spans="1:7" ht="13.5" customHeight="1">
      <c r="A35" s="734" t="s">
        <v>351</v>
      </c>
      <c r="B35" s="207" t="s">
        <v>1522</v>
      </c>
      <c r="C35" s="212">
        <f ca="1">ROUND(C34*F35,0)</f>
        <v>17164498</v>
      </c>
      <c r="D35" s="212"/>
      <c r="E35" s="212"/>
      <c r="F35" s="251">
        <f>'数据-取费表'!B33</f>
        <v>0.05</v>
      </c>
      <c r="G35" s="211" t="s">
        <v>1523</v>
      </c>
    </row>
    <row r="36" spans="1:7" ht="24">
      <c r="A36" s="734" t="s">
        <v>352</v>
      </c>
      <c r="B36" s="207" t="s">
        <v>1524</v>
      </c>
      <c r="C36" s="212">
        <f ca="1">ROUND(IF(B1="",SUM('数据-取费表'!AP6:AP13)*F36,IF(INDIRECT("'数据-取费表'!c"&amp;$G$1)="住宅",INDIRECT("'数据-取费表'!k"&amp;$G$1)*INDIRECT("'数据-取费表'!l"&amp;$G$1)*F36,0)),0)</f>
        <v>0</v>
      </c>
      <c r="D36" s="212"/>
      <c r="E36" s="212"/>
      <c r="F36" s="251">
        <f>'数据-取费表'!B34</f>
        <v>0</v>
      </c>
      <c r="G36" s="252" t="s">
        <v>1525</v>
      </c>
    </row>
    <row r="37" spans="1:7" s="250" customFormat="1" ht="13.5" customHeight="1">
      <c r="A37" s="734" t="s">
        <v>353</v>
      </c>
      <c r="B37" s="207" t="s">
        <v>1526</v>
      </c>
      <c r="C37" s="241">
        <f ca="1">ROUND(E37*D37,0)</f>
        <v>13203460</v>
      </c>
      <c r="D37" s="209">
        <f ca="1">D19</f>
        <v>66017.299999999916</v>
      </c>
      <c r="E37" s="241">
        <f>'数据-取费表'!B35</f>
        <v>200</v>
      </c>
      <c r="F37" s="251"/>
      <c r="G37" s="253"/>
    </row>
    <row r="38" spans="1:7" ht="13.5" customHeight="1">
      <c r="A38" s="734" t="s">
        <v>354</v>
      </c>
      <c r="B38" s="207" t="s">
        <v>1528</v>
      </c>
      <c r="C38" s="212">
        <f ca="1">ROUND(C34*F38,0)</f>
        <v>10298699</v>
      </c>
      <c r="D38" s="212"/>
      <c r="E38" s="212"/>
      <c r="F38" s="251">
        <f>'数据-取费表'!B36</f>
        <v>0.03</v>
      </c>
      <c r="G38" s="211" t="s">
        <v>1523</v>
      </c>
    </row>
    <row r="39" spans="1:7" s="206" customFormat="1" ht="13.5" customHeight="1">
      <c r="A39" s="247" t="s">
        <v>1529</v>
      </c>
      <c r="B39" s="202" t="s">
        <v>1530</v>
      </c>
      <c r="C39" s="224">
        <f ca="1">ROUND(C33*F20,0)</f>
        <v>11518699</v>
      </c>
      <c r="D39" s="224"/>
      <c r="E39" s="224"/>
      <c r="F39" s="225">
        <f>F20</f>
        <v>0.03</v>
      </c>
      <c r="G39" s="226" t="s">
        <v>1531</v>
      </c>
    </row>
    <row r="40" spans="1:7" s="206" customFormat="1" ht="13.5" customHeight="1">
      <c r="A40" s="247" t="s">
        <v>1532</v>
      </c>
      <c r="B40" s="202" t="s">
        <v>1533</v>
      </c>
      <c r="C40" s="227">
        <f>F21</f>
        <v>0.03</v>
      </c>
      <c r="D40" s="228" t="s">
        <v>1534</v>
      </c>
      <c r="E40" s="224"/>
      <c r="F40" s="225">
        <f>F21</f>
        <v>0.03</v>
      </c>
      <c r="G40" s="226" t="s">
        <v>1535</v>
      </c>
    </row>
    <row r="41" spans="1:7" s="206" customFormat="1" ht="13.5" customHeight="1">
      <c r="A41" s="247" t="s">
        <v>1536</v>
      </c>
      <c r="B41" s="202" t="s">
        <v>1537</v>
      </c>
      <c r="C41" s="224">
        <f ca="1">ROUND(SUM(C42:C43),0)</f>
        <v>18531393</v>
      </c>
      <c r="D41" s="227">
        <f ca="1">C44</f>
        <v>1.4E-3</v>
      </c>
      <c r="E41" s="228" t="s">
        <v>1534</v>
      </c>
      <c r="F41" s="229">
        <f ca="1">F22</f>
        <v>3.1E-2</v>
      </c>
      <c r="G41" s="226" t="str">
        <f>IF('数据-取费表'!B22&lt;=1,"单利计息","复利计息")</f>
        <v>复利计息</v>
      </c>
    </row>
    <row r="42" spans="1:7" ht="13.5" customHeight="1">
      <c r="A42" s="734" t="s">
        <v>346</v>
      </c>
      <c r="B42" s="207" t="s">
        <v>1538</v>
      </c>
      <c r="C42" s="230">
        <f ca="1">ROUND(IF('数据-取费表'!B22&lt;=1,C33*F22*'数据-取费表'!B20/2,C33*(POWER((1+F22),'数据-取费表'!B20/2)-1)),0)</f>
        <v>17991644</v>
      </c>
      <c r="D42" s="230"/>
      <c r="E42" s="230"/>
      <c r="F42" s="231"/>
      <c r="G42" s="3406" t="s">
        <v>1586</v>
      </c>
    </row>
    <row r="43" spans="1:7" ht="13.5" customHeight="1">
      <c r="A43" s="734" t="s">
        <v>347</v>
      </c>
      <c r="B43" s="207" t="s">
        <v>1540</v>
      </c>
      <c r="C43" s="230">
        <f ca="1">ROUND(IF('数据-取费表'!B22&lt;=1,C39*F22*'数据-取费表'!B20/2,C39*(POWER((1+F22),'数据-取费表'!B20/2)-1)),0)</f>
        <v>539749</v>
      </c>
      <c r="D43" s="230"/>
      <c r="E43" s="230"/>
      <c r="F43" s="231"/>
      <c r="G43" s="3407"/>
    </row>
    <row r="44" spans="1:7" ht="13.5" customHeight="1">
      <c r="A44" s="734" t="s">
        <v>348</v>
      </c>
      <c r="B44" s="207" t="s">
        <v>1541</v>
      </c>
      <c r="C44" s="230">
        <f ca="1">ROUND(IF('数据-取费表'!B22&lt;=1,C40*F22*'数据-取费表'!B20/2,C40*(POWER((1+F22),'数据-取费表'!B20/2)-1)),4)</f>
        <v>1.4E-3</v>
      </c>
      <c r="D44" s="230"/>
      <c r="E44" s="230"/>
      <c r="F44" s="231"/>
      <c r="G44" s="3408"/>
    </row>
    <row r="45" spans="1:7" s="206" customFormat="1" ht="13.5" customHeight="1">
      <c r="A45" s="247" t="s">
        <v>1542</v>
      </c>
      <c r="B45" s="236" t="s">
        <v>1508</v>
      </c>
      <c r="C45" s="237">
        <f ca="1">C46</f>
        <v>98868829</v>
      </c>
      <c r="D45" s="227">
        <f ca="1">C47</f>
        <v>7.4999999999999997E-3</v>
      </c>
      <c r="E45" s="228" t="s">
        <v>1534</v>
      </c>
      <c r="F45" s="238">
        <f ca="1">F27</f>
        <v>0.25</v>
      </c>
      <c r="G45" s="239" t="s">
        <v>1543</v>
      </c>
    </row>
    <row r="46" spans="1:7" s="206" customFormat="1" ht="13.5" customHeight="1">
      <c r="A46" s="734" t="s">
        <v>346</v>
      </c>
      <c r="B46" s="240" t="s">
        <v>1544</v>
      </c>
      <c r="C46" s="241">
        <f ca="1">ROUND((C33+C39)*F27,0)</f>
        <v>98868829</v>
      </c>
      <c r="D46" s="255"/>
      <c r="E46" s="228"/>
      <c r="F46" s="238"/>
      <c r="G46" s="239"/>
    </row>
    <row r="47" spans="1:7" s="206" customFormat="1" ht="13.5" customHeight="1">
      <c r="A47" s="734" t="s">
        <v>347</v>
      </c>
      <c r="B47" s="240" t="s">
        <v>1545</v>
      </c>
      <c r="C47" s="230">
        <f ca="1">ROUND(C40*F27,4)</f>
        <v>7.4999999999999997E-3</v>
      </c>
      <c r="D47" s="255"/>
      <c r="E47" s="228"/>
      <c r="F47" s="238"/>
      <c r="G47" s="239"/>
    </row>
    <row r="48" spans="1:7" s="206" customFormat="1" ht="13.5" customHeight="1">
      <c r="A48" s="247" t="s">
        <v>1507</v>
      </c>
      <c r="B48" s="202" t="s">
        <v>1546</v>
      </c>
      <c r="C48" s="254">
        <f>ROUND(F30/(1+'数据-取费表'!C42),4)</f>
        <v>5.33E-2</v>
      </c>
      <c r="D48" s="228" t="s">
        <v>1534</v>
      </c>
      <c r="E48" s="224"/>
      <c r="F48" s="229">
        <f>F30</f>
        <v>5.6000000000000001E-2</v>
      </c>
      <c r="G48" s="226" t="s">
        <v>1547</v>
      </c>
    </row>
    <row r="49" spans="1:7" ht="16.5" customHeight="1">
      <c r="A49" s="247" t="s">
        <v>1513</v>
      </c>
      <c r="B49" s="202" t="s">
        <v>1587</v>
      </c>
      <c r="C49" s="224">
        <f ca="1">ROUND((C33+C39+C41+C45)/(1-C40-D41-D45-C48),0)</f>
        <v>564965343</v>
      </c>
      <c r="D49" s="224"/>
      <c r="E49" s="224"/>
      <c r="F49" s="256"/>
      <c r="G49" s="226" t="s">
        <v>1549</v>
      </c>
    </row>
    <row r="50" spans="1:7" s="250" customFormat="1">
      <c r="A50" s="247" t="s">
        <v>1550</v>
      </c>
      <c r="B50" s="202" t="s">
        <v>1551</v>
      </c>
      <c r="C50" s="224"/>
      <c r="D50" s="224"/>
      <c r="E50" s="224"/>
      <c r="F50" s="256">
        <f>IF('数据-取费表'!B24=0,'数据-取费表'!N16,1)</f>
        <v>0.95</v>
      </c>
      <c r="G50" s="239"/>
    </row>
    <row r="51" spans="1:7" ht="16.5" customHeight="1">
      <c r="A51" s="247" t="s">
        <v>1553</v>
      </c>
      <c r="B51" s="202" t="s">
        <v>1588</v>
      </c>
      <c r="C51" s="224">
        <f ca="1">ROUND(C49*F50,0)</f>
        <v>536717076</v>
      </c>
      <c r="D51" s="224"/>
      <c r="E51" s="224"/>
      <c r="F51" s="256"/>
      <c r="G51" s="226" t="s">
        <v>1555</v>
      </c>
    </row>
    <row r="52" spans="1:7" s="200" customFormat="1" ht="16.5" thickBot="1">
      <c r="A52" s="257" t="s">
        <v>1556</v>
      </c>
      <c r="B52" s="258"/>
      <c r="C52" s="259">
        <f ca="1">C31+C51</f>
        <v>575992878</v>
      </c>
      <c r="D52" s="258"/>
      <c r="E52" s="258"/>
      <c r="F52" s="258"/>
      <c r="G52" s="260"/>
    </row>
    <row r="55" spans="1:7" ht="15">
      <c r="B55" s="262" t="s">
        <v>1557</v>
      </c>
      <c r="C55" s="263"/>
    </row>
    <row r="56" spans="1:7">
      <c r="B56" s="265" t="s">
        <v>800</v>
      </c>
      <c r="C56" s="267">
        <f ca="1">1-C57</f>
        <v>6.7999999999999949E-2</v>
      </c>
    </row>
    <row r="57" spans="1:7">
      <c r="B57" s="265" t="s">
        <v>801</v>
      </c>
      <c r="C57" s="266">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1589</v>
      </c>
      <c r="B1" s="121"/>
      <c r="C1" s="1109"/>
      <c r="D1" s="1108"/>
      <c r="E1" s="2567"/>
      <c r="F1" s="2567"/>
      <c r="G1" s="2448"/>
      <c r="H1" s="2567"/>
      <c r="I1" s="2567"/>
      <c r="J1" s="2567"/>
      <c r="K1" s="2568">
        <f>MATCH(C1,'数据-取费表'!A6:A16,0)+5</f>
        <v>7</v>
      </c>
    </row>
    <row r="2" spans="1:33" ht="18" customHeight="1">
      <c r="A2" s="193" t="s">
        <v>1457</v>
      </c>
      <c r="B2" s="196">
        <f ca="1">C32</f>
        <v>0</v>
      </c>
      <c r="C2" s="268" t="s">
        <v>1590</v>
      </c>
      <c r="D2" s="268"/>
      <c r="E2" s="2567"/>
      <c r="F2" s="2567"/>
      <c r="G2" s="2567"/>
      <c r="H2" s="2567"/>
      <c r="I2" s="2567"/>
      <c r="J2" s="2567"/>
      <c r="K2" s="2567"/>
    </row>
    <row r="3" spans="1:33" ht="18" customHeight="1" thickBot="1">
      <c r="A3" s="195" t="s">
        <v>1459</v>
      </c>
      <c r="B3" s="196">
        <f ca="1">ROUND(B2*10000/IF(C1="",'数据-汇总表'!E3,INDIRECT("'数据-取费表'!K"&amp;$K$1)),0)</f>
        <v>0</v>
      </c>
      <c r="C3" s="268" t="s">
        <v>1591</v>
      </c>
      <c r="D3" s="268"/>
      <c r="E3" s="2567"/>
      <c r="F3" s="2567"/>
      <c r="G3" s="2567"/>
      <c r="H3" s="2567"/>
      <c r="I3" s="2567"/>
      <c r="J3" s="2567"/>
      <c r="K3" s="2567"/>
    </row>
    <row r="4" spans="1:33" s="739" customFormat="1" ht="16.5" customHeight="1">
      <c r="A4" s="736" t="s">
        <v>1592</v>
      </c>
      <c r="B4" s="737"/>
      <c r="C4" s="775">
        <f>SUM(C8:K8)</f>
        <v>0</v>
      </c>
      <c r="D4" s="737"/>
      <c r="E4" s="737"/>
      <c r="F4" s="737"/>
      <c r="G4" s="737"/>
      <c r="H4" s="737"/>
      <c r="I4" s="737"/>
      <c r="J4" s="737"/>
      <c r="K4" s="738"/>
    </row>
    <row r="5" spans="1:33" s="743" customFormat="1" ht="15">
      <c r="A5" s="740" t="s">
        <v>1593</v>
      </c>
      <c r="B5" s="741" t="s">
        <v>1594</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1595</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1596</v>
      </c>
      <c r="B7" s="123" t="s">
        <v>1597</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1598</v>
      </c>
      <c r="B8" s="156" t="s">
        <v>1599</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1600</v>
      </c>
      <c r="B9" s="737"/>
      <c r="C9" s="737"/>
      <c r="D9" s="737"/>
      <c r="E9" s="737"/>
      <c r="F9" s="737"/>
      <c r="G9" s="737"/>
      <c r="H9" s="737"/>
      <c r="I9" s="737"/>
      <c r="J9" s="737"/>
      <c r="K9" s="738"/>
    </row>
    <row r="10" spans="1:33" s="751" customFormat="1" ht="13.5" customHeight="1">
      <c r="A10" s="740" t="s">
        <v>1601</v>
      </c>
      <c r="B10" s="5" t="s">
        <v>1602</v>
      </c>
      <c r="C10" s="747" t="s">
        <v>1603</v>
      </c>
      <c r="D10" s="748" t="s">
        <v>1604</v>
      </c>
      <c r="E10" s="748" t="s">
        <v>1605</v>
      </c>
      <c r="F10" s="748" t="s">
        <v>1606</v>
      </c>
      <c r="G10" s="5"/>
      <c r="H10" s="749"/>
      <c r="I10" s="749"/>
      <c r="J10" s="749"/>
      <c r="K10" s="750"/>
    </row>
    <row r="11" spans="1:33" s="755" customFormat="1" ht="13.5" customHeight="1">
      <c r="A11" s="752" t="s">
        <v>635</v>
      </c>
      <c r="B11" s="753" t="s">
        <v>1607</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1608</v>
      </c>
      <c r="C12" s="21">
        <f ca="1">ROUND(C11*F12,0)</f>
        <v>0</v>
      </c>
      <c r="D12" s="754"/>
      <c r="E12" s="138"/>
      <c r="F12" s="764">
        <f>'数据-取费表'!B33</f>
        <v>0.05</v>
      </c>
      <c r="G12" s="5" t="s">
        <v>1609</v>
      </c>
      <c r="H12" s="749"/>
      <c r="I12" s="749"/>
      <c r="J12" s="749"/>
      <c r="K12" s="750"/>
    </row>
    <row r="13" spans="1:33" s="755" customFormat="1" ht="13.5" customHeight="1">
      <c r="A13" s="752" t="s">
        <v>637</v>
      </c>
      <c r="B13" s="753" t="s">
        <v>1610</v>
      </c>
      <c r="C13" s="21">
        <f ca="1">ROUND(IF(C1="",SUMIF('数据-取费表'!C:C,"住宅",'数据-取费表'!P:P)*F13,IF(INDIRECT("'数据-取费表'!c"&amp;$K$1)="住宅",INDIRECT("'数据-取费表'!P"&amp;$K$1)*F13,0)),0)</f>
        <v>0</v>
      </c>
      <c r="D13" s="796"/>
      <c r="E13" s="138"/>
      <c r="F13" s="764">
        <f>'数据-取费表'!B34</f>
        <v>0</v>
      </c>
      <c r="G13" s="5" t="s">
        <v>1611</v>
      </c>
      <c r="H13" s="749"/>
      <c r="I13" s="749"/>
      <c r="J13" s="749"/>
      <c r="K13" s="750"/>
    </row>
    <row r="14" spans="1:33" s="757" customFormat="1" ht="13.5" customHeight="1">
      <c r="A14" s="752" t="s">
        <v>638</v>
      </c>
      <c r="B14" s="753" t="s">
        <v>1612</v>
      </c>
      <c r="C14" s="21">
        <f ca="1">ROUND(D14*E14*F11/10000,0)</f>
        <v>0</v>
      </c>
      <c r="D14" s="796">
        <f ca="1">IF(C1="",'数据-汇总表'!E3,INDIRECT("'数据-取费表'!K"&amp;$K$1)+INDIRECT("'数据-取费表'!S"&amp;$K$1))</f>
        <v>66017.299999999916</v>
      </c>
      <c r="E14" s="21">
        <f>'数据-取费表'!B35</f>
        <v>200</v>
      </c>
      <c r="F14" s="756"/>
      <c r="G14" s="5" t="s">
        <v>1613</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1614</v>
      </c>
      <c r="C15" s="763">
        <f ca="1">ROUND(C11*F15,0)</f>
        <v>0</v>
      </c>
      <c r="D15" s="758"/>
      <c r="E15" s="763"/>
      <c r="F15" s="764">
        <f>'数据-取费表'!B36</f>
        <v>0.03</v>
      </c>
      <c r="G15" s="123" t="s">
        <v>1615</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1616</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1617</v>
      </c>
      <c r="C17" s="21">
        <f ca="1">ROUND(D17*E17/10000,0)</f>
        <v>0</v>
      </c>
      <c r="D17" s="796">
        <f ca="1">D14</f>
        <v>66017.299999999916</v>
      </c>
      <c r="E17" s="21">
        <f>'数据-取费表'!B32</f>
        <v>0</v>
      </c>
      <c r="F17" s="758"/>
      <c r="G17" s="123" t="s">
        <v>1618</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1619</v>
      </c>
      <c r="C18" s="21">
        <f ca="1">C19+C20-IF(C1="",'数据-取费表'!B29,IF(G18="已全部缴纳",C19+C20,H18))</f>
        <v>0</v>
      </c>
      <c r="D18" s="796"/>
      <c r="E18" s="21"/>
      <c r="F18" s="756"/>
      <c r="G18" s="1719"/>
      <c r="H18" s="1105"/>
      <c r="I18" s="1720" t="s">
        <v>1620</v>
      </c>
      <c r="J18" s="759"/>
      <c r="K18" s="760"/>
    </row>
    <row r="19" spans="1:33" s="755" customFormat="1" ht="13.5" customHeight="1">
      <c r="A19" s="752" t="s">
        <v>360</v>
      </c>
      <c r="B19" s="753" t="s">
        <v>1621</v>
      </c>
      <c r="C19" s="21">
        <f ca="1">ROUND(D19*E19/10000,0)</f>
        <v>0</v>
      </c>
      <c r="D19" s="796">
        <f ca="1">IF(C1="",'数据-汇总表'!E5,IF(INDIRECT("'数据-取费表'!c"&amp;$K$1)="住宅",INDIRECT("'数据-取费表'!k"&amp;$K$1),0))</f>
        <v>0</v>
      </c>
      <c r="E19" s="21">
        <f>'数据-取费表'!B27</f>
        <v>150</v>
      </c>
      <c r="F19" s="756"/>
      <c r="G19" s="12"/>
      <c r="H19" s="1107"/>
      <c r="I19" s="761"/>
      <c r="J19" s="761"/>
      <c r="K19" s="762"/>
    </row>
    <row r="20" spans="1:33" s="755" customFormat="1" ht="13.5" customHeight="1">
      <c r="A20" s="752" t="s">
        <v>361</v>
      </c>
      <c r="B20" s="753" t="s">
        <v>1622</v>
      </c>
      <c r="C20" s="21">
        <f ca="1">ROUND(D20*E20/10000,0)</f>
        <v>1254</v>
      </c>
      <c r="D20" s="796">
        <f ca="1">IF(C1="",'数据-汇总表'!E6,IF(INDIRECT("'数据-取费表'!c"&amp;$K$1)="住宅",INDIRECT("'数据-取费表'!s"&amp;$K$1),INDIRECT("'数据-取费表'!k"&amp;$K$1)+INDIRECT("'数据-取费表'!s"&amp;$K$1)))</f>
        <v>66017.299999999916</v>
      </c>
      <c r="E20" s="21">
        <f>'数据-取费表'!B28</f>
        <v>190</v>
      </c>
      <c r="F20" s="756"/>
      <c r="G20" s="12"/>
      <c r="H20" s="761"/>
      <c r="I20" s="761"/>
      <c r="J20" s="761"/>
      <c r="K20" s="762"/>
    </row>
    <row r="21" spans="1:33" s="755" customFormat="1" ht="13.5" customHeight="1">
      <c r="A21" s="744" t="s">
        <v>357</v>
      </c>
      <c r="B21" s="765" t="s">
        <v>1623</v>
      </c>
      <c r="C21" s="766">
        <f ca="1">C16+C17+C18</f>
        <v>0</v>
      </c>
      <c r="D21" s="767"/>
      <c r="E21" s="273"/>
      <c r="F21" s="273"/>
      <c r="G21" s="123" t="s">
        <v>1624</v>
      </c>
      <c r="H21" s="759"/>
      <c r="I21" s="759"/>
      <c r="J21" s="759"/>
      <c r="K21" s="760"/>
    </row>
    <row r="22" spans="1:33" s="755" customFormat="1" ht="13.5" customHeight="1">
      <c r="A22" s="744" t="s">
        <v>1596</v>
      </c>
      <c r="B22" s="765" t="s">
        <v>1625</v>
      </c>
      <c r="C22" s="766">
        <f ca="1">ROUND(C21*F22,0)</f>
        <v>0</v>
      </c>
      <c r="D22" s="273"/>
      <c r="E22" s="273"/>
      <c r="F22" s="768">
        <f>'数据-取费表'!B37</f>
        <v>0.03</v>
      </c>
      <c r="G22" s="5" t="s">
        <v>1626</v>
      </c>
      <c r="H22" s="749"/>
      <c r="I22" s="749"/>
      <c r="J22" s="749"/>
      <c r="K22" s="750"/>
    </row>
    <row r="23" spans="1:33" s="755" customFormat="1" ht="13.5" customHeight="1">
      <c r="A23" s="744" t="s">
        <v>1598</v>
      </c>
      <c r="B23" s="765" t="s">
        <v>1627</v>
      </c>
      <c r="C23" s="766">
        <f ca="1">ROUND(C4*F23*F11,0)</f>
        <v>0</v>
      </c>
      <c r="D23" s="273"/>
      <c r="E23" s="273"/>
      <c r="F23" s="768">
        <f>'数据-取费表'!B38</f>
        <v>0.03</v>
      </c>
      <c r="G23" s="5" t="s">
        <v>1628</v>
      </c>
      <c r="H23" s="749"/>
      <c r="I23" s="749"/>
      <c r="J23" s="749"/>
      <c r="K23" s="750"/>
    </row>
    <row r="24" spans="1:33" s="755" customFormat="1" ht="13.5" customHeight="1">
      <c r="A24" s="744" t="s">
        <v>1629</v>
      </c>
      <c r="B24" s="765" t="s">
        <v>1630</v>
      </c>
      <c r="C24" s="272">
        <f>ROUND(F24/(1+'数据-取费表'!C42),4)</f>
        <v>2.9000000000000001E-2</v>
      </c>
      <c r="D24" s="273" t="s">
        <v>12</v>
      </c>
      <c r="E24" s="273"/>
      <c r="F24" s="768">
        <f>IF(项目基本情况!B8="出让",0,'数据-取费表'!B48+'数据-取费表'!B49)</f>
        <v>3.0499999999999999E-2</v>
      </c>
      <c r="G24" s="5" t="s">
        <v>1631</v>
      </c>
      <c r="H24" s="770"/>
      <c r="I24" s="770"/>
      <c r="J24" s="770"/>
      <c r="K24" s="55"/>
    </row>
    <row r="25" spans="1:33" s="755" customFormat="1" ht="13.5" customHeight="1">
      <c r="A25" s="744" t="s">
        <v>1632</v>
      </c>
      <c r="B25" s="767" t="s">
        <v>1633</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1634</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1635</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1636</v>
      </c>
      <c r="B28" s="1722" t="s">
        <v>1637</v>
      </c>
      <c r="C28" s="279">
        <f ca="1">C30</f>
        <v>0</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1638</v>
      </c>
      <c r="C29" s="276">
        <f ca="1">ROUND((1+C24)*F28*'数据-取费表'!B24/'数据-取费表'!B20,4)</f>
        <v>0</v>
      </c>
      <c r="D29" s="276"/>
      <c r="E29" s="277"/>
      <c r="F29" s="282"/>
      <c r="G29" s="123" t="s">
        <v>1639</v>
      </c>
      <c r="H29" s="759"/>
      <c r="I29" s="759"/>
      <c r="J29" s="759"/>
      <c r="K29" s="760"/>
    </row>
    <row r="30" spans="1:33" s="283" customFormat="1" ht="13.5" customHeight="1">
      <c r="A30" s="752" t="s">
        <v>359</v>
      </c>
      <c r="B30" s="773" t="s">
        <v>1640</v>
      </c>
      <c r="C30" s="284">
        <f ca="1">ROUND((C21+C22+C23)*F28,0)</f>
        <v>0</v>
      </c>
      <c r="D30" s="276"/>
      <c r="E30" s="277"/>
      <c r="F30" s="282"/>
      <c r="G30" s="123"/>
      <c r="H30" s="759"/>
      <c r="I30" s="759"/>
      <c r="J30" s="759"/>
      <c r="K30" s="760"/>
    </row>
    <row r="31" spans="1:33" s="755" customFormat="1" ht="13.5" customHeight="1" thickBot="1">
      <c r="A31" s="1723" t="s">
        <v>1641</v>
      </c>
      <c r="B31" s="783" t="s">
        <v>1642</v>
      </c>
      <c r="C31" s="784">
        <f>ROUND(C4*F31/(1+'数据-取费表'!C42),0)</f>
        <v>0</v>
      </c>
      <c r="D31" s="785"/>
      <c r="E31" s="786"/>
      <c r="F31" s="787">
        <f>'数据-取费表'!B41</f>
        <v>5.6000000000000001E-2</v>
      </c>
      <c r="G31" s="788" t="s">
        <v>1643</v>
      </c>
      <c r="H31" s="789"/>
      <c r="I31" s="789"/>
      <c r="J31" s="789"/>
      <c r="K31" s="790"/>
    </row>
    <row r="32" spans="1:33" s="751" customFormat="1" ht="13.5" customHeight="1" thickBot="1">
      <c r="A32" s="449" t="s">
        <v>1644</v>
      </c>
      <c r="B32" s="779"/>
      <c r="C32" s="780">
        <f ca="1">ROUND((C4-C21-C22-C23-C25-C28-C31)/(1+C24+D25+D28),0)</f>
        <v>0</v>
      </c>
      <c r="D32" s="779"/>
      <c r="E32" s="779"/>
      <c r="F32" s="779"/>
      <c r="G32" s="781" t="s">
        <v>1645</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90" zoomScaleNormal="60" zoomScaleSheetLayoutView="90" workbookViewId="0">
      <selection activeCell="M21" sqref="M2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1863</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f>F65</f>
        <v>60233</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1459</v>
      </c>
      <c r="B3" s="536">
        <f>ROUND(IF(D3="",B2*10000/'数据-汇总表'!E3,B2*10000/D3),0)</f>
        <v>9124</v>
      </c>
      <c r="C3" s="195" t="s">
        <v>1864</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1764</v>
      </c>
      <c r="B4" s="346"/>
      <c r="C4" s="3427" t="s">
        <v>1765</v>
      </c>
      <c r="D4" s="3428"/>
      <c r="E4" s="3429" t="s">
        <v>1766</v>
      </c>
      <c r="F4" s="3430"/>
      <c r="G4" s="3427" t="s">
        <v>1767</v>
      </c>
      <c r="H4" s="3428"/>
      <c r="I4" s="3427" t="s">
        <v>1768</v>
      </c>
      <c r="J4" s="3428"/>
      <c r="K4" s="537" t="s">
        <v>1769</v>
      </c>
      <c r="L4" s="2486"/>
      <c r="M4" s="2487"/>
      <c r="N4" s="2487"/>
      <c r="O4" s="2487"/>
      <c r="P4" s="3431" t="s">
        <v>1770</v>
      </c>
      <c r="Q4" s="3432"/>
      <c r="R4" s="3414" t="s">
        <v>1766</v>
      </c>
      <c r="S4" s="3415"/>
      <c r="T4" s="3414" t="s">
        <v>1767</v>
      </c>
      <c r="U4" s="3415"/>
      <c r="V4" s="3439" t="s">
        <v>1768</v>
      </c>
      <c r="W4" s="3439"/>
      <c r="X4" s="1264"/>
      <c r="Y4" s="3414" t="s">
        <v>1770</v>
      </c>
      <c r="Z4" s="3415"/>
      <c r="AA4" s="3409" t="s">
        <v>1766</v>
      </c>
      <c r="AB4" s="3410" t="s">
        <v>1767</v>
      </c>
      <c r="AC4" s="3409" t="s">
        <v>1768</v>
      </c>
    </row>
    <row r="5" spans="1:29" ht="60.75" customHeight="1">
      <c r="A5" s="348"/>
      <c r="B5" s="349"/>
      <c r="C5" s="3420" t="s">
        <v>1668</v>
      </c>
      <c r="D5" s="3421"/>
      <c r="E5" s="3418" t="str">
        <f>土地案例!A23</f>
        <v>北京市通州区永顺镇0401街区 46号地块(西马庄收储) B4综合性商业金融服务业用地</v>
      </c>
      <c r="F5" s="3419"/>
      <c r="G5" s="3420" t="str">
        <f>土地案例!A38</f>
        <v>北京经济技术开发区亦庄新城0902街区JG01-07地块F3其他类多功能用地</v>
      </c>
      <c r="H5" s="3421"/>
      <c r="I5" s="3420" t="str">
        <f>土地案例!A42</f>
        <v>北京市大兴区黄村镇DX00-0201-6001地块B14旅馆用地</v>
      </c>
      <c r="J5" s="3421"/>
      <c r="K5" s="537"/>
      <c r="L5" s="2486"/>
      <c r="M5" s="2487"/>
      <c r="N5" s="2487"/>
      <c r="O5" s="2487"/>
      <c r="P5" s="3433"/>
      <c r="Q5" s="3434"/>
      <c r="R5" s="3416"/>
      <c r="S5" s="3417"/>
      <c r="T5" s="3416"/>
      <c r="U5" s="3417"/>
      <c r="V5" s="3439"/>
      <c r="W5" s="3439"/>
      <c r="X5" s="1264"/>
      <c r="Y5" s="3416"/>
      <c r="Z5" s="3417"/>
      <c r="AA5" s="3410"/>
      <c r="AB5" s="3410"/>
      <c r="AC5" s="3410"/>
    </row>
    <row r="6" spans="1:29" ht="15.75" thickBot="1">
      <c r="A6" s="350"/>
      <c r="B6" s="351"/>
      <c r="C6" s="3422" t="s">
        <v>1672</v>
      </c>
      <c r="D6" s="3423"/>
      <c r="E6" s="3424" t="str">
        <f>土地案例!E23</f>
        <v>京土储挂(通)〔2023〕004号</v>
      </c>
      <c r="F6" s="3425"/>
      <c r="G6" s="3422" t="str">
        <f>土地案例!E38</f>
        <v>京土整储挂(开)[2021]099号</v>
      </c>
      <c r="H6" s="3423"/>
      <c r="I6" s="3422" t="str">
        <f>土地案例!E42</f>
        <v>京土整储挂(兴)[2021]089号</v>
      </c>
      <c r="J6" s="3423"/>
      <c r="K6" s="537" t="s">
        <v>1673</v>
      </c>
      <c r="L6" s="2486"/>
      <c r="M6" s="2487"/>
      <c r="N6" s="2487"/>
      <c r="O6" s="2487"/>
      <c r="P6" s="3435"/>
      <c r="Q6" s="3436"/>
      <c r="R6" s="3416"/>
      <c r="S6" s="3417"/>
      <c r="T6" s="3437"/>
      <c r="U6" s="3438"/>
      <c r="V6" s="3439"/>
      <c r="W6" s="3439"/>
      <c r="X6" s="1264"/>
      <c r="Y6" s="3437"/>
      <c r="Z6" s="3438"/>
      <c r="AA6" s="3411"/>
      <c r="AB6" s="3411"/>
      <c r="AC6" s="3411"/>
    </row>
    <row r="7" spans="1:29" s="102" customFormat="1" ht="15.75" thickBot="1">
      <c r="A7" s="352" t="s">
        <v>1674</v>
      </c>
      <c r="B7" s="353"/>
      <c r="C7" s="354">
        <f>'数据-取费表'!B2</f>
        <v>45604</v>
      </c>
      <c r="D7" s="355">
        <v>100</v>
      </c>
      <c r="E7" s="356" t="str">
        <f>土地案例!O23</f>
        <v>2023-04-14</v>
      </c>
      <c r="F7" s="357">
        <f>SUMIF(69:69,YEAR(E7)&amp;"-"&amp;INT((MONTH(E7)+2)/3),70:70)</f>
        <v>100</v>
      </c>
      <c r="G7" s="356" t="str">
        <f>土地案例!O38</f>
        <v>2022-02-08</v>
      </c>
      <c r="H7" s="355">
        <f>SUMIF(69:69,YEAR(G7)&amp;"-"&amp;INT((MONTH(G7)+2)/3),70:70)</f>
        <v>100</v>
      </c>
      <c r="I7" s="356" t="str">
        <f>土地案例!O42</f>
        <v>2021-12-24</v>
      </c>
      <c r="J7" s="355">
        <f>SUMIF(69:69,YEAR(I7)&amp;"-"&amp;INT((MONTH(I7)+2)/3),70:70)</f>
        <v>100</v>
      </c>
      <c r="K7" s="38"/>
      <c r="L7" s="2488"/>
      <c r="M7" s="2439"/>
      <c r="N7" s="2439"/>
      <c r="O7" s="2439"/>
      <c r="P7" s="3412" t="s">
        <v>1675</v>
      </c>
      <c r="Q7" s="3440"/>
      <c r="R7" s="664" t="s">
        <v>14</v>
      </c>
      <c r="S7" s="665">
        <f t="shared" ref="S7:S15" si="0">F7</f>
        <v>100</v>
      </c>
      <c r="T7" s="664" t="s">
        <v>14</v>
      </c>
      <c r="U7" s="665">
        <f t="shared" ref="U7:U15" si="1">H7</f>
        <v>100</v>
      </c>
      <c r="V7" s="664" t="s">
        <v>14</v>
      </c>
      <c r="W7" s="665">
        <f t="shared" ref="W7:W15" si="2">J7</f>
        <v>100</v>
      </c>
      <c r="X7" s="666"/>
      <c r="Y7" s="3412" t="s">
        <v>1675</v>
      </c>
      <c r="Z7" s="3413"/>
      <c r="AA7" s="50">
        <f>D7/F7</f>
        <v>1</v>
      </c>
      <c r="AB7" s="50">
        <f>D7/H7</f>
        <v>1</v>
      </c>
      <c r="AC7" s="50">
        <f>D7/J7</f>
        <v>1</v>
      </c>
    </row>
    <row r="8" spans="1:29" s="102" customFormat="1" ht="15.75" thickBot="1">
      <c r="A8" s="352" t="s">
        <v>1676</v>
      </c>
      <c r="B8" s="353"/>
      <c r="C8" s="358" t="s">
        <v>1677</v>
      </c>
      <c r="D8" s="355">
        <v>100</v>
      </c>
      <c r="E8" s="358" t="s">
        <v>1677</v>
      </c>
      <c r="F8" s="357">
        <f>SUMIF(72:72,E8,73:73)-SUMIF(72:72,C8,73:73)+100</f>
        <v>100</v>
      </c>
      <c r="G8" s="358" t="s">
        <v>1677</v>
      </c>
      <c r="H8" s="355">
        <f>SUMIF(72:72,G8,73:73)-SUMIF(72:72,C8,73:73)+100</f>
        <v>100</v>
      </c>
      <c r="I8" s="358" t="s">
        <v>1677</v>
      </c>
      <c r="J8" s="355">
        <f>SUMIF(72:72,I8,73:73)-SUMIF(72:72,C8,73:73)+100</f>
        <v>100</v>
      </c>
      <c r="K8" s="38"/>
      <c r="L8" s="2488"/>
      <c r="M8" s="2439"/>
      <c r="N8" s="2439"/>
      <c r="O8" s="2439"/>
      <c r="P8" s="3412" t="s">
        <v>1678</v>
      </c>
      <c r="Q8" s="3413"/>
      <c r="R8" s="664" t="s">
        <v>14</v>
      </c>
      <c r="S8" s="665">
        <f t="shared" si="0"/>
        <v>100</v>
      </c>
      <c r="T8" s="664" t="s">
        <v>14</v>
      </c>
      <c r="U8" s="665">
        <f t="shared" si="1"/>
        <v>100</v>
      </c>
      <c r="V8" s="664" t="s">
        <v>14</v>
      </c>
      <c r="W8" s="665">
        <f t="shared" si="2"/>
        <v>100</v>
      </c>
      <c r="X8" s="666"/>
      <c r="Y8" s="3412" t="s">
        <v>1678</v>
      </c>
      <c r="Z8" s="3413"/>
      <c r="AA8" s="50">
        <f t="shared" ref="AA8:AA45" si="3">D8/F8</f>
        <v>1</v>
      </c>
      <c r="AB8" s="50">
        <f t="shared" ref="AB8:AB45" si="4">D8/H8</f>
        <v>1</v>
      </c>
      <c r="AC8" s="50">
        <f t="shared" ref="AC8:AC45" si="5">D8/J8</f>
        <v>1</v>
      </c>
    </row>
    <row r="9" spans="1:29" s="102" customFormat="1" ht="15">
      <c r="A9" s="359" t="s">
        <v>1679</v>
      </c>
      <c r="B9" s="60" t="s">
        <v>1680</v>
      </c>
      <c r="C9" s="1824" t="s">
        <v>6131</v>
      </c>
      <c r="D9" s="59">
        <v>100</v>
      </c>
      <c r="E9" s="1824" t="s">
        <v>6131</v>
      </c>
      <c r="F9" s="59">
        <f>SUMIF(74:74,E9,75:75)-SUMIF(74:74,C9,75:75)+100</f>
        <v>100</v>
      </c>
      <c r="G9" s="1824" t="s">
        <v>6132</v>
      </c>
      <c r="H9" s="59">
        <f>SUMIF(74:74,G9,75:75)-SUMIF(74:74,C9,75:75)+100</f>
        <v>90</v>
      </c>
      <c r="I9" s="1824" t="s">
        <v>6133</v>
      </c>
      <c r="J9" s="59">
        <f>SUMIF(74:74,I9,75:75)-SUMIF(74:74,C9,75:75)+100</f>
        <v>85</v>
      </c>
      <c r="K9" s="38"/>
      <c r="L9" s="2488"/>
      <c r="M9" s="2439"/>
      <c r="N9" s="2439"/>
      <c r="O9" s="2540"/>
      <c r="P9" s="3426" t="s">
        <v>1681</v>
      </c>
      <c r="Q9" s="530" t="str">
        <f t="shared" ref="Q9:Q15" si="6">B9</f>
        <v>用途</v>
      </c>
      <c r="R9" s="664" t="s">
        <v>14</v>
      </c>
      <c r="S9" s="665">
        <f t="shared" si="0"/>
        <v>100</v>
      </c>
      <c r="T9" s="664" t="s">
        <v>14</v>
      </c>
      <c r="U9" s="665">
        <f t="shared" si="1"/>
        <v>90</v>
      </c>
      <c r="V9" s="664" t="s">
        <v>14</v>
      </c>
      <c r="W9" s="665">
        <f t="shared" si="2"/>
        <v>85</v>
      </c>
      <c r="X9" s="666"/>
      <c r="Y9" s="3382" t="s">
        <v>1682</v>
      </c>
      <c r="Z9" s="50" t="str">
        <f t="shared" ref="Z9:Z15" si="7">Q9</f>
        <v>用途</v>
      </c>
      <c r="AA9" s="50">
        <f t="shared" si="3"/>
        <v>1</v>
      </c>
      <c r="AB9" s="50">
        <f t="shared" si="4"/>
        <v>1.1111111111111112</v>
      </c>
      <c r="AC9" s="50">
        <f t="shared" si="5"/>
        <v>1.1764705882352942</v>
      </c>
    </row>
    <row r="10" spans="1:29" s="366" customFormat="1" ht="27">
      <c r="A10" s="363"/>
      <c r="B10" s="364" t="s">
        <v>1683</v>
      </c>
      <c r="C10" s="371"/>
      <c r="D10" s="119">
        <v>100</v>
      </c>
      <c r="E10" s="403"/>
      <c r="F10" s="119">
        <f>ROUND(100/'数据-取费表'!G16,0)</f>
        <v>108</v>
      </c>
      <c r="G10" s="402"/>
      <c r="H10" s="119">
        <f>ROUND(100/'数据-取费表'!G16,0)</f>
        <v>108</v>
      </c>
      <c r="I10" s="402"/>
      <c r="J10" s="119">
        <f>ROUND(100/'数据-取费表'!G16,0)</f>
        <v>108</v>
      </c>
      <c r="K10" s="592"/>
      <c r="L10" s="2489"/>
      <c r="M10" s="2490"/>
      <c r="N10" s="2490"/>
      <c r="O10" s="2541"/>
      <c r="P10" s="3426"/>
      <c r="Q10" s="530" t="str">
        <f t="shared" si="6"/>
        <v>土地使用年限（年）</v>
      </c>
      <c r="R10" s="664" t="s">
        <v>14</v>
      </c>
      <c r="S10" s="665">
        <f t="shared" si="0"/>
        <v>108</v>
      </c>
      <c r="T10" s="664" t="s">
        <v>14</v>
      </c>
      <c r="U10" s="665">
        <f t="shared" si="1"/>
        <v>108</v>
      </c>
      <c r="V10" s="664" t="s">
        <v>14</v>
      </c>
      <c r="W10" s="665">
        <f t="shared" si="2"/>
        <v>108</v>
      </c>
      <c r="X10" s="666"/>
      <c r="Y10" s="3382"/>
      <c r="Z10" s="50" t="str">
        <f t="shared" si="7"/>
        <v>土地使用年限（年）</v>
      </c>
      <c r="AA10" s="50">
        <f t="shared" si="3"/>
        <v>0.92592592592592593</v>
      </c>
      <c r="AB10" s="50">
        <f t="shared" si="4"/>
        <v>0.92592592592592593</v>
      </c>
      <c r="AC10" s="50">
        <f t="shared" si="5"/>
        <v>0.92592592592592593</v>
      </c>
    </row>
    <row r="11" spans="1:29" ht="15">
      <c r="A11" s="367"/>
      <c r="B11" s="364" t="s">
        <v>1684</v>
      </c>
      <c r="C11" s="368">
        <v>2</v>
      </c>
      <c r="D11" s="119">
        <v>100</v>
      </c>
      <c r="E11" s="368">
        <v>2.8</v>
      </c>
      <c r="F11" s="119">
        <f>LOOKUP(E11,79:79,80:80)-LOOKUP(C11,79:79,80:80)+100</f>
        <v>100</v>
      </c>
      <c r="G11" s="369">
        <v>3</v>
      </c>
      <c r="H11" s="119">
        <f>LOOKUP(G11,79:79,80:80)-LOOKUP(C11,79:79,80:80)+100</f>
        <v>97</v>
      </c>
      <c r="I11" s="368">
        <v>2</v>
      </c>
      <c r="J11" s="119">
        <f>LOOKUP(I11,79:79,80:80)-LOOKUP(C11,79:79,80:80)+100</f>
        <v>100</v>
      </c>
      <c r="K11" s="593">
        <v>3</v>
      </c>
      <c r="L11" s="2491"/>
      <c r="M11" s="2487"/>
      <c r="N11" s="2487"/>
      <c r="O11" s="2542"/>
      <c r="P11" s="3426"/>
      <c r="Q11" s="530" t="str">
        <f t="shared" si="6"/>
        <v>容积率</v>
      </c>
      <c r="R11" s="664" t="s">
        <v>14</v>
      </c>
      <c r="S11" s="665">
        <f t="shared" si="0"/>
        <v>100</v>
      </c>
      <c r="T11" s="664" t="s">
        <v>14</v>
      </c>
      <c r="U11" s="665">
        <f t="shared" si="1"/>
        <v>97</v>
      </c>
      <c r="V11" s="664" t="s">
        <v>14</v>
      </c>
      <c r="W11" s="665">
        <f t="shared" si="2"/>
        <v>100</v>
      </c>
      <c r="X11" s="666"/>
      <c r="Y11" s="3382"/>
      <c r="Z11" s="50" t="str">
        <f t="shared" si="7"/>
        <v>容积率</v>
      </c>
      <c r="AA11" s="50">
        <f t="shared" si="3"/>
        <v>1</v>
      </c>
      <c r="AB11" s="50">
        <f t="shared" si="4"/>
        <v>1.0309278350515463</v>
      </c>
      <c r="AC11" s="50">
        <f t="shared" si="5"/>
        <v>1</v>
      </c>
    </row>
    <row r="12" spans="1:29" s="102" customFormat="1" ht="15">
      <c r="A12" s="370"/>
      <c r="B12" s="447" t="s">
        <v>1865</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26"/>
      <c r="Q12" s="530" t="str">
        <f t="shared" si="6"/>
        <v>配建</v>
      </c>
      <c r="R12" s="664" t="s">
        <v>14</v>
      </c>
      <c r="S12" s="665">
        <f t="shared" si="0"/>
        <v>100</v>
      </c>
      <c r="T12" s="664" t="s">
        <v>14</v>
      </c>
      <c r="U12" s="665">
        <f t="shared" si="1"/>
        <v>100</v>
      </c>
      <c r="V12" s="664" t="s">
        <v>14</v>
      </c>
      <c r="W12" s="665">
        <f t="shared" si="2"/>
        <v>100</v>
      </c>
      <c r="X12" s="666"/>
      <c r="Y12" s="3382"/>
      <c r="Z12" s="50" t="str">
        <f t="shared" si="7"/>
        <v>配建</v>
      </c>
      <c r="AA12" s="50">
        <f>D12/F12</f>
        <v>1</v>
      </c>
      <c r="AB12" s="50">
        <f>D12/H12</f>
        <v>1</v>
      </c>
      <c r="AC12" s="50">
        <f>D12/J12</f>
        <v>1</v>
      </c>
    </row>
    <row r="13" spans="1:29" ht="15">
      <c r="A13" s="367"/>
      <c r="B13" s="3170" t="s">
        <v>4344</v>
      </c>
      <c r="C13" s="373" t="s">
        <v>6140</v>
      </c>
      <c r="D13" s="374">
        <v>100</v>
      </c>
      <c r="E13" s="3214" t="s">
        <v>6141</v>
      </c>
      <c r="F13" s="119">
        <f>SUMIF(83:83,E13,84:84)-SUMIF(83:83,C13,84:84)+100</f>
        <v>105</v>
      </c>
      <c r="G13" s="3215" t="s">
        <v>6141</v>
      </c>
      <c r="H13" s="374">
        <f>SUMIF(83:83,G13,84:84)-SUMIF(83:83,C13,84:84)+100</f>
        <v>105</v>
      </c>
      <c r="I13" s="3215" t="s">
        <v>6141</v>
      </c>
      <c r="J13" s="374">
        <f>SUMIF(83:83,I13,84:84)-SUMIF(83:83,C13,84:84)+100</f>
        <v>105</v>
      </c>
      <c r="K13" s="592"/>
      <c r="L13" s="2492"/>
      <c r="M13" s="2487"/>
      <c r="N13" s="2487"/>
      <c r="O13" s="2542"/>
      <c r="P13" s="3426"/>
      <c r="Q13" s="530" t="str">
        <f t="shared" si="6"/>
        <v>自持限制</v>
      </c>
      <c r="R13" s="664" t="s">
        <v>14</v>
      </c>
      <c r="S13" s="665">
        <f t="shared" si="0"/>
        <v>105</v>
      </c>
      <c r="T13" s="664" t="s">
        <v>14</v>
      </c>
      <c r="U13" s="665">
        <f t="shared" si="1"/>
        <v>105</v>
      </c>
      <c r="V13" s="664" t="s">
        <v>14</v>
      </c>
      <c r="W13" s="665">
        <f t="shared" si="2"/>
        <v>105</v>
      </c>
      <c r="X13" s="666"/>
      <c r="Y13" s="3382"/>
      <c r="Z13" s="50" t="str">
        <f t="shared" si="7"/>
        <v>自持限制</v>
      </c>
      <c r="AA13" s="50">
        <f>D13/F13</f>
        <v>0.95238095238095233</v>
      </c>
      <c r="AB13" s="50">
        <f>D13/H13</f>
        <v>0.95238095238095233</v>
      </c>
      <c r="AC13" s="50">
        <f>D13/J13</f>
        <v>0.95238095238095233</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6"/>
      <c r="Q14" s="530">
        <f t="shared" si="6"/>
        <v>111</v>
      </c>
      <c r="R14" s="664" t="s">
        <v>14</v>
      </c>
      <c r="S14" s="665">
        <f t="shared" si="0"/>
        <v>100</v>
      </c>
      <c r="T14" s="664" t="s">
        <v>14</v>
      </c>
      <c r="U14" s="665">
        <f t="shared" si="1"/>
        <v>100</v>
      </c>
      <c r="V14" s="664" t="s">
        <v>14</v>
      </c>
      <c r="W14" s="665">
        <f t="shared" si="2"/>
        <v>100</v>
      </c>
      <c r="X14" s="666"/>
      <c r="Y14" s="3382"/>
      <c r="Z14" s="50">
        <f t="shared" si="7"/>
        <v>111</v>
      </c>
      <c r="AA14" s="50">
        <f>D14/F14</f>
        <v>1</v>
      </c>
      <c r="AB14" s="50">
        <f>D14/H14</f>
        <v>1</v>
      </c>
      <c r="AC14" s="50">
        <f>D14/J14</f>
        <v>1</v>
      </c>
    </row>
    <row r="15" spans="1:29" ht="99.75" hidden="1">
      <c r="A15" s="379" t="s">
        <v>1685</v>
      </c>
      <c r="B15" s="58" t="s">
        <v>1255</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41" t="s">
        <v>1686</v>
      </c>
      <c r="Q15" s="1262" t="str">
        <f t="shared" si="6"/>
        <v>居住社区成熟度</v>
      </c>
      <c r="R15" s="667" t="s">
        <v>14</v>
      </c>
      <c r="S15" s="668">
        <f t="shared" si="0"/>
        <v>100</v>
      </c>
      <c r="T15" s="667" t="s">
        <v>14</v>
      </c>
      <c r="U15" s="668">
        <f t="shared" si="1"/>
        <v>100</v>
      </c>
      <c r="V15" s="667" t="s">
        <v>14</v>
      </c>
      <c r="W15" s="668">
        <f t="shared" si="2"/>
        <v>100</v>
      </c>
      <c r="X15" s="1264"/>
      <c r="Y15" s="3441" t="s">
        <v>1686</v>
      </c>
      <c r="Z15" s="1263" t="str">
        <f t="shared" si="7"/>
        <v>居住社区成熟度</v>
      </c>
      <c r="AA15" s="1263">
        <f t="shared" si="3"/>
        <v>1</v>
      </c>
      <c r="AB15" s="1263">
        <f t="shared" si="4"/>
        <v>1</v>
      </c>
      <c r="AC15" s="1263">
        <f t="shared" si="5"/>
        <v>1</v>
      </c>
    </row>
    <row r="16" spans="1:29" ht="15" hidden="1">
      <c r="A16" s="367"/>
      <c r="B16" s="385"/>
      <c r="C16" s="386"/>
      <c r="D16" s="387"/>
      <c r="E16" s="1751"/>
      <c r="F16" s="387"/>
      <c r="G16" s="1751"/>
      <c r="H16" s="389"/>
      <c r="I16" s="1750"/>
      <c r="J16" s="387"/>
      <c r="K16" s="592"/>
      <c r="L16" s="2492"/>
      <c r="M16" s="2487"/>
      <c r="N16" s="2487"/>
      <c r="O16" s="2542"/>
      <c r="P16" s="3442"/>
      <c r="Q16" s="1262"/>
      <c r="R16" s="667"/>
      <c r="S16" s="668"/>
      <c r="T16" s="667"/>
      <c r="U16" s="668"/>
      <c r="V16" s="667"/>
      <c r="W16" s="668"/>
      <c r="X16" s="1264"/>
      <c r="Y16" s="3442"/>
      <c r="Z16" s="1263"/>
      <c r="AA16" s="1263">
        <v>1</v>
      </c>
      <c r="AB16" s="1263">
        <v>1</v>
      </c>
      <c r="AC16" s="1263">
        <v>1</v>
      </c>
    </row>
    <row r="17" spans="1:29" ht="71.25">
      <c r="A17" s="367"/>
      <c r="B17" s="390" t="s">
        <v>1772</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v>3</v>
      </c>
      <c r="L17" s="2492"/>
      <c r="M17" s="2487"/>
      <c r="N17" s="2487"/>
      <c r="O17" s="2542"/>
      <c r="P17" s="3442"/>
      <c r="Q17" s="1262" t="str">
        <f>B17</f>
        <v>商业繁华度</v>
      </c>
      <c r="R17" s="667" t="s">
        <v>14</v>
      </c>
      <c r="S17" s="668">
        <f>F17</f>
        <v>100</v>
      </c>
      <c r="T17" s="667" t="s">
        <v>14</v>
      </c>
      <c r="U17" s="668">
        <f>H17</f>
        <v>100</v>
      </c>
      <c r="V17" s="667" t="s">
        <v>14</v>
      </c>
      <c r="W17" s="668">
        <f>J17</f>
        <v>100</v>
      </c>
      <c r="X17" s="1264"/>
      <c r="Y17" s="3442"/>
      <c r="Z17" s="1263" t="str">
        <f>Q17</f>
        <v>商业繁华度</v>
      </c>
      <c r="AA17" s="1263">
        <f t="shared" si="3"/>
        <v>1</v>
      </c>
      <c r="AB17" s="1263">
        <f t="shared" si="4"/>
        <v>1</v>
      </c>
      <c r="AC17" s="1263">
        <f t="shared" si="5"/>
        <v>1</v>
      </c>
    </row>
    <row r="18" spans="1:29" ht="15">
      <c r="A18" s="367"/>
      <c r="B18" s="395"/>
      <c r="C18" s="1754" t="s">
        <v>4347</v>
      </c>
      <c r="D18" s="389"/>
      <c r="E18" s="1754" t="s">
        <v>4347</v>
      </c>
      <c r="F18" s="389"/>
      <c r="G18" s="1754" t="s">
        <v>4347</v>
      </c>
      <c r="H18" s="387"/>
      <c r="I18" s="1754" t="s">
        <v>4347</v>
      </c>
      <c r="J18" s="387"/>
      <c r="K18" s="592"/>
      <c r="L18" s="2492"/>
      <c r="M18" s="2487"/>
      <c r="N18" s="2487"/>
      <c r="O18" s="2542"/>
      <c r="P18" s="3442"/>
      <c r="Q18" s="1262"/>
      <c r="R18" s="667"/>
      <c r="S18" s="668"/>
      <c r="T18" s="667"/>
      <c r="U18" s="668"/>
      <c r="V18" s="667"/>
      <c r="W18" s="668"/>
      <c r="X18" s="1264"/>
      <c r="Y18" s="3442"/>
      <c r="Z18" s="1263"/>
      <c r="AA18" s="1263">
        <v>1</v>
      </c>
      <c r="AB18" s="1263">
        <v>1</v>
      </c>
      <c r="AC18" s="1263">
        <v>1</v>
      </c>
    </row>
    <row r="19" spans="1:29" ht="71.25" hidden="1">
      <c r="A19" s="367"/>
      <c r="B19" s="390" t="s">
        <v>1806</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42"/>
      <c r="Q19" s="1262" t="str">
        <f>B19</f>
        <v>办公集聚程度</v>
      </c>
      <c r="R19" s="667" t="s">
        <v>14</v>
      </c>
      <c r="S19" s="668">
        <f>F19</f>
        <v>100</v>
      </c>
      <c r="T19" s="667" t="s">
        <v>14</v>
      </c>
      <c r="U19" s="668">
        <f>H19</f>
        <v>100</v>
      </c>
      <c r="V19" s="667" t="s">
        <v>14</v>
      </c>
      <c r="W19" s="668">
        <f>J19</f>
        <v>100</v>
      </c>
      <c r="X19" s="1264"/>
      <c r="Y19" s="3442"/>
      <c r="Z19" s="1263" t="str">
        <f>Q19</f>
        <v>办公集聚程度</v>
      </c>
      <c r="AA19" s="1263">
        <f t="shared" si="3"/>
        <v>1</v>
      </c>
      <c r="AB19" s="1263">
        <f t="shared" si="4"/>
        <v>1</v>
      </c>
      <c r="AC19" s="1263">
        <f t="shared" si="5"/>
        <v>1</v>
      </c>
    </row>
    <row r="20" spans="1:29" ht="15" hidden="1">
      <c r="A20" s="367"/>
      <c r="B20" s="395"/>
      <c r="C20" s="386"/>
      <c r="D20" s="387"/>
      <c r="E20" s="1751"/>
      <c r="F20" s="387"/>
      <c r="G20" s="1751"/>
      <c r="H20" s="387"/>
      <c r="I20" s="1750"/>
      <c r="J20" s="387"/>
      <c r="K20" s="592"/>
      <c r="L20" s="2492"/>
      <c r="M20" s="2487"/>
      <c r="N20" s="2487"/>
      <c r="O20" s="2542"/>
      <c r="P20" s="3442"/>
      <c r="Q20" s="1262"/>
      <c r="R20" s="667"/>
      <c r="S20" s="668"/>
      <c r="T20" s="667"/>
      <c r="U20" s="668"/>
      <c r="V20" s="667"/>
      <c r="W20" s="668"/>
      <c r="X20" s="1264"/>
      <c r="Y20" s="3442"/>
      <c r="Z20" s="1263"/>
      <c r="AA20" s="1263">
        <v>1</v>
      </c>
      <c r="AB20" s="1263">
        <v>1</v>
      </c>
      <c r="AC20" s="1263">
        <v>1</v>
      </c>
    </row>
    <row r="21" spans="1:29" ht="85.5">
      <c r="A21" s="367"/>
      <c r="B21" s="390" t="s">
        <v>1828</v>
      </c>
      <c r="C21" s="1753" t="str">
        <f>估价对象房地状况!C18</f>
        <v>估价对象周边道路状况、公共交通通达情况、停车便捷程度，综合评价交通便捷度较好</v>
      </c>
      <c r="D21" s="389">
        <v>100</v>
      </c>
      <c r="E21" s="391"/>
      <c r="F21" s="394">
        <f>SUMIF(93:93,E22,94:94)-SUMIF(93:93,C22,94:94)+100</f>
        <v>97</v>
      </c>
      <c r="G21" s="391"/>
      <c r="H21" s="389">
        <f>SUMIF(93:93,G22,94:94)-SUMIF(93:93,C22,94:94)+100</f>
        <v>100</v>
      </c>
      <c r="I21" s="393"/>
      <c r="J21" s="389">
        <f>SUMIF(93:93,I22,94:94)-SUMIF(93:93,C22,94:94)+100</f>
        <v>100</v>
      </c>
      <c r="K21" s="593">
        <v>3</v>
      </c>
      <c r="L21" s="2492"/>
      <c r="M21" s="2487"/>
      <c r="N21" s="2487"/>
      <c r="O21" s="2542"/>
      <c r="P21" s="3442"/>
      <c r="Q21" s="1262" t="str">
        <f>B21</f>
        <v>交通便捷度</v>
      </c>
      <c r="R21" s="667" t="s">
        <v>14</v>
      </c>
      <c r="S21" s="668">
        <f>F21</f>
        <v>97</v>
      </c>
      <c r="T21" s="667" t="s">
        <v>14</v>
      </c>
      <c r="U21" s="668">
        <f>H21</f>
        <v>100</v>
      </c>
      <c r="V21" s="667" t="s">
        <v>14</v>
      </c>
      <c r="W21" s="668">
        <f>J21</f>
        <v>100</v>
      </c>
      <c r="X21" s="1264"/>
      <c r="Y21" s="3442"/>
      <c r="Z21" s="1263" t="str">
        <f>Q21</f>
        <v>交通便捷度</v>
      </c>
      <c r="AA21" s="1263">
        <f t="shared" si="3"/>
        <v>1.0309278350515463</v>
      </c>
      <c r="AB21" s="1263">
        <f t="shared" si="4"/>
        <v>1</v>
      </c>
      <c r="AC21" s="1263">
        <f t="shared" si="5"/>
        <v>1</v>
      </c>
    </row>
    <row r="22" spans="1:29" ht="15">
      <c r="A22" s="367"/>
      <c r="B22" s="586"/>
      <c r="C22" s="386" t="s">
        <v>4348</v>
      </c>
      <c r="D22" s="389"/>
      <c r="E22" s="386" t="s">
        <v>4347</v>
      </c>
      <c r="F22" s="387"/>
      <c r="G22" s="386" t="s">
        <v>4348</v>
      </c>
      <c r="H22" s="387"/>
      <c r="I22" s="386" t="s">
        <v>4348</v>
      </c>
      <c r="J22" s="387"/>
      <c r="K22" s="592"/>
      <c r="L22" s="2492"/>
      <c r="M22" s="2487"/>
      <c r="N22" s="2487"/>
      <c r="O22" s="2542"/>
      <c r="P22" s="3442"/>
      <c r="Q22" s="1262"/>
      <c r="R22" s="667"/>
      <c r="S22" s="668"/>
      <c r="T22" s="667"/>
      <c r="U22" s="668"/>
      <c r="V22" s="667"/>
      <c r="W22" s="668"/>
      <c r="X22" s="1264"/>
      <c r="Y22" s="3442"/>
      <c r="Z22" s="1263"/>
      <c r="AA22" s="1263">
        <v>1</v>
      </c>
      <c r="AB22" s="1263">
        <v>1</v>
      </c>
      <c r="AC22" s="1263">
        <v>1</v>
      </c>
    </row>
    <row r="23" spans="1:29" ht="15">
      <c r="A23" s="348"/>
      <c r="B23" s="390" t="s">
        <v>1866</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1</v>
      </c>
      <c r="L23" s="2492"/>
      <c r="M23" s="2487"/>
      <c r="N23" s="2487"/>
      <c r="O23" s="2542"/>
      <c r="P23" s="3442"/>
      <c r="Q23" s="1262" t="str">
        <f t="shared" ref="Q23:Q37" si="8">B23</f>
        <v>区域土地利用方向</v>
      </c>
      <c r="R23" s="667" t="s">
        <v>14</v>
      </c>
      <c r="S23" s="668">
        <f>F23</f>
        <v>100</v>
      </c>
      <c r="T23" s="667" t="s">
        <v>14</v>
      </c>
      <c r="U23" s="668">
        <f>H23</f>
        <v>100</v>
      </c>
      <c r="V23" s="667" t="s">
        <v>14</v>
      </c>
      <c r="W23" s="668">
        <f>J23</f>
        <v>100</v>
      </c>
      <c r="X23" s="1264"/>
      <c r="Y23" s="3442"/>
      <c r="Z23" s="1263" t="str">
        <f>Q23</f>
        <v>区域土地利用方向</v>
      </c>
      <c r="AA23" s="1263">
        <f t="shared" si="3"/>
        <v>1</v>
      </c>
      <c r="AB23" s="1263">
        <f t="shared" si="4"/>
        <v>1</v>
      </c>
      <c r="AC23" s="1263">
        <f t="shared" si="5"/>
        <v>1</v>
      </c>
    </row>
    <row r="24" spans="1:29" ht="15">
      <c r="A24" s="348"/>
      <c r="B24" s="395"/>
      <c r="C24" s="542" t="s">
        <v>4348</v>
      </c>
      <c r="D24" s="387"/>
      <c r="E24" s="542" t="s">
        <v>4348</v>
      </c>
      <c r="F24" s="387"/>
      <c r="G24" s="542" t="s">
        <v>4348</v>
      </c>
      <c r="H24" s="387"/>
      <c r="I24" s="542" t="s">
        <v>4348</v>
      </c>
      <c r="J24" s="387"/>
      <c r="K24" s="698"/>
      <c r="L24" s="2492"/>
      <c r="M24" s="2487"/>
      <c r="N24" s="2487"/>
      <c r="O24" s="2542"/>
      <c r="P24" s="3442"/>
      <c r="Q24" s="1262"/>
      <c r="R24" s="667"/>
      <c r="S24" s="668"/>
      <c r="T24" s="667"/>
      <c r="U24" s="668"/>
      <c r="V24" s="667"/>
      <c r="W24" s="668"/>
      <c r="X24" s="1264"/>
      <c r="Y24" s="3442"/>
      <c r="Z24" s="1263"/>
      <c r="AA24" s="1263"/>
      <c r="AB24" s="1263"/>
      <c r="AC24" s="1263"/>
    </row>
    <row r="25" spans="1:29" ht="57">
      <c r="A25" s="348"/>
      <c r="B25" s="586" t="s">
        <v>1867</v>
      </c>
      <c r="C25" s="1805" t="str">
        <f>估价对象房地状况!C20</f>
        <v>区域自然环境：；人文环境；综合评价环境状况一般</v>
      </c>
      <c r="D25" s="389">
        <v>100</v>
      </c>
      <c r="E25" s="391"/>
      <c r="F25" s="389">
        <f>SUMIF(97:97,E26,98:98)-SUMIF(97:97,C26,98:98)+100</f>
        <v>97</v>
      </c>
      <c r="G25" s="391"/>
      <c r="H25" s="389">
        <f>SUMIF(97:97,G26,98:98)-SUMIF(97:97,C26,98:98)+100</f>
        <v>100</v>
      </c>
      <c r="I25" s="393"/>
      <c r="J25" s="389">
        <f>SUMIF(97:97,I26,98:98)-SUMIF(97:97,C26,98:98)+100</f>
        <v>100</v>
      </c>
      <c r="K25" s="593">
        <v>3</v>
      </c>
      <c r="L25" s="2492"/>
      <c r="M25" s="2487"/>
      <c r="N25" s="2487"/>
      <c r="O25" s="2542"/>
      <c r="P25" s="3442"/>
      <c r="Q25" s="1262" t="str">
        <f t="shared" si="8"/>
        <v>自然及人文环境状况</v>
      </c>
      <c r="R25" s="667" t="s">
        <v>14</v>
      </c>
      <c r="S25" s="668">
        <f>F25</f>
        <v>97</v>
      </c>
      <c r="T25" s="667" t="s">
        <v>14</v>
      </c>
      <c r="U25" s="668">
        <f>H25</f>
        <v>100</v>
      </c>
      <c r="V25" s="667" t="s">
        <v>14</v>
      </c>
      <c r="W25" s="668">
        <f>J25</f>
        <v>100</v>
      </c>
      <c r="X25" s="1264"/>
      <c r="Y25" s="3442"/>
      <c r="Z25" s="1263" t="str">
        <f>Q25</f>
        <v>自然及人文环境状况</v>
      </c>
      <c r="AA25" s="1263">
        <f t="shared" si="3"/>
        <v>1.0309278350515463</v>
      </c>
      <c r="AB25" s="1263">
        <f t="shared" si="4"/>
        <v>1</v>
      </c>
      <c r="AC25" s="1263">
        <f t="shared" si="5"/>
        <v>1</v>
      </c>
    </row>
    <row r="26" spans="1:29" ht="15">
      <c r="A26" s="348"/>
      <c r="B26" s="395"/>
      <c r="C26" s="386" t="s">
        <v>4348</v>
      </c>
      <c r="D26" s="387"/>
      <c r="E26" s="386" t="s">
        <v>4347</v>
      </c>
      <c r="F26" s="387"/>
      <c r="G26" s="386" t="s">
        <v>4348</v>
      </c>
      <c r="H26" s="387"/>
      <c r="I26" s="386" t="s">
        <v>4348</v>
      </c>
      <c r="J26" s="387"/>
      <c r="K26" s="592"/>
      <c r="L26" s="2492"/>
      <c r="M26" s="2487"/>
      <c r="N26" s="2487"/>
      <c r="O26" s="2542"/>
      <c r="P26" s="3442"/>
      <c r="Q26" s="1262"/>
      <c r="R26" s="667"/>
      <c r="S26" s="668"/>
      <c r="T26" s="667"/>
      <c r="U26" s="668"/>
      <c r="V26" s="667"/>
      <c r="W26" s="668"/>
      <c r="X26" s="1264"/>
      <c r="Y26" s="3442"/>
      <c r="Z26" s="1263"/>
      <c r="AA26" s="1263">
        <v>1</v>
      </c>
      <c r="AB26" s="1263">
        <v>1</v>
      </c>
      <c r="AC26" s="1263">
        <v>1</v>
      </c>
    </row>
    <row r="27" spans="1:29" s="102" customFormat="1" ht="42.75">
      <c r="A27" s="443"/>
      <c r="B27" s="586" t="s">
        <v>1773</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102</v>
      </c>
      <c r="K27" s="593">
        <v>2</v>
      </c>
      <c r="L27" s="2488"/>
      <c r="M27" s="2439"/>
      <c r="N27" s="2439"/>
      <c r="O27" s="2540"/>
      <c r="P27" s="3442"/>
      <c r="Q27" s="530" t="str">
        <f t="shared" si="8"/>
        <v>公共配套设施</v>
      </c>
      <c r="R27" s="664" t="s">
        <v>14</v>
      </c>
      <c r="S27" s="665">
        <f>F27</f>
        <v>100</v>
      </c>
      <c r="T27" s="664" t="s">
        <v>14</v>
      </c>
      <c r="U27" s="665">
        <f>H27</f>
        <v>100</v>
      </c>
      <c r="V27" s="664" t="s">
        <v>14</v>
      </c>
      <c r="W27" s="665">
        <f>J27</f>
        <v>102</v>
      </c>
      <c r="X27" s="666"/>
      <c r="Y27" s="3442"/>
      <c r="Z27" s="50" t="str">
        <f>Q27</f>
        <v>公共配套设施</v>
      </c>
      <c r="AA27" s="1263">
        <f>D27/F27</f>
        <v>1</v>
      </c>
      <c r="AB27" s="1263">
        <f>D27/H27</f>
        <v>1</v>
      </c>
      <c r="AC27" s="1263">
        <f>D27/J27</f>
        <v>0.98039215686274506</v>
      </c>
    </row>
    <row r="28" spans="1:29" s="102" customFormat="1" ht="15">
      <c r="A28" s="443"/>
      <c r="B28" s="395"/>
      <c r="C28" s="1825" t="s">
        <v>4347</v>
      </c>
      <c r="D28" s="387"/>
      <c r="E28" s="1825" t="s">
        <v>4347</v>
      </c>
      <c r="F28" s="387"/>
      <c r="G28" s="1825" t="s">
        <v>4347</v>
      </c>
      <c r="H28" s="387"/>
      <c r="I28" s="1825" t="s">
        <v>4348</v>
      </c>
      <c r="J28" s="387"/>
      <c r="K28" s="592"/>
      <c r="L28" s="2488"/>
      <c r="M28" s="2439"/>
      <c r="N28" s="2439"/>
      <c r="O28" s="2540"/>
      <c r="P28" s="3442"/>
      <c r="Q28" s="530"/>
      <c r="R28" s="664"/>
      <c r="S28" s="665"/>
      <c r="T28" s="664"/>
      <c r="U28" s="665"/>
      <c r="V28" s="664"/>
      <c r="W28" s="665"/>
      <c r="X28" s="666"/>
      <c r="Y28" s="3442"/>
      <c r="Z28" s="50"/>
      <c r="AA28" s="1263">
        <v>1</v>
      </c>
      <c r="AB28" s="1263">
        <v>1</v>
      </c>
      <c r="AC28" s="1263">
        <v>1</v>
      </c>
    </row>
    <row r="29" spans="1:29" s="102" customFormat="1" ht="28.5">
      <c r="A29" s="443"/>
      <c r="B29" s="586" t="s">
        <v>1774</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8"/>
      <c r="M29" s="2439"/>
      <c r="N29" s="2439"/>
      <c r="O29" s="2540"/>
      <c r="P29" s="3442"/>
      <c r="Q29" s="530" t="str">
        <f t="shared" ref="Q29" si="9">B29</f>
        <v>基础设施水平</v>
      </c>
      <c r="R29" s="664" t="s">
        <v>14</v>
      </c>
      <c r="S29" s="665">
        <f>F29</f>
        <v>100</v>
      </c>
      <c r="T29" s="664" t="s">
        <v>14</v>
      </c>
      <c r="U29" s="665">
        <f>H29</f>
        <v>100</v>
      </c>
      <c r="V29" s="664" t="s">
        <v>14</v>
      </c>
      <c r="W29" s="665">
        <f>J29</f>
        <v>100</v>
      </c>
      <c r="X29" s="666"/>
      <c r="Y29" s="3442"/>
      <c r="Z29" s="50" t="str">
        <f>Q29</f>
        <v>基础设施水平</v>
      </c>
      <c r="AA29" s="1263">
        <f>D29/F29</f>
        <v>1</v>
      </c>
      <c r="AB29" s="1263">
        <f>D29/H29</f>
        <v>1</v>
      </c>
      <c r="AC29" s="1263">
        <f>D29/J29</f>
        <v>1</v>
      </c>
    </row>
    <row r="30" spans="1:29" s="102" customFormat="1" ht="15">
      <c r="A30" s="443"/>
      <c r="B30" s="395"/>
      <c r="C30" s="1825" t="s">
        <v>4349</v>
      </c>
      <c r="D30" s="387"/>
      <c r="E30" s="1825" t="s">
        <v>4349</v>
      </c>
      <c r="F30" s="387"/>
      <c r="G30" s="1825" t="s">
        <v>4349</v>
      </c>
      <c r="H30" s="387"/>
      <c r="I30" s="1825" t="s">
        <v>4349</v>
      </c>
      <c r="J30" s="387"/>
      <c r="K30" s="592"/>
      <c r="L30" s="2488"/>
      <c r="M30" s="2439"/>
      <c r="N30" s="2439"/>
      <c r="O30" s="2540"/>
      <c r="P30" s="3442"/>
      <c r="Q30" s="530"/>
      <c r="R30" s="664"/>
      <c r="S30" s="665"/>
      <c r="T30" s="664"/>
      <c r="U30" s="665"/>
      <c r="V30" s="664"/>
      <c r="W30" s="665"/>
      <c r="X30" s="666"/>
      <c r="Y30" s="3442"/>
      <c r="Z30" s="50"/>
      <c r="AA30" s="1263">
        <v>1</v>
      </c>
      <c r="AB30" s="1263">
        <v>1</v>
      </c>
      <c r="AC30" s="1263">
        <v>1</v>
      </c>
    </row>
    <row r="31" spans="1:29" ht="15" hidden="1">
      <c r="A31" s="367"/>
      <c r="B31" s="395" t="s">
        <v>1775</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42"/>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42"/>
      <c r="Z31" s="1263" t="str">
        <f t="shared" ref="Z31:Z45" si="13">Q31</f>
        <v>临街状况</v>
      </c>
      <c r="AA31" s="1263">
        <f t="shared" si="3"/>
        <v>1</v>
      </c>
      <c r="AB31" s="1263">
        <f t="shared" si="4"/>
        <v>1</v>
      </c>
      <c r="AC31" s="1263">
        <f t="shared" si="5"/>
        <v>1</v>
      </c>
    </row>
    <row r="32" spans="1:29" ht="27">
      <c r="A32" s="367"/>
      <c r="B32" s="586" t="s">
        <v>1810</v>
      </c>
      <c r="C32" s="393" t="s">
        <v>4345</v>
      </c>
      <c r="D32" s="389">
        <v>100</v>
      </c>
      <c r="E32" s="3212" t="s">
        <v>6134</v>
      </c>
      <c r="F32" s="389">
        <f>SUMIF(105:105,E33,106:106)-SUMIF(105:105,C33,106:106)+100</f>
        <v>98</v>
      </c>
      <c r="G32" s="3212" t="s">
        <v>6135</v>
      </c>
      <c r="H32" s="389">
        <f>SUMIF(105:105,G33,106:106)-SUMIF(105:105,C33,106:106)+100</f>
        <v>100</v>
      </c>
      <c r="I32" s="3213" t="s">
        <v>6136</v>
      </c>
      <c r="J32" s="389">
        <f>SUMIF(105:105,I33,106:106)-SUMIF(105:105,C33,106:106)+100</f>
        <v>100</v>
      </c>
      <c r="K32" s="593">
        <v>2</v>
      </c>
      <c r="L32" s="2492"/>
      <c r="M32" s="2487"/>
      <c r="N32" s="2487"/>
      <c r="O32" s="2542"/>
      <c r="P32" s="3442"/>
      <c r="Q32" s="1262" t="str">
        <f t="shared" si="8"/>
        <v>毗邻道路的类型与等级</v>
      </c>
      <c r="R32" s="667" t="s">
        <v>14</v>
      </c>
      <c r="S32" s="668">
        <f t="shared" si="10"/>
        <v>98</v>
      </c>
      <c r="T32" s="667" t="s">
        <v>14</v>
      </c>
      <c r="U32" s="668">
        <f t="shared" si="11"/>
        <v>100</v>
      </c>
      <c r="V32" s="667" t="s">
        <v>14</v>
      </c>
      <c r="W32" s="668">
        <f t="shared" si="12"/>
        <v>100</v>
      </c>
      <c r="X32" s="1264"/>
      <c r="Y32" s="3442"/>
      <c r="Z32" s="1263" t="str">
        <f t="shared" si="13"/>
        <v>毗邻道路的类型与等级</v>
      </c>
      <c r="AA32" s="1263">
        <f t="shared" si="3"/>
        <v>1.0204081632653061</v>
      </c>
      <c r="AB32" s="1263">
        <f t="shared" si="4"/>
        <v>1</v>
      </c>
      <c r="AC32" s="1263">
        <f t="shared" si="5"/>
        <v>1</v>
      </c>
    </row>
    <row r="33" spans="1:29" ht="15">
      <c r="A33" s="367"/>
      <c r="B33" s="395"/>
      <c r="C33" s="386" t="s">
        <v>4346</v>
      </c>
      <c r="D33" s="387"/>
      <c r="E33" s="1757" t="s">
        <v>4363</v>
      </c>
      <c r="F33" s="387"/>
      <c r="G33" s="1757" t="s">
        <v>4346</v>
      </c>
      <c r="H33" s="387"/>
      <c r="I33" s="386" t="s">
        <v>4346</v>
      </c>
      <c r="J33" s="387"/>
      <c r="K33" s="539"/>
      <c r="L33" s="2492"/>
      <c r="M33" s="2487"/>
      <c r="N33" s="2487"/>
      <c r="O33" s="2542"/>
      <c r="P33" s="3442"/>
      <c r="Q33" s="1262"/>
      <c r="R33" s="667"/>
      <c r="S33" s="668"/>
      <c r="T33" s="667"/>
      <c r="U33" s="668"/>
      <c r="V33" s="667"/>
      <c r="W33" s="668"/>
      <c r="X33" s="1264"/>
      <c r="Y33" s="3442"/>
      <c r="Z33" s="1263"/>
      <c r="AA33" s="1263">
        <v>1</v>
      </c>
      <c r="AB33" s="1263">
        <v>1</v>
      </c>
      <c r="AC33" s="1263">
        <v>1</v>
      </c>
    </row>
    <row r="34" spans="1:29" ht="15">
      <c r="A34" s="367"/>
      <c r="B34" s="364" t="s">
        <v>1868</v>
      </c>
      <c r="C34" s="542" t="s">
        <v>304</v>
      </c>
      <c r="D34" s="374">
        <v>100</v>
      </c>
      <c r="E34" s="558" t="s">
        <v>29</v>
      </c>
      <c r="F34" s="374">
        <f>SUMIF(107:107,E34,108:108)-SUMIF(107:107,C34,108:108)+100</f>
        <v>100</v>
      </c>
      <c r="G34" s="558" t="s">
        <v>303</v>
      </c>
      <c r="H34" s="374">
        <f>SUMIF(107:107,G34,108:108)-SUMIF(107:107,C34,108:108)+100</f>
        <v>100</v>
      </c>
      <c r="I34" s="542" t="s">
        <v>29</v>
      </c>
      <c r="J34" s="374">
        <f>SUMIF(107:107,I34,108:108)-SUMIF(107:107,C34,108:108)+100</f>
        <v>100</v>
      </c>
      <c r="K34" s="538">
        <v>0</v>
      </c>
      <c r="L34" s="2492"/>
      <c r="M34" s="2487"/>
      <c r="N34" s="2487"/>
      <c r="O34" s="2542"/>
      <c r="P34" s="3442"/>
      <c r="Q34" s="1262" t="str">
        <f t="shared" si="8"/>
        <v>土地级别</v>
      </c>
      <c r="R34" s="667" t="s">
        <v>14</v>
      </c>
      <c r="S34" s="668">
        <f t="shared" si="10"/>
        <v>100</v>
      </c>
      <c r="T34" s="667" t="s">
        <v>14</v>
      </c>
      <c r="U34" s="668">
        <f t="shared" si="11"/>
        <v>100</v>
      </c>
      <c r="V34" s="667" t="s">
        <v>14</v>
      </c>
      <c r="W34" s="668">
        <f t="shared" si="12"/>
        <v>100</v>
      </c>
      <c r="X34" s="1264"/>
      <c r="Y34" s="3442"/>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42"/>
      <c r="Q35" s="1262">
        <f t="shared" si="8"/>
        <v>111</v>
      </c>
      <c r="R35" s="667" t="s">
        <v>14</v>
      </c>
      <c r="S35" s="668">
        <f t="shared" si="10"/>
        <v>100</v>
      </c>
      <c r="T35" s="667" t="s">
        <v>14</v>
      </c>
      <c r="U35" s="668">
        <f t="shared" si="11"/>
        <v>100</v>
      </c>
      <c r="V35" s="667" t="s">
        <v>14</v>
      </c>
      <c r="W35" s="668">
        <f t="shared" si="12"/>
        <v>100</v>
      </c>
      <c r="X35" s="1264"/>
      <c r="Y35" s="3442"/>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3" t="s">
        <v>1691</v>
      </c>
      <c r="Q36" s="1262">
        <f t="shared" si="8"/>
        <v>111</v>
      </c>
      <c r="R36" s="667" t="s">
        <v>14</v>
      </c>
      <c r="S36" s="668">
        <f t="shared" si="10"/>
        <v>100</v>
      </c>
      <c r="T36" s="667" t="s">
        <v>14</v>
      </c>
      <c r="U36" s="668">
        <f t="shared" si="11"/>
        <v>100</v>
      </c>
      <c r="V36" s="667" t="s">
        <v>14</v>
      </c>
      <c r="W36" s="668">
        <f t="shared" si="12"/>
        <v>100</v>
      </c>
      <c r="X36" s="1264"/>
      <c r="Y36" s="3444" t="s">
        <v>1691</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44"/>
      <c r="Q37" s="1262">
        <f t="shared" si="8"/>
        <v>111</v>
      </c>
      <c r="R37" s="669" t="s">
        <v>14</v>
      </c>
      <c r="S37" s="670">
        <f t="shared" si="10"/>
        <v>100</v>
      </c>
      <c r="T37" s="669" t="s">
        <v>14</v>
      </c>
      <c r="U37" s="670">
        <f t="shared" si="11"/>
        <v>100</v>
      </c>
      <c r="V37" s="669" t="s">
        <v>14</v>
      </c>
      <c r="W37" s="670">
        <f t="shared" si="12"/>
        <v>100</v>
      </c>
      <c r="X37" s="671"/>
      <c r="Y37" s="3444"/>
      <c r="Z37" s="672">
        <f t="shared" si="13"/>
        <v>111</v>
      </c>
      <c r="AA37" s="1263">
        <f t="shared" si="3"/>
        <v>1</v>
      </c>
      <c r="AB37" s="1263">
        <f t="shared" si="4"/>
        <v>1</v>
      </c>
      <c r="AC37" s="1263">
        <f t="shared" si="5"/>
        <v>1</v>
      </c>
    </row>
    <row r="38" spans="1:29" ht="15">
      <c r="A38" s="409" t="s">
        <v>1689</v>
      </c>
      <c r="B38" s="395" t="s">
        <v>1869</v>
      </c>
      <c r="C38" s="599">
        <v>24641.279999999999</v>
      </c>
      <c r="D38" s="405">
        <v>100</v>
      </c>
      <c r="E38" s="599">
        <f>土地案例!F23</f>
        <v>5500.65</v>
      </c>
      <c r="F38" s="405">
        <f>LOOKUP(E38,116:116,117:117)-LOOKUP(C38,116:116,117:117)+100</f>
        <v>98</v>
      </c>
      <c r="G38" s="599">
        <f>土地案例!F38</f>
        <v>15178.6</v>
      </c>
      <c r="H38" s="405">
        <f>LOOKUP(G38,116:116,117:117)-LOOKUP(C38,116:116,117:117)+100</f>
        <v>99</v>
      </c>
      <c r="I38" s="599">
        <f>土地案例!F42</f>
        <v>15197.52</v>
      </c>
      <c r="J38" s="405">
        <f>LOOKUP(I38,116:116,117:117)-LOOKUP(C38,116:116,117:117)+100</f>
        <v>99</v>
      </c>
      <c r="K38" s="539"/>
      <c r="L38" s="2492"/>
      <c r="M38" s="2487"/>
      <c r="N38" s="2487"/>
      <c r="O38" s="2542"/>
      <c r="P38" s="3444"/>
      <c r="Q38" s="1262" t="str">
        <f>B38</f>
        <v>宗地面积</v>
      </c>
      <c r="R38" s="667" t="s">
        <v>14</v>
      </c>
      <c r="S38" s="668">
        <f t="shared" si="10"/>
        <v>98</v>
      </c>
      <c r="T38" s="667" t="s">
        <v>14</v>
      </c>
      <c r="U38" s="668">
        <f t="shared" si="11"/>
        <v>99</v>
      </c>
      <c r="V38" s="667" t="s">
        <v>14</v>
      </c>
      <c r="W38" s="668">
        <f t="shared" si="12"/>
        <v>99</v>
      </c>
      <c r="X38" s="1264"/>
      <c r="Y38" s="3444"/>
      <c r="Z38" s="1263" t="str">
        <f t="shared" si="13"/>
        <v>宗地面积</v>
      </c>
      <c r="AA38" s="1263">
        <f t="shared" si="3"/>
        <v>1.0204081632653061</v>
      </c>
      <c r="AB38" s="1263">
        <f t="shared" si="4"/>
        <v>1.0101010101010102</v>
      </c>
      <c r="AC38" s="1263">
        <f t="shared" si="5"/>
        <v>1.0101010101010102</v>
      </c>
    </row>
    <row r="39" spans="1:29" ht="15">
      <c r="A39" s="409"/>
      <c r="B39" s="364" t="s">
        <v>1870</v>
      </c>
      <c r="C39" s="1759" t="s">
        <v>6137</v>
      </c>
      <c r="D39" s="374">
        <v>100</v>
      </c>
      <c r="E39" s="1759" t="s">
        <v>4361</v>
      </c>
      <c r="F39" s="374">
        <f>SUMIF(118:118,E39,119:119)-SUMIF(118:118,C39,119:119)+100</f>
        <v>99</v>
      </c>
      <c r="G39" s="1759" t="s">
        <v>4361</v>
      </c>
      <c r="H39" s="374">
        <f>SUMIF(118:118,G39,119:119)-SUMIF(118:118,C39,119:119)+100</f>
        <v>99</v>
      </c>
      <c r="I39" s="1759" t="s">
        <v>4361</v>
      </c>
      <c r="J39" s="374">
        <f>SUMIF(118:118,I39,119:119)-SUMIF(118:118,C39,119:119)+100</f>
        <v>99</v>
      </c>
      <c r="K39" s="538">
        <v>1</v>
      </c>
      <c r="L39" s="2492"/>
      <c r="M39" s="2487"/>
      <c r="N39" s="2487"/>
      <c r="O39" s="2542"/>
      <c r="P39" s="3444"/>
      <c r="Q39" s="1262" t="str">
        <f t="shared" ref="Q39:Q45" si="14">B39</f>
        <v>宗地形状</v>
      </c>
      <c r="R39" s="667" t="s">
        <v>14</v>
      </c>
      <c r="S39" s="668">
        <f t="shared" si="10"/>
        <v>99</v>
      </c>
      <c r="T39" s="667" t="s">
        <v>14</v>
      </c>
      <c r="U39" s="668">
        <f t="shared" si="11"/>
        <v>99</v>
      </c>
      <c r="V39" s="667" t="s">
        <v>14</v>
      </c>
      <c r="W39" s="668">
        <f t="shared" si="12"/>
        <v>99</v>
      </c>
      <c r="X39" s="1264"/>
      <c r="Y39" s="3444"/>
      <c r="Z39" s="1263" t="str">
        <f t="shared" si="13"/>
        <v>宗地形状</v>
      </c>
      <c r="AA39" s="1263">
        <f t="shared" si="3"/>
        <v>1.0101010101010102</v>
      </c>
      <c r="AB39" s="1263">
        <f t="shared" si="4"/>
        <v>1.0101010101010102</v>
      </c>
      <c r="AC39" s="1263">
        <f t="shared" si="5"/>
        <v>1.0101010101010102</v>
      </c>
    </row>
    <row r="40" spans="1:29" ht="15" hidden="1">
      <c r="A40" s="409"/>
      <c r="B40" s="364" t="s">
        <v>1871</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44"/>
      <c r="Q40" s="1262" t="str">
        <f t="shared" si="14"/>
        <v>临街宽度及深度</v>
      </c>
      <c r="R40" s="667" t="s">
        <v>14</v>
      </c>
      <c r="S40" s="668">
        <f t="shared" si="10"/>
        <v>100</v>
      </c>
      <c r="T40" s="667" t="s">
        <v>14</v>
      </c>
      <c r="U40" s="668">
        <f t="shared" si="11"/>
        <v>100</v>
      </c>
      <c r="V40" s="667" t="s">
        <v>14</v>
      </c>
      <c r="W40" s="668">
        <f t="shared" si="12"/>
        <v>100</v>
      </c>
      <c r="X40" s="1264"/>
      <c r="Y40" s="3444"/>
      <c r="Z40" s="1263" t="str">
        <f t="shared" si="13"/>
        <v>临街宽度及深度</v>
      </c>
      <c r="AA40" s="1263">
        <f t="shared" si="3"/>
        <v>1</v>
      </c>
      <c r="AB40" s="1263">
        <f t="shared" si="4"/>
        <v>1</v>
      </c>
      <c r="AC40" s="1263">
        <f t="shared" si="5"/>
        <v>1</v>
      </c>
    </row>
    <row r="41" spans="1:29" s="102" customFormat="1" ht="15">
      <c r="A41" s="410"/>
      <c r="B41" s="364" t="s">
        <v>1872</v>
      </c>
      <c r="C41" s="1827" t="s">
        <v>4362</v>
      </c>
      <c r="D41" s="119">
        <v>100</v>
      </c>
      <c r="E41" s="1827" t="s">
        <v>6138</v>
      </c>
      <c r="F41" s="374">
        <f>SUMIF(122:122,E41,123:123)-SUMIF(122:122,C41,123:123)+100</f>
        <v>94</v>
      </c>
      <c r="G41" s="1827" t="s">
        <v>6139</v>
      </c>
      <c r="H41" s="374">
        <f>SUMIF(122:122,G41,123:123)-SUMIF(122:122,C41,123:123)+100</f>
        <v>98</v>
      </c>
      <c r="I41" s="1827" t="s">
        <v>6138</v>
      </c>
      <c r="J41" s="374">
        <f>SUMIF(122:122,I41,123:123)-SUMIF(122:122,C41,123:123)+100</f>
        <v>94</v>
      </c>
      <c r="K41" s="538">
        <v>2</v>
      </c>
      <c r="L41" s="2488"/>
      <c r="M41" s="2439"/>
      <c r="N41" s="2439"/>
      <c r="O41" s="2540"/>
      <c r="P41" s="3444"/>
      <c r="Q41" s="1262" t="str">
        <f t="shared" si="14"/>
        <v>宗地开发程度</v>
      </c>
      <c r="R41" s="664" t="s">
        <v>14</v>
      </c>
      <c r="S41" s="665">
        <f t="shared" si="10"/>
        <v>94</v>
      </c>
      <c r="T41" s="664" t="s">
        <v>14</v>
      </c>
      <c r="U41" s="665">
        <f t="shared" si="11"/>
        <v>98</v>
      </c>
      <c r="V41" s="664" t="s">
        <v>14</v>
      </c>
      <c r="W41" s="665">
        <f t="shared" si="12"/>
        <v>94</v>
      </c>
      <c r="X41" s="666"/>
      <c r="Y41" s="3444"/>
      <c r="Z41" s="50" t="str">
        <f t="shared" si="13"/>
        <v>宗地开发程度</v>
      </c>
      <c r="AA41" s="50">
        <f t="shared" si="3"/>
        <v>1.0638297872340425</v>
      </c>
      <c r="AB41" s="50">
        <f t="shared" si="4"/>
        <v>1.0204081632653061</v>
      </c>
      <c r="AC41" s="50">
        <f t="shared" si="5"/>
        <v>1.0638297872340425</v>
      </c>
    </row>
    <row r="42" spans="1:29" ht="15">
      <c r="A42" s="409"/>
      <c r="B42" s="364" t="s">
        <v>1873</v>
      </c>
      <c r="C42" s="1759" t="s">
        <v>4348</v>
      </c>
      <c r="D42" s="374">
        <v>100</v>
      </c>
      <c r="E42" s="1759" t="s">
        <v>4348</v>
      </c>
      <c r="F42" s="374">
        <f>SUMIF(124:124,E42,125:125)-SUMIF(124:124,C42,125:125)+100</f>
        <v>100</v>
      </c>
      <c r="G42" s="1759" t="s">
        <v>4348</v>
      </c>
      <c r="H42" s="374">
        <f>SUMIF(124:124,G42,125:125)-SUMIF(124:124,C42,125:125)+100</f>
        <v>100</v>
      </c>
      <c r="I42" s="1759" t="s">
        <v>4348</v>
      </c>
      <c r="J42" s="374">
        <f>SUMIF(124:124,I42,125:125)-SUMIF(124:124,C42,125:125)+100</f>
        <v>100</v>
      </c>
      <c r="K42" s="538">
        <v>2</v>
      </c>
      <c r="L42" s="2492"/>
      <c r="M42" s="2487"/>
      <c r="N42" s="2487"/>
      <c r="O42" s="2542"/>
      <c r="P42" s="3444" t="s">
        <v>1691</v>
      </c>
      <c r="Q42" s="1262" t="str">
        <f t="shared" si="14"/>
        <v>工程地质条件</v>
      </c>
      <c r="R42" s="667" t="s">
        <v>14</v>
      </c>
      <c r="S42" s="668">
        <f t="shared" si="10"/>
        <v>100</v>
      </c>
      <c r="T42" s="667" t="s">
        <v>14</v>
      </c>
      <c r="U42" s="668">
        <f t="shared" si="11"/>
        <v>100</v>
      </c>
      <c r="V42" s="667" t="s">
        <v>14</v>
      </c>
      <c r="W42" s="668">
        <f t="shared" si="12"/>
        <v>100</v>
      </c>
      <c r="X42" s="1264"/>
      <c r="Y42" s="3444" t="s">
        <v>1691</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44"/>
      <c r="Q43" s="1262">
        <f t="shared" si="14"/>
        <v>111</v>
      </c>
      <c r="R43" s="667" t="s">
        <v>14</v>
      </c>
      <c r="S43" s="668">
        <f t="shared" si="10"/>
        <v>100</v>
      </c>
      <c r="T43" s="667" t="s">
        <v>14</v>
      </c>
      <c r="U43" s="668">
        <f t="shared" si="11"/>
        <v>100</v>
      </c>
      <c r="V43" s="667" t="s">
        <v>14</v>
      </c>
      <c r="W43" s="668">
        <f t="shared" si="12"/>
        <v>100</v>
      </c>
      <c r="X43" s="1264"/>
      <c r="Y43" s="344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44"/>
      <c r="Q44" s="1262">
        <f t="shared" si="14"/>
        <v>111</v>
      </c>
      <c r="R44" s="667" t="s">
        <v>14</v>
      </c>
      <c r="S44" s="668">
        <f t="shared" si="10"/>
        <v>100</v>
      </c>
      <c r="T44" s="667" t="s">
        <v>14</v>
      </c>
      <c r="U44" s="668">
        <f t="shared" si="11"/>
        <v>100</v>
      </c>
      <c r="V44" s="667" t="s">
        <v>14</v>
      </c>
      <c r="W44" s="668">
        <f t="shared" si="12"/>
        <v>100</v>
      </c>
      <c r="X44" s="1264"/>
      <c r="Y44" s="3444"/>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44"/>
      <c r="Q45" s="1262">
        <f t="shared" si="14"/>
        <v>111</v>
      </c>
      <c r="R45" s="669" t="s">
        <v>14</v>
      </c>
      <c r="S45" s="670">
        <f t="shared" si="10"/>
        <v>100</v>
      </c>
      <c r="T45" s="669" t="s">
        <v>14</v>
      </c>
      <c r="U45" s="670">
        <f t="shared" si="11"/>
        <v>100</v>
      </c>
      <c r="V45" s="669" t="s">
        <v>14</v>
      </c>
      <c r="W45" s="670">
        <f t="shared" si="12"/>
        <v>100</v>
      </c>
      <c r="X45" s="671"/>
      <c r="Y45" s="3444"/>
      <c r="Z45" s="672">
        <f t="shared" si="13"/>
        <v>111</v>
      </c>
      <c r="AA45" s="1263">
        <f t="shared" si="3"/>
        <v>1</v>
      </c>
      <c r="AB45" s="1263">
        <f t="shared" si="4"/>
        <v>1</v>
      </c>
      <c r="AC45" s="1263">
        <f t="shared" si="5"/>
        <v>1</v>
      </c>
    </row>
    <row r="46" spans="1:29" ht="15">
      <c r="A46" s="416" t="s">
        <v>1839</v>
      </c>
      <c r="B46" s="1829" t="s">
        <v>1874</v>
      </c>
      <c r="C46" s="602" t="s">
        <v>0</v>
      </c>
      <c r="D46" s="418"/>
      <c r="E46" s="419">
        <f>土地案例!V23</f>
        <v>11038</v>
      </c>
      <c r="F46" s="420"/>
      <c r="G46" s="421">
        <f>土地案例!V38</f>
        <v>12825</v>
      </c>
      <c r="H46" s="422"/>
      <c r="I46" s="419">
        <f>土地案例!V42</f>
        <v>14015</v>
      </c>
      <c r="J46" s="422"/>
      <c r="K46" s="674"/>
      <c r="L46" s="2494"/>
      <c r="M46" s="2487"/>
      <c r="N46" s="2487"/>
      <c r="O46" s="2487"/>
      <c r="P46" s="3426" t="str">
        <f>A46</f>
        <v>成交单价</v>
      </c>
      <c r="Q46" s="3426"/>
      <c r="R46" s="3439">
        <f>E46</f>
        <v>11038</v>
      </c>
      <c r="S46" s="3439"/>
      <c r="T46" s="3439">
        <f>G46</f>
        <v>12825</v>
      </c>
      <c r="U46" s="3439"/>
      <c r="V46" s="3439">
        <f>I46</f>
        <v>14015</v>
      </c>
      <c r="W46" s="3439"/>
      <c r="X46" s="385"/>
      <c r="Y46" s="673"/>
      <c r="Z46" s="385"/>
      <c r="AA46" s="385"/>
      <c r="AB46" s="385"/>
      <c r="AC46" s="385"/>
    </row>
    <row r="47" spans="1:29" ht="15.75" thickBot="1">
      <c r="A47" s="423" t="s">
        <v>1788</v>
      </c>
      <c r="B47" s="603"/>
      <c r="C47" s="426">
        <f>R48</f>
        <v>13512</v>
      </c>
      <c r="D47" s="2140" t="s">
        <v>2132</v>
      </c>
      <c r="E47" s="426">
        <f>R47</f>
        <v>11575</v>
      </c>
      <c r="F47" s="2141"/>
      <c r="G47" s="425">
        <f>T47</f>
        <v>13488</v>
      </c>
      <c r="H47" s="2141"/>
      <c r="I47" s="426">
        <f>V47</f>
        <v>15473</v>
      </c>
      <c r="J47" s="2141"/>
      <c r="K47" s="2143">
        <f>F47+H47+J47</f>
        <v>0</v>
      </c>
      <c r="L47" s="2494"/>
      <c r="M47" s="2487"/>
      <c r="N47" s="2487"/>
      <c r="O47" s="2487"/>
      <c r="P47" s="3426" t="str">
        <f>A47</f>
        <v>比较价值（元/平方米）</v>
      </c>
      <c r="Q47" s="3426"/>
      <c r="R47" s="3445">
        <f>ROUND(PRODUCT(R46,AA7:AA45),0)</f>
        <v>11575</v>
      </c>
      <c r="S47" s="3445"/>
      <c r="T47" s="3445">
        <f>ROUND(PRODUCT(T46,AB7:AB45),0)</f>
        <v>13488</v>
      </c>
      <c r="U47" s="3445"/>
      <c r="V47" s="3445">
        <f>ROUND(PRODUCT(V46,AC7:AC45),0)</f>
        <v>15473</v>
      </c>
      <c r="W47" s="3445"/>
      <c r="X47" s="385"/>
      <c r="Y47" s="385"/>
      <c r="Z47" s="385"/>
      <c r="AA47" s="385"/>
      <c r="AB47" s="385"/>
      <c r="AC47" s="385"/>
    </row>
    <row r="48" spans="1:29" ht="15.75" thickBot="1">
      <c r="A48" s="427" t="s">
        <v>1875</v>
      </c>
      <c r="B48" s="428"/>
      <c r="C48" s="429">
        <f>R48</f>
        <v>13512</v>
      </c>
      <c r="D48" s="429"/>
      <c r="E48" s="429"/>
      <c r="F48" s="429"/>
      <c r="G48" s="429"/>
      <c r="H48" s="429"/>
      <c r="I48" s="429"/>
      <c r="J48" s="429"/>
      <c r="K48" s="675"/>
      <c r="L48" s="2494"/>
      <c r="M48" s="2487"/>
      <c r="N48" s="2487"/>
      <c r="O48" s="2487"/>
      <c r="P48" s="3446" t="str">
        <f>A48</f>
        <v>估价对象XX用房的比较价值（楼面单价，元/平方米）</v>
      </c>
      <c r="Q48" s="3447"/>
      <c r="R48" s="3448">
        <f>ROUND(IF(D47="简单平均",AVERAGE(R47:W47),R47*F47+T47*H47+V47*J47),0)</f>
        <v>13512</v>
      </c>
      <c r="S48" s="3448"/>
      <c r="T48" s="3448"/>
      <c r="U48" s="3448"/>
      <c r="V48" s="3448"/>
      <c r="W48" s="3448"/>
      <c r="X48" s="385"/>
      <c r="Y48" s="385"/>
      <c r="Z48" s="385"/>
      <c r="AA48" s="385"/>
      <c r="AB48" s="385"/>
      <c r="AC48" s="385"/>
    </row>
    <row r="49" spans="1:29">
      <c r="A49" s="2487"/>
      <c r="B49" s="2487"/>
      <c r="C49" s="2487">
        <v>14193</v>
      </c>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1790</v>
      </c>
      <c r="D51" s="433"/>
      <c r="E51" s="434">
        <f>IF(E46&lt;E47,E47/E46-1,E46/E47-1)</f>
        <v>4.8650117774959201E-2</v>
      </c>
      <c r="F51" s="435" t="str">
        <f>IF(OR(E51&gt;=0.3,E51&lt;=-0.3),"超过30%","")</f>
        <v/>
      </c>
      <c r="G51" s="434">
        <f>IF(G46&lt;G47,G47/G46-1,G46/G47-1)</f>
        <v>5.1695906432748462E-2</v>
      </c>
      <c r="H51" s="435" t="str">
        <f>IF(OR(G51&gt;=0.3,G51&lt;=-0.3),"超过30%","")</f>
        <v/>
      </c>
      <c r="I51" s="434">
        <f>IF(I46&lt;I47,I47/I46-1,I46/I47-1)</f>
        <v>0.10403139493399927</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1791</v>
      </c>
      <c r="D52" s="436"/>
      <c r="E52" s="434">
        <f>IF(E47&lt;G47,G47/E47-1,E47/G47-1)</f>
        <v>0.16526997840172797</v>
      </c>
      <c r="F52" s="435" t="str">
        <f>IF(OR(E52&gt;=0.2,E52&lt;=-0.2),"超过20%","")</f>
        <v/>
      </c>
      <c r="G52" s="434">
        <f>IF(G47&lt;I47,I47/G47-1,G47/I47-1)</f>
        <v>0.14716785290628698</v>
      </c>
      <c r="H52" s="435" t="str">
        <f>IF(OR(G52&gt;=0.2,G52&lt;=-0.2),"超过20%","")</f>
        <v/>
      </c>
      <c r="I52" s="434">
        <f>IF(I47&lt;E47,E47/I47-1,I47/E47-1)</f>
        <v>0.33676025917926555</v>
      </c>
      <c r="J52" s="435" t="str">
        <f>IF(OR(I52&gt;=0.2,I52&lt;=-0.2),"超过20%","")</f>
        <v>超过20%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1792</v>
      </c>
      <c r="D53" s="436"/>
      <c r="E53" s="434">
        <f>IF(E46&lt;G46,G46/E46-1,E46/G46-1)</f>
        <v>0.16189527088240618</v>
      </c>
      <c r="F53" s="435" t="str">
        <f>IF(OR(E53&gt;=0.3,E53&lt;=-0.3),"超过30%","")</f>
        <v/>
      </c>
      <c r="G53" s="434">
        <f>IF(G46&lt;I46,I46/G46-1,G46/I46-1)</f>
        <v>9.2787524366471752E-2</v>
      </c>
      <c r="H53" s="435" t="str">
        <f>IF(OR(G53&gt;=0.3,G53&lt;=-0.3),"超过30%","")</f>
        <v/>
      </c>
      <c r="I53" s="434">
        <f>IF(I46&lt;E46,E46/I46-1,I46/E46-1)</f>
        <v>0.26970465664069576</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1876</v>
      </c>
      <c r="B55" s="605" t="s">
        <v>1877</v>
      </c>
      <c r="C55" s="1830" t="s">
        <v>1878</v>
      </c>
      <c r="D55" s="1831" t="s">
        <v>1879</v>
      </c>
      <c r="E55" s="606" t="s">
        <v>1880</v>
      </c>
      <c r="F55" s="837" t="s">
        <v>1881</v>
      </c>
      <c r="G55" s="3427" t="s">
        <v>1882</v>
      </c>
      <c r="H55" s="3449"/>
      <c r="I55" s="127" t="s">
        <v>1883</v>
      </c>
      <c r="J55" s="1832">
        <f>项目基本情况!F35</f>
        <v>0</v>
      </c>
      <c r="K55" s="1833" t="s">
        <v>1884</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1885</v>
      </c>
      <c r="B56" s="609">
        <f>C48</f>
        <v>13512</v>
      </c>
      <c r="C56" s="610">
        <v>1</v>
      </c>
      <c r="D56" s="890">
        <v>1</v>
      </c>
      <c r="E56" s="610">
        <f>'数据-汇总表'!E8+'数据-汇总表'!E9</f>
        <v>42863.29</v>
      </c>
      <c r="F56" s="833">
        <f t="shared" ref="F56:F64" si="15">ROUND(B56*E56/10000,0)</f>
        <v>57917</v>
      </c>
      <c r="G56" s="3450"/>
      <c r="H56" s="342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1886</v>
      </c>
      <c r="B57" s="210">
        <f>ROUND($C$48*C57*D57,0)</f>
        <v>2027</v>
      </c>
      <c r="C57" s="163">
        <f t="shared" ref="C57:C64" si="16">IF($C$55="北京市系数",I57,J57)</f>
        <v>0.6</v>
      </c>
      <c r="D57" s="891">
        <v>0.25</v>
      </c>
      <c r="E57" s="614">
        <f>面积指标!D6</f>
        <v>7514.68</v>
      </c>
      <c r="F57" s="833">
        <f t="shared" si="15"/>
        <v>1523</v>
      </c>
      <c r="G57" s="2750" t="s">
        <v>1887</v>
      </c>
      <c r="H57" s="834" t="str">
        <f>项目基本情况!B37</f>
        <v>七级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1888</v>
      </c>
      <c r="B58" s="210">
        <f t="shared" ref="B58:B64" si="17">ROUND($C$48*C58*D58,0)</f>
        <v>1013</v>
      </c>
      <c r="C58" s="163">
        <f t="shared" si="16"/>
        <v>0.3</v>
      </c>
      <c r="D58" s="891">
        <v>0.25</v>
      </c>
      <c r="E58" s="614"/>
      <c r="F58" s="833">
        <f t="shared" si="15"/>
        <v>0</v>
      </c>
      <c r="G58" s="2751"/>
      <c r="H58" s="834" t="str">
        <f>项目基本情况!B37</f>
        <v>七级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1889</v>
      </c>
      <c r="B59" s="210">
        <f t="shared" si="17"/>
        <v>845</v>
      </c>
      <c r="C59" s="163">
        <f t="shared" si="16"/>
        <v>0.25</v>
      </c>
      <c r="D59" s="891">
        <v>0.25</v>
      </c>
      <c r="E59" s="614"/>
      <c r="F59" s="833">
        <f t="shared" si="15"/>
        <v>0</v>
      </c>
      <c r="G59" s="2751"/>
      <c r="H59" s="834" t="str">
        <f>项目基本情况!B37</f>
        <v>七级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1890</v>
      </c>
      <c r="B60" s="210">
        <f t="shared" si="17"/>
        <v>0</v>
      </c>
      <c r="C60" s="163">
        <f t="shared" si="16"/>
        <v>0</v>
      </c>
      <c r="D60" s="891">
        <v>0.25</v>
      </c>
      <c r="E60" s="209">
        <f>'数据-汇总表'!E11</f>
        <v>0</v>
      </c>
      <c r="F60" s="833">
        <f t="shared" si="15"/>
        <v>0</v>
      </c>
      <c r="G60" s="1834" t="s">
        <v>1891</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1892</v>
      </c>
      <c r="B61" s="210">
        <f t="shared" si="17"/>
        <v>0</v>
      </c>
      <c r="C61" s="163">
        <f t="shared" si="16"/>
        <v>0</v>
      </c>
      <c r="D61" s="891">
        <v>0.25</v>
      </c>
      <c r="E61" s="209">
        <f>'数据-汇总表'!E12</f>
        <v>0</v>
      </c>
      <c r="F61" s="833">
        <f t="shared" si="15"/>
        <v>0</v>
      </c>
      <c r="G61" s="839" t="s">
        <v>1893</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1894</v>
      </c>
      <c r="B62" s="210">
        <f t="shared" si="17"/>
        <v>0</v>
      </c>
      <c r="C62" s="163">
        <f t="shared" si="16"/>
        <v>0</v>
      </c>
      <c r="D62" s="891">
        <v>0.25</v>
      </c>
      <c r="E62" s="209">
        <f>'数据-汇总表'!E13</f>
        <v>0</v>
      </c>
      <c r="F62" s="833">
        <f t="shared" si="15"/>
        <v>0</v>
      </c>
      <c r="G62" s="839" t="s">
        <v>1895</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1896</v>
      </c>
      <c r="B63" s="210">
        <f t="shared" si="17"/>
        <v>507</v>
      </c>
      <c r="C63" s="163">
        <f t="shared" si="16"/>
        <v>0.15</v>
      </c>
      <c r="D63" s="891">
        <v>0.25</v>
      </c>
      <c r="E63" s="209">
        <f>'数据-汇总表'!E14</f>
        <v>15639.329999999913</v>
      </c>
      <c r="F63" s="833">
        <f t="shared" si="15"/>
        <v>793</v>
      </c>
      <c r="G63" s="1834" t="s">
        <v>1887</v>
      </c>
      <c r="H63" s="834" t="str">
        <f>项目基本情况!B37</f>
        <v>七级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1897</v>
      </c>
      <c r="B64" s="210">
        <f t="shared" si="17"/>
        <v>0</v>
      </c>
      <c r="C64" s="163">
        <f t="shared" si="16"/>
        <v>0</v>
      </c>
      <c r="D64" s="891">
        <v>0.25</v>
      </c>
      <c r="E64" s="209">
        <f>'数据-汇总表'!E15</f>
        <v>0</v>
      </c>
      <c r="F64" s="833">
        <f t="shared" si="15"/>
        <v>0</v>
      </c>
      <c r="G64" s="1835" t="s">
        <v>1891</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1898</v>
      </c>
      <c r="B65" s="616" t="s">
        <v>22</v>
      </c>
      <c r="C65" s="616" t="s">
        <v>23</v>
      </c>
      <c r="D65" s="616" t="s">
        <v>392</v>
      </c>
      <c r="E65" s="616">
        <f>IF(B46="楼面地价",SUM(E56:E64),'数据-汇总表'!D3)</f>
        <v>66017.299999999916</v>
      </c>
      <c r="F65" s="617">
        <f>IF(B46="楼面地价",SUM(F56:F64),ROUND(C48*E65/10000,0))</f>
        <v>60233</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1793</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1899</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671</v>
      </c>
      <c r="B70" s="280" t="str">
        <f>"北京市平均增长率"&amp;TEXT(SUMIF(基准地价修正!N25:N29,A70,基准地价修正!P25:P29),"0.00%")</f>
        <v>北京市平均增长率0.00%</v>
      </c>
      <c r="C70" s="530">
        <v>100</v>
      </c>
      <c r="D70" s="6">
        <f>C70-$C$71</f>
        <v>100</v>
      </c>
      <c r="E70" s="6">
        <f t="shared" ref="E70:O70" si="20">D70-$C$71</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8"/>
      <c r="Q70" s="2439"/>
      <c r="R70" s="2439"/>
      <c r="S70" s="2439"/>
      <c r="T70" s="2439"/>
      <c r="U70" s="2439"/>
      <c r="V70" s="2439"/>
      <c r="W70" s="2439"/>
      <c r="X70" s="2439"/>
      <c r="Y70" s="2439"/>
      <c r="Z70" s="2439"/>
      <c r="AA70" s="2439"/>
      <c r="AB70" s="2439"/>
      <c r="AC70" s="2439"/>
    </row>
    <row r="71" spans="1:29" s="102" customFormat="1" ht="15.75" thickBot="1">
      <c r="A71" s="449" t="s">
        <v>1711</v>
      </c>
      <c r="B71" s="450"/>
      <c r="C71" s="451">
        <v>0</v>
      </c>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1676</v>
      </c>
      <c r="B72" s="444"/>
      <c r="C72" s="456" t="s">
        <v>1771</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1714</v>
      </c>
      <c r="B74" s="460" t="s">
        <v>1680</v>
      </c>
      <c r="C74" s="462" t="s">
        <v>6128</v>
      </c>
      <c r="D74" s="462" t="s">
        <v>6129</v>
      </c>
      <c r="E74" s="462" t="s">
        <v>6130</v>
      </c>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v>100</v>
      </c>
      <c r="D75" s="467">
        <v>90</v>
      </c>
      <c r="E75" s="467">
        <v>85</v>
      </c>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1683</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1684</v>
      </c>
      <c r="C78" s="478" t="str">
        <f>C79&amp;"（含）"&amp;"-"&amp;D79</f>
        <v>0（含）-1</v>
      </c>
      <c r="D78" s="478" t="str">
        <f t="shared" ref="D78:L78" si="21">D79&amp;"（含）"&amp;"-"&amp;E79</f>
        <v>1（含）-2</v>
      </c>
      <c r="E78" s="478" t="str">
        <f t="shared" si="21"/>
        <v>2（含）-3</v>
      </c>
      <c r="F78" s="478" t="str">
        <f t="shared" si="21"/>
        <v>3（含）-</v>
      </c>
      <c r="G78" s="478" t="str">
        <f t="shared" si="21"/>
        <v>（含）-</v>
      </c>
      <c r="H78" s="478" t="str">
        <f t="shared" si="21"/>
        <v>（含）-</v>
      </c>
      <c r="I78" s="478" t="str">
        <f t="shared" si="21"/>
        <v>（含）-</v>
      </c>
      <c r="J78" s="478" t="str">
        <f t="shared" si="21"/>
        <v>（含）-</v>
      </c>
      <c r="K78" s="478" t="str">
        <f t="shared" si="21"/>
        <v>（含）-</v>
      </c>
      <c r="L78" s="478" t="str">
        <f t="shared" si="21"/>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v>0</v>
      </c>
      <c r="D79" s="480">
        <v>1</v>
      </c>
      <c r="E79" s="480">
        <v>2</v>
      </c>
      <c r="F79" s="480">
        <v>3</v>
      </c>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t="str">
        <f>B13</f>
        <v>自持限制</v>
      </c>
      <c r="C83" s="3168" t="s">
        <v>4336</v>
      </c>
      <c r="D83" s="3169" t="s">
        <v>4337</v>
      </c>
      <c r="E83" s="3168" t="s">
        <v>4338</v>
      </c>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v>100</v>
      </c>
      <c r="D84" s="467">
        <v>95</v>
      </c>
      <c r="E84" s="467">
        <v>80</v>
      </c>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1685</v>
      </c>
      <c r="B87" s="460" t="s">
        <v>1715</v>
      </c>
      <c r="C87" s="504" t="s">
        <v>1716</v>
      </c>
      <c r="D87" s="504" t="s">
        <v>1717</v>
      </c>
      <c r="E87" s="504" t="s">
        <v>1718</v>
      </c>
      <c r="F87" s="504" t="s">
        <v>1719</v>
      </c>
      <c r="G87" s="504" t="s">
        <v>1720</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1900</v>
      </c>
      <c r="C89" s="509" t="s">
        <v>1716</v>
      </c>
      <c r="D89" s="509" t="s">
        <v>1717</v>
      </c>
      <c r="E89" s="509" t="s">
        <v>1718</v>
      </c>
      <c r="F89" s="509" t="s">
        <v>1719</v>
      </c>
      <c r="G89" s="509" t="s">
        <v>1720</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97</v>
      </c>
      <c r="E90" s="475">
        <f>D90-$K17</f>
        <v>94</v>
      </c>
      <c r="F90" s="475">
        <f>E90-$K17</f>
        <v>91</v>
      </c>
      <c r="G90" s="475">
        <f>F90-$K17</f>
        <v>88</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1816</v>
      </c>
      <c r="C91" s="509" t="s">
        <v>1716</v>
      </c>
      <c r="D91" s="509" t="s">
        <v>1717</v>
      </c>
      <c r="E91" s="509" t="s">
        <v>1718</v>
      </c>
      <c r="F91" s="509" t="s">
        <v>1719</v>
      </c>
      <c r="G91" s="509" t="s">
        <v>1720</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1721</v>
      </c>
      <c r="C93" s="509" t="s">
        <v>1716</v>
      </c>
      <c r="D93" s="509" t="s">
        <v>1717</v>
      </c>
      <c r="E93" s="509" t="s">
        <v>1718</v>
      </c>
      <c r="F93" s="509" t="s">
        <v>1719</v>
      </c>
      <c r="G93" s="509" t="s">
        <v>1720</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97</v>
      </c>
      <c r="E94" s="475">
        <f>D94-$K21</f>
        <v>94</v>
      </c>
      <c r="F94" s="475">
        <f>E94-$K21</f>
        <v>91</v>
      </c>
      <c r="G94" s="475">
        <f>F94-$K21</f>
        <v>88</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1901</v>
      </c>
      <c r="C95" s="509" t="s">
        <v>1716</v>
      </c>
      <c r="D95" s="509" t="s">
        <v>1717</v>
      </c>
      <c r="E95" s="509" t="s">
        <v>1718</v>
      </c>
      <c r="F95" s="509" t="s">
        <v>1719</v>
      </c>
      <c r="G95" s="509" t="s">
        <v>1720</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99</v>
      </c>
      <c r="E96" s="475">
        <f>D96-$K23</f>
        <v>98</v>
      </c>
      <c r="F96" s="475">
        <f>E96-$K23</f>
        <v>97</v>
      </c>
      <c r="G96" s="475">
        <f>F96-$K23</f>
        <v>96</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1902</v>
      </c>
      <c r="C97" s="504" t="s">
        <v>1716</v>
      </c>
      <c r="D97" s="504" t="s">
        <v>1717</v>
      </c>
      <c r="E97" s="504" t="s">
        <v>1718</v>
      </c>
      <c r="F97" s="504" t="s">
        <v>1719</v>
      </c>
      <c r="G97" s="504" t="s">
        <v>1720</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1773</v>
      </c>
      <c r="C99" s="504" t="s">
        <v>1716</v>
      </c>
      <c r="D99" s="504" t="s">
        <v>1717</v>
      </c>
      <c r="E99" s="504" t="s">
        <v>1718</v>
      </c>
      <c r="F99" s="504" t="s">
        <v>1719</v>
      </c>
      <c r="G99" s="504" t="s">
        <v>1720</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1774</v>
      </c>
      <c r="C101" s="581" t="s">
        <v>1794</v>
      </c>
      <c r="D101" s="581" t="s">
        <v>1795</v>
      </c>
      <c r="E101" s="581" t="s">
        <v>1796</v>
      </c>
      <c r="F101" s="581" t="s">
        <v>1797</v>
      </c>
      <c r="G101" s="581" t="s">
        <v>1798</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1810</v>
      </c>
      <c r="C105" s="3168" t="s">
        <v>4339</v>
      </c>
      <c r="D105" s="3168" t="s">
        <v>4340</v>
      </c>
      <c r="E105" s="3168" t="s">
        <v>4341</v>
      </c>
      <c r="F105" s="3168" t="s">
        <v>4342</v>
      </c>
      <c r="G105" s="3168" t="s">
        <v>4343</v>
      </c>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1868</v>
      </c>
      <c r="C107" s="3171" t="s">
        <v>24</v>
      </c>
      <c r="D107" s="3171" t="s">
        <v>25</v>
      </c>
      <c r="E107" s="3171" t="s">
        <v>319</v>
      </c>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8.5">
      <c r="A115" s="379" t="s">
        <v>1689</v>
      </c>
      <c r="B115" s="460" t="s">
        <v>1907</v>
      </c>
      <c r="C115" s="461" t="str">
        <f>C116&amp;"(含)"&amp;"-"&amp;D116</f>
        <v>0(含)-10000</v>
      </c>
      <c r="D115" s="461" t="str">
        <f t="shared" ref="D115:M115" si="26">D116&amp;"(含)"&amp;"-"&amp;E116</f>
        <v>10000(含)-20000</v>
      </c>
      <c r="E115" s="461" t="str">
        <f t="shared" si="26"/>
        <v>20000(含)-30000</v>
      </c>
      <c r="F115" s="461" t="str">
        <f t="shared" si="26"/>
        <v>30000(含)-40000</v>
      </c>
      <c r="G115" s="461" t="str">
        <f t="shared" si="26"/>
        <v>40000(含)-50000</v>
      </c>
      <c r="H115" s="461" t="str">
        <f t="shared" si="26"/>
        <v>50000(含)-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v>0</v>
      </c>
      <c r="D116" s="6">
        <v>10000</v>
      </c>
      <c r="E116" s="6">
        <v>20000</v>
      </c>
      <c r="F116" s="6">
        <v>30000</v>
      </c>
      <c r="G116" s="6">
        <v>40000</v>
      </c>
      <c r="H116" s="6">
        <v>50000</v>
      </c>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v>100</v>
      </c>
      <c r="D117" s="521">
        <v>101</v>
      </c>
      <c r="E117" s="521">
        <v>102</v>
      </c>
      <c r="F117" s="521">
        <v>103</v>
      </c>
      <c r="G117" s="521">
        <v>104</v>
      </c>
      <c r="H117" s="521">
        <v>105</v>
      </c>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1908</v>
      </c>
      <c r="C118" s="3171" t="s">
        <v>4350</v>
      </c>
      <c r="D118" s="3171" t="s">
        <v>4351</v>
      </c>
      <c r="E118" s="3171" t="s">
        <v>4352</v>
      </c>
      <c r="F118" s="3171" t="s">
        <v>4353</v>
      </c>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1909</v>
      </c>
      <c r="C120" s="3168" t="s">
        <v>4359</v>
      </c>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1910</v>
      </c>
      <c r="C122" s="3168" t="s">
        <v>4354</v>
      </c>
      <c r="D122" s="3168" t="s">
        <v>4355</v>
      </c>
      <c r="E122" s="3168" t="s">
        <v>4356</v>
      </c>
      <c r="F122" s="3168" t="s">
        <v>4357</v>
      </c>
      <c r="G122" s="3168" t="s">
        <v>4358</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9">C123-$K41</f>
        <v>98</v>
      </c>
      <c r="E123" s="475">
        <f t="shared" si="29"/>
        <v>96</v>
      </c>
      <c r="F123" s="475">
        <f t="shared" si="29"/>
        <v>94</v>
      </c>
      <c r="G123" s="475">
        <f t="shared" si="29"/>
        <v>92</v>
      </c>
      <c r="H123" s="475">
        <f t="shared" si="29"/>
        <v>90</v>
      </c>
      <c r="I123" s="475">
        <f t="shared" si="29"/>
        <v>88</v>
      </c>
      <c r="J123" s="475">
        <f t="shared" si="29"/>
        <v>86</v>
      </c>
      <c r="K123" s="475">
        <f t="shared" si="29"/>
        <v>84</v>
      </c>
      <c r="L123" s="475">
        <f t="shared" si="29"/>
        <v>82</v>
      </c>
      <c r="M123" s="476">
        <f t="shared" si="29"/>
        <v>80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1911</v>
      </c>
      <c r="C124" s="3168" t="s">
        <v>4360</v>
      </c>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workbookViewId="0">
      <pane ySplit="1" topLeftCell="A2" activePane="bottomLeft" state="frozen"/>
      <selection pane="bottomLeft" activeCell="J50" sqref="J50"/>
    </sheetView>
  </sheetViews>
  <sheetFormatPr defaultRowHeight="12"/>
  <cols>
    <col min="1" max="1" width="20" style="3205" customWidth="1"/>
    <col min="2" max="2" width="20" style="3205" hidden="1" customWidth="1"/>
    <col min="3" max="3" width="7.625" style="3205" customWidth="1"/>
    <col min="4" max="4" width="9" style="3205" hidden="1" customWidth="1"/>
    <col min="5" max="5" width="9.375" style="3205" customWidth="1"/>
    <col min="6" max="6" width="10.75" style="3205" customWidth="1"/>
    <col min="7" max="7" width="9.875" style="3205" customWidth="1"/>
    <col min="8" max="8" width="7" style="3205" customWidth="1"/>
    <col min="9" max="9" width="12.25" style="3205" customWidth="1"/>
    <col min="10" max="10" width="9" style="3205" customWidth="1"/>
    <col min="11" max="11" width="12" style="3205" customWidth="1"/>
    <col min="12" max="14" width="20" style="3205" hidden="1" customWidth="1"/>
    <col min="15" max="15" width="10.875" style="3205" customWidth="1"/>
    <col min="16" max="17" width="20" style="3205" hidden="1" customWidth="1"/>
    <col min="18" max="18" width="9" style="3205" customWidth="1"/>
    <col min="19" max="19" width="8.25" style="3205" customWidth="1"/>
    <col min="20" max="20" width="10.25" style="3205" customWidth="1"/>
    <col min="21" max="21" width="9" style="3205" customWidth="1"/>
    <col min="22" max="22" width="9.875" style="3208" customWidth="1"/>
    <col min="23" max="23" width="7.625" style="3205" customWidth="1"/>
    <col min="24" max="26" width="20" style="3205" hidden="1" customWidth="1"/>
    <col min="27" max="27" width="12.625" style="3205" customWidth="1"/>
    <col min="28" max="28" width="6.625" style="3205" customWidth="1"/>
    <col min="29" max="29" width="20" style="3205" customWidth="1"/>
    <col min="30" max="16384" width="9" style="3205"/>
  </cols>
  <sheetData>
    <row r="1" spans="1:28" s="3206" customFormat="1" ht="24">
      <c r="A1" s="3206" t="s">
        <v>5806</v>
      </c>
      <c r="B1" s="3206" t="s">
        <v>5807</v>
      </c>
      <c r="C1" s="3206" t="s">
        <v>5808</v>
      </c>
      <c r="D1" s="3206" t="s">
        <v>5809</v>
      </c>
      <c r="E1" s="3206" t="s">
        <v>5810</v>
      </c>
      <c r="F1" s="3206" t="s">
        <v>5811</v>
      </c>
      <c r="G1" s="3206" t="s">
        <v>5812</v>
      </c>
      <c r="H1" s="3206" t="s">
        <v>5813</v>
      </c>
      <c r="I1" s="3206" t="s">
        <v>5814</v>
      </c>
      <c r="J1" s="3206" t="s">
        <v>5815</v>
      </c>
      <c r="K1" s="3206" t="s">
        <v>5816</v>
      </c>
      <c r="L1" s="3206" t="s">
        <v>5817</v>
      </c>
      <c r="M1" s="3206" t="s">
        <v>5818</v>
      </c>
      <c r="N1" s="3206" t="s">
        <v>5819</v>
      </c>
      <c r="O1" s="3206" t="s">
        <v>5820</v>
      </c>
      <c r="P1" s="3206" t="s">
        <v>5821</v>
      </c>
      <c r="Q1" s="3206" t="s">
        <v>5822</v>
      </c>
      <c r="R1" s="3206" t="s">
        <v>5823</v>
      </c>
      <c r="S1" s="3206" t="s">
        <v>5824</v>
      </c>
      <c r="T1" s="3206" t="s">
        <v>5825</v>
      </c>
      <c r="U1" s="3206" t="s">
        <v>5826</v>
      </c>
      <c r="V1" s="3207" t="s">
        <v>5827</v>
      </c>
      <c r="W1" s="3206" t="s">
        <v>5828</v>
      </c>
      <c r="X1" s="3206" t="s">
        <v>5829</v>
      </c>
      <c r="Y1" s="3206" t="s">
        <v>5830</v>
      </c>
      <c r="Z1" s="3206" t="s">
        <v>5831</v>
      </c>
      <c r="AA1" s="3206" t="s">
        <v>5832</v>
      </c>
      <c r="AB1" s="3206" t="s">
        <v>5833</v>
      </c>
    </row>
    <row r="2" spans="1:28" hidden="1">
      <c r="A2" s="3205" t="s">
        <v>5834</v>
      </c>
      <c r="B2" s="3205" t="s">
        <v>3386</v>
      </c>
      <c r="C2" s="3205" t="s">
        <v>5835</v>
      </c>
      <c r="D2" s="3205" t="s">
        <v>5836</v>
      </c>
      <c r="E2" s="3205" t="s">
        <v>5837</v>
      </c>
      <c r="F2" s="3205">
        <v>8322.9599999999991</v>
      </c>
      <c r="G2" s="3205">
        <v>9987.5499999999993</v>
      </c>
      <c r="H2" s="3205" t="s">
        <v>5838</v>
      </c>
      <c r="I2" s="3205" t="s">
        <v>5839</v>
      </c>
      <c r="J2" s="3205" t="s">
        <v>5840</v>
      </c>
      <c r="K2" s="3205" t="s">
        <v>5841</v>
      </c>
      <c r="L2" s="3205" t="s">
        <v>5842</v>
      </c>
      <c r="M2" s="3205" t="s">
        <v>5843</v>
      </c>
      <c r="N2" s="3205" t="s">
        <v>5843</v>
      </c>
      <c r="O2" s="3205" t="s">
        <v>4879</v>
      </c>
      <c r="P2" s="3205" t="s">
        <v>5844</v>
      </c>
      <c r="Q2" s="3205" t="s">
        <v>5845</v>
      </c>
      <c r="R2" s="3205" t="s">
        <v>5846</v>
      </c>
      <c r="S2" s="3205">
        <v>3100</v>
      </c>
      <c r="T2" s="3205">
        <v>3724.63</v>
      </c>
      <c r="U2" s="3205">
        <v>248.31</v>
      </c>
      <c r="V2" s="3208">
        <v>3104</v>
      </c>
      <c r="W2" s="3205">
        <v>0</v>
      </c>
      <c r="X2" s="3205" t="s">
        <v>5843</v>
      </c>
      <c r="Y2" s="3205" t="s">
        <v>5843</v>
      </c>
      <c r="Z2" s="3205" t="s">
        <v>5843</v>
      </c>
      <c r="AA2" s="3205" t="s">
        <v>5847</v>
      </c>
      <c r="AB2" s="3205" t="s">
        <v>5843</v>
      </c>
    </row>
    <row r="3" spans="1:28" hidden="1">
      <c r="A3" s="3205" t="s">
        <v>5848</v>
      </c>
      <c r="B3" s="3205" t="s">
        <v>3386</v>
      </c>
      <c r="C3" s="3205" t="s">
        <v>5849</v>
      </c>
      <c r="D3" s="3205" t="s">
        <v>5850</v>
      </c>
      <c r="E3" s="3205" t="s">
        <v>5851</v>
      </c>
      <c r="F3" s="3205">
        <v>41129.769999999997</v>
      </c>
      <c r="G3" s="3205">
        <v>90485.49</v>
      </c>
      <c r="H3" s="3205" t="s">
        <v>5838</v>
      </c>
      <c r="I3" s="3205" t="s">
        <v>5852</v>
      </c>
      <c r="J3" s="3205" t="s">
        <v>5853</v>
      </c>
      <c r="K3" s="3205" t="s">
        <v>5854</v>
      </c>
      <c r="L3" s="3205" t="s">
        <v>5842</v>
      </c>
      <c r="M3" s="3205" t="s">
        <v>5843</v>
      </c>
      <c r="N3" s="3205" t="s">
        <v>5843</v>
      </c>
      <c r="O3" s="3205" t="s">
        <v>5855</v>
      </c>
      <c r="P3" s="3205" t="s">
        <v>5844</v>
      </c>
      <c r="Q3" s="3205" t="s">
        <v>5856</v>
      </c>
      <c r="R3" s="3205" t="s">
        <v>5857</v>
      </c>
      <c r="S3" s="3205">
        <v>80900</v>
      </c>
      <c r="T3" s="3205">
        <v>19669.45</v>
      </c>
      <c r="U3" s="3205">
        <v>1311.3</v>
      </c>
      <c r="V3" s="3208">
        <v>8941</v>
      </c>
      <c r="W3" s="3205">
        <v>0</v>
      </c>
      <c r="X3" s="3205" t="s">
        <v>5843</v>
      </c>
      <c r="Y3" s="3205" t="s">
        <v>5843</v>
      </c>
      <c r="Z3" s="3205" t="s">
        <v>5843</v>
      </c>
      <c r="AA3" s="3205" t="s">
        <v>5858</v>
      </c>
      <c r="AB3" s="3205" t="s">
        <v>5843</v>
      </c>
    </row>
    <row r="4" spans="1:28" hidden="1">
      <c r="A4" s="3205" t="s">
        <v>5859</v>
      </c>
      <c r="B4" s="3205" t="s">
        <v>3386</v>
      </c>
      <c r="C4" s="3205" t="s">
        <v>5860</v>
      </c>
      <c r="D4" s="3205" t="s">
        <v>5861</v>
      </c>
      <c r="E4" s="3205" t="s">
        <v>5862</v>
      </c>
      <c r="F4" s="3205">
        <v>32423.18</v>
      </c>
      <c r="G4" s="3205">
        <v>42150</v>
      </c>
      <c r="H4" s="3205" t="s">
        <v>5838</v>
      </c>
      <c r="I4" s="3205" t="s">
        <v>5852</v>
      </c>
      <c r="J4" s="3205" t="s">
        <v>5853</v>
      </c>
      <c r="K4" s="3205" t="s">
        <v>5863</v>
      </c>
      <c r="L4" s="3205" t="s">
        <v>5842</v>
      </c>
      <c r="M4" s="3205" t="s">
        <v>5843</v>
      </c>
      <c r="N4" s="3205" t="s">
        <v>5843</v>
      </c>
      <c r="O4" s="3205" t="s">
        <v>5864</v>
      </c>
      <c r="P4" s="3205" t="s">
        <v>5844</v>
      </c>
      <c r="Q4" s="3205" t="s">
        <v>5856</v>
      </c>
      <c r="R4" s="3205" t="s">
        <v>5865</v>
      </c>
      <c r="S4" s="3205">
        <v>23500</v>
      </c>
      <c r="T4" s="3205">
        <v>7247.9</v>
      </c>
      <c r="U4" s="3205">
        <v>483.19</v>
      </c>
      <c r="V4" s="3208">
        <v>5575</v>
      </c>
      <c r="W4" s="3205">
        <v>0</v>
      </c>
      <c r="X4" s="3205" t="s">
        <v>5843</v>
      </c>
      <c r="Y4" s="3205" t="s">
        <v>5843</v>
      </c>
      <c r="Z4" s="3205" t="s">
        <v>5843</v>
      </c>
      <c r="AA4" s="3205" t="s">
        <v>5866</v>
      </c>
      <c r="AB4" s="3205" t="s">
        <v>5843</v>
      </c>
    </row>
    <row r="5" spans="1:28" hidden="1">
      <c r="A5" s="3205" t="s">
        <v>5867</v>
      </c>
      <c r="B5" s="3205" t="s">
        <v>3386</v>
      </c>
      <c r="C5" s="3205" t="s">
        <v>5860</v>
      </c>
      <c r="D5" s="3205" t="s">
        <v>5868</v>
      </c>
      <c r="E5" s="3205" t="s">
        <v>5869</v>
      </c>
      <c r="F5" s="3205">
        <v>48824.83</v>
      </c>
      <c r="G5" s="3205">
        <v>122062.08</v>
      </c>
      <c r="H5" s="3205" t="s">
        <v>5838</v>
      </c>
      <c r="I5" s="3205" t="s">
        <v>5870</v>
      </c>
      <c r="J5" s="3205" t="s">
        <v>5871</v>
      </c>
      <c r="K5" s="3205" t="s">
        <v>5872</v>
      </c>
      <c r="L5" s="3205" t="s">
        <v>5842</v>
      </c>
      <c r="M5" s="3205" t="s">
        <v>5843</v>
      </c>
      <c r="N5" s="3205" t="s">
        <v>5843</v>
      </c>
      <c r="O5" s="3205" t="s">
        <v>5873</v>
      </c>
      <c r="P5" s="3205" t="s">
        <v>5844</v>
      </c>
      <c r="Q5" s="3205" t="s">
        <v>5856</v>
      </c>
      <c r="R5" s="3205" t="s">
        <v>5874</v>
      </c>
      <c r="S5" s="3205">
        <v>93000</v>
      </c>
      <c r="T5" s="3205">
        <v>19047.68</v>
      </c>
      <c r="U5" s="3205">
        <v>1269.8499999999999</v>
      </c>
      <c r="V5" s="3208">
        <v>7619</v>
      </c>
      <c r="W5" s="3205">
        <v>0</v>
      </c>
      <c r="X5" s="3205" t="s">
        <v>5843</v>
      </c>
      <c r="Y5" s="3205" t="s">
        <v>5843</v>
      </c>
      <c r="Z5" s="3205" t="s">
        <v>5843</v>
      </c>
      <c r="AA5" s="3205" t="s">
        <v>5875</v>
      </c>
      <c r="AB5" s="3205" t="s">
        <v>5843</v>
      </c>
    </row>
    <row r="6" spans="1:28" hidden="1">
      <c r="A6" s="3205" t="s">
        <v>5876</v>
      </c>
      <c r="B6" s="3205" t="s">
        <v>3386</v>
      </c>
      <c r="C6" s="3205" t="s">
        <v>5877</v>
      </c>
      <c r="D6" s="3205" t="s">
        <v>5878</v>
      </c>
      <c r="E6" s="3205" t="s">
        <v>5879</v>
      </c>
      <c r="F6" s="3205">
        <v>21154.74</v>
      </c>
      <c r="G6" s="3205">
        <v>31732.11</v>
      </c>
      <c r="H6" s="3205" t="s">
        <v>5838</v>
      </c>
      <c r="I6" s="3205" t="s">
        <v>5880</v>
      </c>
      <c r="J6" s="3205" t="s">
        <v>5853</v>
      </c>
      <c r="K6" s="3205" t="s">
        <v>5881</v>
      </c>
      <c r="L6" s="3205" t="s">
        <v>5842</v>
      </c>
      <c r="M6" s="3205" t="s">
        <v>5843</v>
      </c>
      <c r="N6" s="3205" t="s">
        <v>5843</v>
      </c>
      <c r="O6" s="3205" t="s">
        <v>4899</v>
      </c>
      <c r="P6" s="3205" t="s">
        <v>5844</v>
      </c>
      <c r="Q6" s="3205" t="s">
        <v>5856</v>
      </c>
      <c r="R6" s="3205" t="s">
        <v>5882</v>
      </c>
      <c r="S6" s="3205">
        <v>29600</v>
      </c>
      <c r="T6" s="3205">
        <v>13992.13</v>
      </c>
      <c r="U6" s="3205">
        <v>932.81</v>
      </c>
      <c r="V6" s="3208">
        <v>9328</v>
      </c>
      <c r="W6" s="3205">
        <v>0</v>
      </c>
      <c r="X6" s="3205" t="s">
        <v>5843</v>
      </c>
      <c r="Y6" s="3205" t="s">
        <v>5843</v>
      </c>
      <c r="Z6" s="3205" t="s">
        <v>5843</v>
      </c>
      <c r="AA6" s="3205" t="s">
        <v>5858</v>
      </c>
      <c r="AB6" s="3205" t="s">
        <v>5843</v>
      </c>
    </row>
    <row r="7" spans="1:28" hidden="1">
      <c r="A7" s="3205" t="s">
        <v>5883</v>
      </c>
      <c r="B7" s="3205" t="s">
        <v>3386</v>
      </c>
      <c r="C7" s="3205" t="s">
        <v>5849</v>
      </c>
      <c r="D7" s="3205" t="s">
        <v>5884</v>
      </c>
      <c r="E7" s="3205" t="s">
        <v>5885</v>
      </c>
      <c r="F7" s="3205">
        <v>19810.400000000001</v>
      </c>
      <c r="G7" s="3205">
        <v>700</v>
      </c>
      <c r="H7" s="3205" t="s">
        <v>5838</v>
      </c>
      <c r="I7" s="3205" t="s">
        <v>5886</v>
      </c>
      <c r="J7" s="3205" t="s">
        <v>5853</v>
      </c>
      <c r="K7" s="3205" t="s">
        <v>5887</v>
      </c>
      <c r="L7" s="3205" t="s">
        <v>5842</v>
      </c>
      <c r="M7" s="3205" t="s">
        <v>5843</v>
      </c>
      <c r="N7" s="3205" t="s">
        <v>5843</v>
      </c>
      <c r="O7" s="3205" t="s">
        <v>4906</v>
      </c>
      <c r="P7" s="3205" t="s">
        <v>5844</v>
      </c>
      <c r="Q7" s="3205" t="s">
        <v>5856</v>
      </c>
      <c r="R7" s="3205" t="s">
        <v>5888</v>
      </c>
      <c r="S7" s="3205">
        <v>6600</v>
      </c>
      <c r="T7" s="3205">
        <v>3331.58</v>
      </c>
      <c r="U7" s="3205">
        <v>222.11</v>
      </c>
      <c r="V7" s="3208">
        <v>94286</v>
      </c>
      <c r="W7" s="3205">
        <v>0</v>
      </c>
      <c r="X7" s="3205" t="s">
        <v>5843</v>
      </c>
      <c r="Y7" s="3205" t="s">
        <v>5843</v>
      </c>
      <c r="Z7" s="3205" t="s">
        <v>5843</v>
      </c>
      <c r="AA7" s="3205" t="s">
        <v>5889</v>
      </c>
      <c r="AB7" s="3205" t="s">
        <v>5843</v>
      </c>
    </row>
    <row r="8" spans="1:28" hidden="1">
      <c r="A8" s="3205" t="s">
        <v>5890</v>
      </c>
      <c r="B8" s="3205" t="s">
        <v>3386</v>
      </c>
      <c r="C8" s="3205" t="s">
        <v>5891</v>
      </c>
      <c r="D8" s="3205" t="s">
        <v>5892</v>
      </c>
      <c r="E8" s="3205" t="s">
        <v>5893</v>
      </c>
      <c r="F8" s="3205">
        <v>8286.49</v>
      </c>
      <c r="G8" s="3205">
        <v>8286.49</v>
      </c>
      <c r="H8" s="3205" t="s">
        <v>5838</v>
      </c>
      <c r="I8" s="3205" t="s">
        <v>5894</v>
      </c>
      <c r="J8" s="3205" t="s">
        <v>5853</v>
      </c>
      <c r="K8" s="3205" t="s">
        <v>5895</v>
      </c>
      <c r="L8" s="3205" t="s">
        <v>5842</v>
      </c>
      <c r="M8" s="3205" t="s">
        <v>5843</v>
      </c>
      <c r="N8" s="3205" t="s">
        <v>5843</v>
      </c>
      <c r="O8" s="3205" t="s">
        <v>5896</v>
      </c>
      <c r="P8" s="3205" t="s">
        <v>5844</v>
      </c>
      <c r="Q8" s="3205" t="s">
        <v>5856</v>
      </c>
      <c r="R8" s="3205" t="s">
        <v>5897</v>
      </c>
      <c r="S8" s="3205">
        <v>16000</v>
      </c>
      <c r="T8" s="3205">
        <v>19308.53</v>
      </c>
      <c r="U8" s="3205">
        <v>1287.24</v>
      </c>
      <c r="V8" s="3208">
        <v>19309</v>
      </c>
      <c r="W8" s="3205">
        <v>0</v>
      </c>
      <c r="X8" s="3205" t="s">
        <v>5843</v>
      </c>
      <c r="Y8" s="3205" t="s">
        <v>5843</v>
      </c>
      <c r="Z8" s="3205" t="s">
        <v>5843</v>
      </c>
      <c r="AA8" s="3205" t="s">
        <v>5898</v>
      </c>
      <c r="AB8" s="3205" t="s">
        <v>5843</v>
      </c>
    </row>
    <row r="9" spans="1:28" hidden="1">
      <c r="A9" s="3205" t="s">
        <v>5899</v>
      </c>
      <c r="B9" s="3205" t="s">
        <v>3386</v>
      </c>
      <c r="C9" s="3205" t="s">
        <v>5891</v>
      </c>
      <c r="D9" s="3205" t="s">
        <v>5900</v>
      </c>
      <c r="E9" s="3205" t="s">
        <v>5901</v>
      </c>
      <c r="F9" s="3205">
        <v>78101.460000000006</v>
      </c>
      <c r="G9" s="3205">
        <v>249924.67</v>
      </c>
      <c r="H9" s="3205" t="s">
        <v>5838</v>
      </c>
      <c r="I9" s="3205" t="s">
        <v>5902</v>
      </c>
      <c r="J9" s="3205" t="s">
        <v>5853</v>
      </c>
      <c r="K9" s="3205" t="s">
        <v>5903</v>
      </c>
      <c r="L9" s="3205" t="s">
        <v>5842</v>
      </c>
      <c r="M9" s="3205" t="s">
        <v>5843</v>
      </c>
      <c r="N9" s="3205" t="s">
        <v>5843</v>
      </c>
      <c r="O9" s="3205" t="s">
        <v>5896</v>
      </c>
      <c r="P9" s="3205" t="s">
        <v>5844</v>
      </c>
      <c r="Q9" s="3205" t="s">
        <v>5856</v>
      </c>
      <c r="R9" s="3205" t="s">
        <v>5904</v>
      </c>
      <c r="S9" s="3205">
        <v>423000</v>
      </c>
      <c r="T9" s="3205">
        <v>54160.32</v>
      </c>
      <c r="U9" s="3205">
        <v>3610.69</v>
      </c>
      <c r="V9" s="3208">
        <v>16925</v>
      </c>
      <c r="W9" s="3205">
        <v>0</v>
      </c>
      <c r="X9" s="3205" t="s">
        <v>5843</v>
      </c>
      <c r="Y9" s="3205" t="s">
        <v>5843</v>
      </c>
      <c r="Z9" s="3205" t="s">
        <v>5843</v>
      </c>
      <c r="AA9" s="3205" t="s">
        <v>5889</v>
      </c>
      <c r="AB9" s="3205" t="s">
        <v>5843</v>
      </c>
    </row>
    <row r="10" spans="1:28" hidden="1">
      <c r="A10" s="3205" t="s">
        <v>5905</v>
      </c>
      <c r="B10" s="3205" t="s">
        <v>3386</v>
      </c>
      <c r="C10" s="3205" t="s">
        <v>5891</v>
      </c>
      <c r="D10" s="3205" t="s">
        <v>5906</v>
      </c>
      <c r="E10" s="3205" t="s">
        <v>5907</v>
      </c>
      <c r="F10" s="3205">
        <v>37655.61</v>
      </c>
      <c r="G10" s="3205">
        <v>56108.97</v>
      </c>
      <c r="H10" s="3205" t="s">
        <v>5838</v>
      </c>
      <c r="I10" s="3205" t="s">
        <v>5908</v>
      </c>
      <c r="J10" s="3205" t="s">
        <v>5909</v>
      </c>
      <c r="K10" s="3205" t="s">
        <v>5910</v>
      </c>
      <c r="L10" s="3205" t="s">
        <v>5842</v>
      </c>
      <c r="M10" s="3205" t="s">
        <v>5843</v>
      </c>
      <c r="N10" s="3205" t="s">
        <v>5843</v>
      </c>
      <c r="O10" s="3205" t="s">
        <v>5166</v>
      </c>
      <c r="P10" s="3205" t="s">
        <v>5844</v>
      </c>
      <c r="Q10" s="3205" t="s">
        <v>5856</v>
      </c>
      <c r="R10" s="3205" t="s">
        <v>5911</v>
      </c>
      <c r="S10" s="3205">
        <v>74000</v>
      </c>
      <c r="T10" s="3205">
        <v>19651.78</v>
      </c>
      <c r="U10" s="3205">
        <v>1310.1199999999999</v>
      </c>
      <c r="V10" s="3208">
        <v>13189</v>
      </c>
      <c r="W10" s="3205">
        <v>0</v>
      </c>
      <c r="X10" s="3205" t="s">
        <v>5843</v>
      </c>
      <c r="Y10" s="3205" t="s">
        <v>5843</v>
      </c>
      <c r="Z10" s="3205" t="s">
        <v>5843</v>
      </c>
      <c r="AA10" s="3205" t="s">
        <v>5898</v>
      </c>
      <c r="AB10" s="3205" t="s">
        <v>5843</v>
      </c>
    </row>
    <row r="11" spans="1:28" hidden="1">
      <c r="A11" s="3205" t="s">
        <v>5912</v>
      </c>
      <c r="B11" s="3205" t="s">
        <v>3386</v>
      </c>
      <c r="C11" s="3205" t="s">
        <v>5913</v>
      </c>
      <c r="D11" s="3205" t="s">
        <v>5914</v>
      </c>
      <c r="E11" s="3205" t="s">
        <v>5915</v>
      </c>
      <c r="F11" s="3205">
        <v>17446.77</v>
      </c>
      <c r="G11" s="3205">
        <v>34893.550000000003</v>
      </c>
      <c r="H11" s="3205" t="s">
        <v>5838</v>
      </c>
      <c r="I11" s="3205" t="s">
        <v>5852</v>
      </c>
      <c r="J11" s="3205" t="s">
        <v>5853</v>
      </c>
      <c r="K11" s="3205" t="s">
        <v>5916</v>
      </c>
      <c r="L11" s="3205" t="s">
        <v>5842</v>
      </c>
      <c r="M11" s="3205" t="s">
        <v>5843</v>
      </c>
      <c r="N11" s="3205" t="s">
        <v>5843</v>
      </c>
      <c r="O11" s="3205" t="s">
        <v>5012</v>
      </c>
      <c r="P11" s="3205" t="s">
        <v>5844</v>
      </c>
      <c r="Q11" s="3205" t="s">
        <v>5856</v>
      </c>
      <c r="R11" s="3205" t="s">
        <v>5917</v>
      </c>
      <c r="S11" s="3205">
        <v>13000</v>
      </c>
      <c r="T11" s="3205">
        <v>7451.23</v>
      </c>
      <c r="U11" s="3205">
        <v>496.75</v>
      </c>
      <c r="V11" s="3208">
        <v>3726</v>
      </c>
      <c r="W11" s="3205">
        <v>0</v>
      </c>
      <c r="X11" s="3205" t="s">
        <v>5843</v>
      </c>
      <c r="Y11" s="3205" t="s">
        <v>5843</v>
      </c>
      <c r="Z11" s="3205" t="s">
        <v>5843</v>
      </c>
      <c r="AA11" s="3205" t="s">
        <v>5847</v>
      </c>
      <c r="AB11" s="3205" t="s">
        <v>5843</v>
      </c>
    </row>
    <row r="12" spans="1:28" hidden="1">
      <c r="A12" s="3205" t="s">
        <v>5918</v>
      </c>
      <c r="B12" s="3205" t="s">
        <v>3386</v>
      </c>
      <c r="C12" s="3205" t="s">
        <v>5919</v>
      </c>
      <c r="D12" s="3205" t="s">
        <v>5920</v>
      </c>
      <c r="E12" s="3205" t="s">
        <v>5921</v>
      </c>
      <c r="F12" s="3205">
        <v>9999.98</v>
      </c>
      <c r="G12" s="3205">
        <v>17599.96</v>
      </c>
      <c r="H12" s="3205" t="s">
        <v>5838</v>
      </c>
      <c r="I12" s="3205" t="s">
        <v>5922</v>
      </c>
      <c r="J12" s="3205" t="s">
        <v>5853</v>
      </c>
      <c r="K12" s="3205" t="s">
        <v>5923</v>
      </c>
      <c r="L12" s="3205" t="s">
        <v>5842</v>
      </c>
      <c r="M12" s="3205" t="s">
        <v>5843</v>
      </c>
      <c r="N12" s="3205" t="s">
        <v>5843</v>
      </c>
      <c r="O12" s="3205" t="s">
        <v>4600</v>
      </c>
      <c r="P12" s="3205" t="s">
        <v>5844</v>
      </c>
      <c r="Q12" s="3205" t="s">
        <v>5856</v>
      </c>
      <c r="R12" s="3205" t="s">
        <v>5924</v>
      </c>
      <c r="S12" s="3205">
        <v>37700</v>
      </c>
      <c r="T12" s="3205">
        <v>37700.07</v>
      </c>
      <c r="U12" s="3205">
        <v>2513.34</v>
      </c>
      <c r="V12" s="3208">
        <v>21421</v>
      </c>
      <c r="W12" s="3205">
        <v>0</v>
      </c>
      <c r="X12" s="3205" t="s">
        <v>5843</v>
      </c>
      <c r="Y12" s="3205" t="s">
        <v>5843</v>
      </c>
      <c r="Z12" s="3205" t="s">
        <v>5843</v>
      </c>
      <c r="AA12" s="3205" t="s">
        <v>5925</v>
      </c>
      <c r="AB12" s="3205" t="s">
        <v>5843</v>
      </c>
    </row>
    <row r="13" spans="1:28" hidden="1">
      <c r="A13" s="3205" t="s">
        <v>5926</v>
      </c>
      <c r="B13" s="3205" t="s">
        <v>3386</v>
      </c>
      <c r="C13" s="3205" t="s">
        <v>5891</v>
      </c>
      <c r="D13" s="3205" t="s">
        <v>5927</v>
      </c>
      <c r="E13" s="3205" t="s">
        <v>5928</v>
      </c>
      <c r="F13" s="3205">
        <v>70601.06</v>
      </c>
      <c r="G13" s="3205">
        <v>285523</v>
      </c>
      <c r="H13" s="3205" t="s">
        <v>5838</v>
      </c>
      <c r="I13" s="3205" t="s">
        <v>5929</v>
      </c>
      <c r="J13" s="3205" t="s">
        <v>5930</v>
      </c>
      <c r="K13" s="3205" t="s">
        <v>5931</v>
      </c>
      <c r="L13" s="3205" t="s">
        <v>5842</v>
      </c>
      <c r="M13" s="3205" t="s">
        <v>5843</v>
      </c>
      <c r="N13" s="3205" t="s">
        <v>5843</v>
      </c>
      <c r="O13" s="3205" t="s">
        <v>5158</v>
      </c>
      <c r="P13" s="3205" t="s">
        <v>5844</v>
      </c>
      <c r="Q13" s="3205" t="s">
        <v>5856</v>
      </c>
      <c r="R13" s="3205" t="s">
        <v>5932</v>
      </c>
      <c r="S13" s="3205">
        <v>642000</v>
      </c>
      <c r="T13" s="3205">
        <v>90933.48</v>
      </c>
      <c r="U13" s="3205">
        <v>6062.23</v>
      </c>
      <c r="V13" s="3208">
        <v>22485</v>
      </c>
      <c r="W13" s="3205">
        <v>0</v>
      </c>
      <c r="X13" s="3205" t="s">
        <v>5843</v>
      </c>
      <c r="Y13" s="3205" t="s">
        <v>5843</v>
      </c>
      <c r="Z13" s="3205" t="s">
        <v>5843</v>
      </c>
      <c r="AA13" s="3205" t="s">
        <v>5933</v>
      </c>
      <c r="AB13" s="3205" t="s">
        <v>5843</v>
      </c>
    </row>
    <row r="14" spans="1:28" hidden="1">
      <c r="A14" s="3205" t="s">
        <v>5934</v>
      </c>
      <c r="B14" s="3205" t="s">
        <v>3386</v>
      </c>
      <c r="C14" s="3205" t="s">
        <v>5935</v>
      </c>
      <c r="D14" s="3205" t="s">
        <v>5936</v>
      </c>
      <c r="E14" s="3205" t="s">
        <v>5937</v>
      </c>
      <c r="F14" s="3205">
        <v>32636.74</v>
      </c>
      <c r="G14" s="3205">
        <v>78328</v>
      </c>
      <c r="H14" s="3205" t="s">
        <v>5838</v>
      </c>
      <c r="I14" s="3205" t="s">
        <v>5938</v>
      </c>
      <c r="J14" s="3205">
        <v>20</v>
      </c>
      <c r="K14" s="3205" t="s">
        <v>5939</v>
      </c>
      <c r="L14" s="3205" t="s">
        <v>5842</v>
      </c>
      <c r="M14" s="3205" t="s">
        <v>5843</v>
      </c>
      <c r="N14" s="3205" t="s">
        <v>5843</v>
      </c>
      <c r="O14" s="3205" t="s">
        <v>5940</v>
      </c>
      <c r="P14" s="3205" t="s">
        <v>5844</v>
      </c>
      <c r="Q14" s="3205" t="s">
        <v>5856</v>
      </c>
      <c r="R14" s="3205" t="s">
        <v>5941</v>
      </c>
      <c r="S14" s="3205">
        <v>65000</v>
      </c>
      <c r="T14" s="3205">
        <v>19916.2</v>
      </c>
      <c r="U14" s="3205">
        <v>1327.75</v>
      </c>
      <c r="V14" s="3208">
        <v>8298</v>
      </c>
      <c r="W14" s="3205">
        <v>0</v>
      </c>
      <c r="X14" s="3205" t="s">
        <v>5843</v>
      </c>
      <c r="Y14" s="3205" t="s">
        <v>5843</v>
      </c>
      <c r="Z14" s="3205" t="s">
        <v>5843</v>
      </c>
      <c r="AA14" s="3205" t="s">
        <v>5858</v>
      </c>
      <c r="AB14" s="3205" t="s">
        <v>5843</v>
      </c>
    </row>
    <row r="15" spans="1:28" hidden="1">
      <c r="A15" s="3205" t="s">
        <v>5942</v>
      </c>
      <c r="B15" s="3205" t="s">
        <v>3386</v>
      </c>
      <c r="C15" s="3205" t="s">
        <v>5943</v>
      </c>
      <c r="D15" s="3205" t="s">
        <v>5944</v>
      </c>
      <c r="E15" s="3205" t="s">
        <v>5945</v>
      </c>
      <c r="F15" s="3205">
        <v>7467</v>
      </c>
      <c r="G15" s="3205">
        <v>52000</v>
      </c>
      <c r="H15" s="3205" t="s">
        <v>5838</v>
      </c>
      <c r="I15" s="3205" t="s">
        <v>5922</v>
      </c>
      <c r="J15" s="3205" t="s">
        <v>5946</v>
      </c>
      <c r="K15" s="3205" t="s">
        <v>5947</v>
      </c>
      <c r="L15" s="3205" t="s">
        <v>5842</v>
      </c>
      <c r="M15" s="3205" t="s">
        <v>5843</v>
      </c>
      <c r="N15" s="3205" t="s">
        <v>5843</v>
      </c>
      <c r="O15" s="3205" t="s">
        <v>5008</v>
      </c>
      <c r="P15" s="3205" t="s">
        <v>5844</v>
      </c>
      <c r="Q15" s="3205" t="s">
        <v>5856</v>
      </c>
      <c r="R15" s="3205" t="s">
        <v>5948</v>
      </c>
      <c r="S15" s="3205">
        <v>118000</v>
      </c>
      <c r="T15" s="3205">
        <v>158028.66</v>
      </c>
      <c r="U15" s="3205">
        <v>10535.24</v>
      </c>
      <c r="V15" s="3208">
        <v>22692</v>
      </c>
      <c r="W15" s="3205">
        <v>0</v>
      </c>
      <c r="X15" s="3205" t="s">
        <v>5843</v>
      </c>
      <c r="Y15" s="3205" t="s">
        <v>5843</v>
      </c>
      <c r="Z15" s="3205" t="s">
        <v>5843</v>
      </c>
      <c r="AA15" s="3205" t="s">
        <v>5925</v>
      </c>
      <c r="AB15" s="3205" t="s">
        <v>5843</v>
      </c>
    </row>
    <row r="16" spans="1:28" hidden="1">
      <c r="A16" s="3205" t="s">
        <v>5949</v>
      </c>
      <c r="B16" s="3205" t="s">
        <v>3386</v>
      </c>
      <c r="C16" s="3205" t="s">
        <v>5913</v>
      </c>
      <c r="D16" s="3205" t="s">
        <v>5914</v>
      </c>
      <c r="E16" s="3205" t="s">
        <v>5950</v>
      </c>
      <c r="F16" s="3205">
        <v>29963.72</v>
      </c>
      <c r="G16" s="3205">
        <v>68916.56</v>
      </c>
      <c r="H16" s="3205" t="s">
        <v>5838</v>
      </c>
      <c r="I16" s="3205" t="s">
        <v>5852</v>
      </c>
      <c r="J16" s="3205" t="s">
        <v>5951</v>
      </c>
      <c r="K16" s="3205" t="s">
        <v>5952</v>
      </c>
      <c r="L16" s="3205" t="s">
        <v>5842</v>
      </c>
      <c r="M16" s="3205" t="s">
        <v>5843</v>
      </c>
      <c r="N16" s="3205" t="s">
        <v>5843</v>
      </c>
      <c r="O16" s="3205" t="s">
        <v>5145</v>
      </c>
      <c r="P16" s="3205" t="s">
        <v>5844</v>
      </c>
      <c r="Q16" s="3205" t="s">
        <v>5856</v>
      </c>
      <c r="R16" s="3205" t="s">
        <v>5953</v>
      </c>
      <c r="S16" s="3205">
        <v>25700</v>
      </c>
      <c r="T16" s="3205">
        <v>8577.0300000000007</v>
      </c>
      <c r="U16" s="3205">
        <v>571.79999999999995</v>
      </c>
      <c r="V16" s="3208">
        <v>3729</v>
      </c>
      <c r="W16" s="3205">
        <v>0</v>
      </c>
      <c r="X16" s="3205" t="s">
        <v>5843</v>
      </c>
      <c r="Y16" s="3205" t="s">
        <v>5843</v>
      </c>
      <c r="Z16" s="3205" t="s">
        <v>5843</v>
      </c>
      <c r="AA16" s="3205" t="s">
        <v>5847</v>
      </c>
      <c r="AB16" s="3205" t="s">
        <v>5843</v>
      </c>
    </row>
    <row r="17" spans="1:28" hidden="1">
      <c r="A17" s="3205" t="s">
        <v>5954</v>
      </c>
      <c r="B17" s="3205" t="s">
        <v>3386</v>
      </c>
      <c r="C17" s="3205" t="s">
        <v>5849</v>
      </c>
      <c r="D17" s="3205" t="s">
        <v>5884</v>
      </c>
      <c r="E17" s="3205" t="s">
        <v>5955</v>
      </c>
      <c r="F17" s="3205">
        <v>9632.01</v>
      </c>
      <c r="G17" s="3205">
        <v>15025.93</v>
      </c>
      <c r="H17" s="3205" t="s">
        <v>5838</v>
      </c>
      <c r="I17" s="3205" t="s">
        <v>5852</v>
      </c>
      <c r="J17" s="3205" t="s">
        <v>5956</v>
      </c>
      <c r="K17" s="3205" t="s">
        <v>5957</v>
      </c>
      <c r="L17" s="3205" t="s">
        <v>5842</v>
      </c>
      <c r="M17" s="3205" t="s">
        <v>5843</v>
      </c>
      <c r="N17" s="3205" t="s">
        <v>5843</v>
      </c>
      <c r="O17" s="3205" t="s">
        <v>4794</v>
      </c>
      <c r="P17" s="3205" t="s">
        <v>5844</v>
      </c>
      <c r="Q17" s="3205" t="s">
        <v>5856</v>
      </c>
      <c r="R17" s="3205" t="s">
        <v>5958</v>
      </c>
      <c r="S17" s="3205">
        <v>13700</v>
      </c>
      <c r="T17" s="3205">
        <v>14223.4</v>
      </c>
      <c r="U17" s="3205">
        <v>948.23</v>
      </c>
      <c r="V17" s="3208">
        <v>9118</v>
      </c>
      <c r="W17" s="3205">
        <v>0</v>
      </c>
      <c r="X17" s="3205" t="s">
        <v>5843</v>
      </c>
      <c r="Y17" s="3205" t="s">
        <v>5843</v>
      </c>
      <c r="Z17" s="3205" t="s">
        <v>5843</v>
      </c>
      <c r="AA17" s="3205" t="s">
        <v>5889</v>
      </c>
      <c r="AB17" s="3205" t="s">
        <v>5843</v>
      </c>
    </row>
    <row r="18" spans="1:28" hidden="1">
      <c r="A18" s="3205" t="s">
        <v>5959</v>
      </c>
      <c r="B18" s="3205" t="s">
        <v>3386</v>
      </c>
      <c r="C18" s="3205" t="s">
        <v>5891</v>
      </c>
      <c r="D18" s="3205" t="s">
        <v>5906</v>
      </c>
      <c r="E18" s="3205" t="s">
        <v>5960</v>
      </c>
      <c r="F18" s="3205">
        <v>49900.54</v>
      </c>
      <c r="G18" s="3205">
        <v>109781.19</v>
      </c>
      <c r="H18" s="3205" t="s">
        <v>5838</v>
      </c>
      <c r="I18" s="3205" t="s">
        <v>5852</v>
      </c>
      <c r="J18" s="3205" t="s">
        <v>5951</v>
      </c>
      <c r="K18" s="3205" t="s">
        <v>5854</v>
      </c>
      <c r="L18" s="3205" t="s">
        <v>5842</v>
      </c>
      <c r="M18" s="3205" t="s">
        <v>5843</v>
      </c>
      <c r="N18" s="3205" t="s">
        <v>5843</v>
      </c>
      <c r="O18" s="3205" t="s">
        <v>5961</v>
      </c>
      <c r="P18" s="3205" t="s">
        <v>5844</v>
      </c>
      <c r="Q18" s="3205" t="s">
        <v>5856</v>
      </c>
      <c r="R18" s="3205" t="s">
        <v>5962</v>
      </c>
      <c r="S18" s="3205">
        <v>227000</v>
      </c>
      <c r="T18" s="3205">
        <v>45490.49</v>
      </c>
      <c r="U18" s="3205">
        <v>3032.7</v>
      </c>
      <c r="V18" s="3208">
        <v>20677</v>
      </c>
      <c r="W18" s="3205">
        <v>0</v>
      </c>
      <c r="X18" s="3205" t="s">
        <v>5843</v>
      </c>
      <c r="Y18" s="3205" t="s">
        <v>5843</v>
      </c>
      <c r="Z18" s="3205" t="s">
        <v>5843</v>
      </c>
      <c r="AA18" s="3205" t="s">
        <v>5858</v>
      </c>
      <c r="AB18" s="3205" t="s">
        <v>5843</v>
      </c>
    </row>
    <row r="19" spans="1:28" hidden="1">
      <c r="A19" s="3205" t="s">
        <v>5963</v>
      </c>
      <c r="B19" s="3205" t="s">
        <v>3386</v>
      </c>
      <c r="C19" s="3205" t="s">
        <v>5849</v>
      </c>
      <c r="D19" s="3205" t="s">
        <v>5964</v>
      </c>
      <c r="E19" s="3205" t="s">
        <v>5965</v>
      </c>
      <c r="F19" s="3205">
        <v>15459.22</v>
      </c>
      <c r="G19" s="3205">
        <v>52599.12</v>
      </c>
      <c r="H19" s="3205" t="s">
        <v>5838</v>
      </c>
      <c r="I19" s="3205" t="s">
        <v>5870</v>
      </c>
      <c r="J19" s="3205" t="s">
        <v>5966</v>
      </c>
      <c r="K19" s="3205" t="s">
        <v>5967</v>
      </c>
      <c r="L19" s="3205" t="s">
        <v>5842</v>
      </c>
      <c r="M19" s="3205" t="s">
        <v>5843</v>
      </c>
      <c r="N19" s="3205" t="s">
        <v>5843</v>
      </c>
      <c r="O19" s="3205" t="s">
        <v>5968</v>
      </c>
      <c r="P19" s="3205" t="s">
        <v>5844</v>
      </c>
      <c r="Q19" s="3205" t="s">
        <v>5856</v>
      </c>
      <c r="R19" s="3205" t="s">
        <v>5958</v>
      </c>
      <c r="S19" s="3205">
        <v>53100</v>
      </c>
      <c r="T19" s="3205">
        <v>34348.43</v>
      </c>
      <c r="U19" s="3205">
        <v>2289.9</v>
      </c>
      <c r="V19" s="3208">
        <v>10095</v>
      </c>
      <c r="W19" s="3205">
        <v>0</v>
      </c>
      <c r="X19" s="3205" t="s">
        <v>5843</v>
      </c>
      <c r="Y19" s="3205" t="s">
        <v>5843</v>
      </c>
      <c r="Z19" s="3205" t="s">
        <v>5843</v>
      </c>
      <c r="AA19" s="3205" t="s">
        <v>5889</v>
      </c>
      <c r="AB19" s="3205" t="s">
        <v>5843</v>
      </c>
    </row>
    <row r="20" spans="1:28" hidden="1">
      <c r="A20" s="3205" t="s">
        <v>5969</v>
      </c>
      <c r="B20" s="3205" t="s">
        <v>3386</v>
      </c>
      <c r="C20" s="3205" t="s">
        <v>5919</v>
      </c>
      <c r="D20" s="3205" t="s">
        <v>5970</v>
      </c>
      <c r="E20" s="3205" t="s">
        <v>5971</v>
      </c>
      <c r="F20" s="3205">
        <v>10610.35</v>
      </c>
      <c r="G20" s="3205">
        <v>47747</v>
      </c>
      <c r="H20" s="3205" t="s">
        <v>5838</v>
      </c>
      <c r="I20" s="3205" t="s">
        <v>5922</v>
      </c>
      <c r="J20" s="3205" t="s">
        <v>5951</v>
      </c>
      <c r="K20" s="3205" t="s">
        <v>5972</v>
      </c>
      <c r="L20" s="3205" t="s">
        <v>5842</v>
      </c>
      <c r="M20" s="3205" t="s">
        <v>5843</v>
      </c>
      <c r="N20" s="3205" t="s">
        <v>5843</v>
      </c>
      <c r="O20" s="3205" t="s">
        <v>5968</v>
      </c>
      <c r="P20" s="3205" t="s">
        <v>5844</v>
      </c>
      <c r="Q20" s="3205" t="s">
        <v>5856</v>
      </c>
      <c r="R20" s="3205" t="s">
        <v>5973</v>
      </c>
      <c r="S20" s="3205">
        <v>134000</v>
      </c>
      <c r="T20" s="3205">
        <v>126291.78</v>
      </c>
      <c r="U20" s="3205">
        <v>8419.4500000000007</v>
      </c>
      <c r="V20" s="3208">
        <v>28065</v>
      </c>
      <c r="W20" s="3205">
        <v>0</v>
      </c>
      <c r="X20" s="3205" t="s">
        <v>5843</v>
      </c>
      <c r="Y20" s="3205" t="s">
        <v>5843</v>
      </c>
      <c r="Z20" s="3205" t="s">
        <v>5843</v>
      </c>
      <c r="AA20" s="3205" t="s">
        <v>5974</v>
      </c>
      <c r="AB20" s="3205" t="s">
        <v>5843</v>
      </c>
    </row>
    <row r="21" spans="1:28" hidden="1">
      <c r="A21" s="3205" t="s">
        <v>5975</v>
      </c>
      <c r="B21" s="3205" t="s">
        <v>3386</v>
      </c>
      <c r="C21" s="3205" t="s">
        <v>5943</v>
      </c>
      <c r="D21" s="3205" t="s">
        <v>5944</v>
      </c>
      <c r="E21" s="3205" t="s">
        <v>5976</v>
      </c>
      <c r="F21" s="3205">
        <v>67829.210000000006</v>
      </c>
      <c r="G21" s="3205">
        <v>298100</v>
      </c>
      <c r="H21" s="3205" t="s">
        <v>5838</v>
      </c>
      <c r="I21" s="3205" t="s">
        <v>5977</v>
      </c>
      <c r="J21" s="3205" t="s">
        <v>5951</v>
      </c>
      <c r="K21" s="3205" t="s">
        <v>5978</v>
      </c>
      <c r="L21" s="3205" t="s">
        <v>5842</v>
      </c>
      <c r="M21" s="3205" t="s">
        <v>5843</v>
      </c>
      <c r="N21" s="3205" t="s">
        <v>5843</v>
      </c>
      <c r="O21" s="3205" t="s">
        <v>5979</v>
      </c>
      <c r="P21" s="3205" t="s">
        <v>5844</v>
      </c>
      <c r="Q21" s="3205" t="s">
        <v>5856</v>
      </c>
      <c r="R21" s="3205" t="s">
        <v>5980</v>
      </c>
      <c r="S21" s="3205">
        <v>680000</v>
      </c>
      <c r="T21" s="3205">
        <v>100251.8</v>
      </c>
      <c r="U21" s="3205">
        <v>6683.45</v>
      </c>
      <c r="V21" s="3208">
        <v>22811</v>
      </c>
      <c r="W21" s="3205">
        <v>0</v>
      </c>
      <c r="X21" s="3205" t="s">
        <v>5843</v>
      </c>
      <c r="Y21" s="3205" t="s">
        <v>5843</v>
      </c>
      <c r="Z21" s="3205" t="s">
        <v>5843</v>
      </c>
      <c r="AA21" s="3205" t="s">
        <v>5925</v>
      </c>
      <c r="AB21" s="3205" t="s">
        <v>5843</v>
      </c>
    </row>
    <row r="22" spans="1:28" hidden="1">
      <c r="A22" s="3205" t="s">
        <v>5981</v>
      </c>
      <c r="B22" s="3205" t="s">
        <v>3386</v>
      </c>
      <c r="C22" s="3205" t="s">
        <v>5982</v>
      </c>
      <c r="D22" s="3205" t="s">
        <v>5983</v>
      </c>
      <c r="E22" s="3205" t="s">
        <v>5984</v>
      </c>
      <c r="F22" s="3205">
        <v>101190.07</v>
      </c>
      <c r="G22" s="3205">
        <v>198291</v>
      </c>
      <c r="H22" s="3205" t="s">
        <v>5838</v>
      </c>
      <c r="I22" s="3205" t="s">
        <v>5852</v>
      </c>
      <c r="J22" s="3205" t="s">
        <v>5951</v>
      </c>
      <c r="K22" s="3205" t="s">
        <v>5985</v>
      </c>
      <c r="L22" s="3205" t="s">
        <v>5842</v>
      </c>
      <c r="M22" s="3205" t="s">
        <v>5843</v>
      </c>
      <c r="N22" s="3205" t="s">
        <v>5843</v>
      </c>
      <c r="O22" s="3205" t="s">
        <v>5986</v>
      </c>
      <c r="P22" s="3205" t="s">
        <v>5844</v>
      </c>
      <c r="Q22" s="3205" t="s">
        <v>5856</v>
      </c>
      <c r="R22" s="3205" t="s">
        <v>5987</v>
      </c>
      <c r="S22" s="3205">
        <v>100000</v>
      </c>
      <c r="T22" s="3205">
        <v>9882.39</v>
      </c>
      <c r="U22" s="3205">
        <v>658.83</v>
      </c>
      <c r="V22" s="3208">
        <v>5043</v>
      </c>
      <c r="W22" s="3205">
        <v>0</v>
      </c>
      <c r="X22" s="3205" t="s">
        <v>5843</v>
      </c>
      <c r="Y22" s="3205" t="s">
        <v>5843</v>
      </c>
      <c r="Z22" s="3205" t="s">
        <v>5843</v>
      </c>
      <c r="AA22" s="3205" t="s">
        <v>5847</v>
      </c>
      <c r="AB22" s="3205" t="s">
        <v>5843</v>
      </c>
    </row>
    <row r="23" spans="1:28" s="3210" customFormat="1">
      <c r="A23" s="3210" t="s">
        <v>5988</v>
      </c>
      <c r="B23" s="3210" t="s">
        <v>3386</v>
      </c>
      <c r="C23" s="3210" t="s">
        <v>5849</v>
      </c>
      <c r="D23" s="3210" t="s">
        <v>5989</v>
      </c>
      <c r="E23" s="3210" t="s">
        <v>5990</v>
      </c>
      <c r="F23" s="3210">
        <v>5500.65</v>
      </c>
      <c r="G23" s="3210">
        <v>15401.81</v>
      </c>
      <c r="H23" s="3210" t="s">
        <v>5838</v>
      </c>
      <c r="I23" s="3210" t="s">
        <v>5922</v>
      </c>
      <c r="J23" s="3210" t="s">
        <v>5991</v>
      </c>
      <c r="K23" s="3210" t="s">
        <v>5992</v>
      </c>
      <c r="L23" s="3210" t="s">
        <v>5842</v>
      </c>
      <c r="M23" s="3210" t="s">
        <v>5843</v>
      </c>
      <c r="N23" s="3210" t="s">
        <v>5843</v>
      </c>
      <c r="O23" s="3210" t="s">
        <v>5993</v>
      </c>
      <c r="P23" s="3210" t="s">
        <v>5844</v>
      </c>
      <c r="Q23" s="3210" t="s">
        <v>5856</v>
      </c>
      <c r="R23" s="3210" t="s">
        <v>5994</v>
      </c>
      <c r="S23" s="3210">
        <v>17000</v>
      </c>
      <c r="T23" s="3210">
        <v>30905.43</v>
      </c>
      <c r="U23" s="3210">
        <v>2060.36</v>
      </c>
      <c r="V23" s="3211">
        <v>11038</v>
      </c>
      <c r="W23" s="3210">
        <v>0</v>
      </c>
      <c r="X23" s="3210" t="s">
        <v>5843</v>
      </c>
      <c r="Y23" s="3210" t="s">
        <v>5843</v>
      </c>
      <c r="Z23" s="3210" t="s">
        <v>5843</v>
      </c>
      <c r="AA23" s="3210" t="s">
        <v>5858</v>
      </c>
      <c r="AB23" s="3210" t="s">
        <v>5843</v>
      </c>
    </row>
    <row r="24" spans="1:28" hidden="1">
      <c r="A24" s="3205" t="s">
        <v>5995</v>
      </c>
      <c r="B24" s="3205" t="s">
        <v>3386</v>
      </c>
      <c r="C24" s="3205" t="s">
        <v>5860</v>
      </c>
      <c r="D24" s="3205" t="s">
        <v>5996</v>
      </c>
      <c r="E24" s="3205" t="s">
        <v>5997</v>
      </c>
      <c r="F24" s="3205">
        <v>82500</v>
      </c>
      <c r="G24" s="3205">
        <v>165000</v>
      </c>
      <c r="H24" s="3205" t="s">
        <v>5838</v>
      </c>
      <c r="I24" s="3205" t="s">
        <v>5998</v>
      </c>
      <c r="J24" s="3205">
        <v>40</v>
      </c>
      <c r="K24" s="3205" t="s">
        <v>5999</v>
      </c>
      <c r="L24" s="3205" t="s">
        <v>5842</v>
      </c>
      <c r="M24" s="3205" t="s">
        <v>5843</v>
      </c>
      <c r="N24" s="3205" t="s">
        <v>5843</v>
      </c>
      <c r="O24" s="3205" t="s">
        <v>6000</v>
      </c>
      <c r="P24" s="3205" t="s">
        <v>5844</v>
      </c>
      <c r="Q24" s="3205" t="s">
        <v>5856</v>
      </c>
      <c r="R24" s="3205" t="s">
        <v>6001</v>
      </c>
      <c r="S24" s="3205">
        <v>260700</v>
      </c>
      <c r="T24" s="3205">
        <v>31600</v>
      </c>
      <c r="U24" s="3205">
        <v>2106.67</v>
      </c>
      <c r="V24" s="3208">
        <v>15800</v>
      </c>
      <c r="W24" s="3205">
        <v>0</v>
      </c>
      <c r="X24" s="3205" t="s">
        <v>5843</v>
      </c>
      <c r="Y24" s="3205" t="s">
        <v>5843</v>
      </c>
      <c r="Z24" s="3205" t="s">
        <v>5843</v>
      </c>
      <c r="AA24" s="3205" t="s">
        <v>5858</v>
      </c>
      <c r="AB24" s="3205" t="s">
        <v>5843</v>
      </c>
    </row>
    <row r="25" spans="1:28" hidden="1">
      <c r="A25" s="3205" t="s">
        <v>6002</v>
      </c>
      <c r="B25" s="3205" t="s">
        <v>3386</v>
      </c>
      <c r="C25" s="3205" t="s">
        <v>5919</v>
      </c>
      <c r="D25" s="3205" t="s">
        <v>6003</v>
      </c>
      <c r="E25" s="3205" t="s">
        <v>6004</v>
      </c>
      <c r="F25" s="3205">
        <v>62796.800000000003</v>
      </c>
      <c r="G25" s="3205">
        <v>275500</v>
      </c>
      <c r="H25" s="3205" t="s">
        <v>5838</v>
      </c>
      <c r="I25" s="3205" t="s">
        <v>5922</v>
      </c>
      <c r="J25" s="3205" t="s">
        <v>5951</v>
      </c>
      <c r="K25" s="3205" t="s">
        <v>6005</v>
      </c>
      <c r="L25" s="3205" t="s">
        <v>5842</v>
      </c>
      <c r="M25" s="3205" t="s">
        <v>5843</v>
      </c>
      <c r="N25" s="3205" t="s">
        <v>5843</v>
      </c>
      <c r="O25" s="3205" t="s">
        <v>6006</v>
      </c>
      <c r="P25" s="3205" t="s">
        <v>5844</v>
      </c>
      <c r="Q25" s="3205" t="s">
        <v>5856</v>
      </c>
      <c r="R25" s="3205" t="s">
        <v>6007</v>
      </c>
      <c r="S25" s="3205">
        <v>635800</v>
      </c>
      <c r="T25" s="3205">
        <v>101247.19</v>
      </c>
      <c r="U25" s="3205">
        <v>6749.81</v>
      </c>
      <c r="V25" s="3208">
        <v>23078</v>
      </c>
      <c r="W25" s="3205">
        <v>0</v>
      </c>
      <c r="X25" s="3205" t="s">
        <v>5843</v>
      </c>
      <c r="Y25" s="3205" t="s">
        <v>5843</v>
      </c>
      <c r="Z25" s="3205" t="s">
        <v>5843</v>
      </c>
      <c r="AA25" s="3205" t="s">
        <v>5933</v>
      </c>
      <c r="AB25" s="3205" t="s">
        <v>5843</v>
      </c>
    </row>
    <row r="26" spans="1:28" hidden="1">
      <c r="A26" s="3205" t="s">
        <v>6008</v>
      </c>
      <c r="B26" s="3205" t="s">
        <v>3386</v>
      </c>
      <c r="C26" s="3205" t="s">
        <v>5860</v>
      </c>
      <c r="D26" s="3205" t="s">
        <v>6009</v>
      </c>
      <c r="E26" s="3205" t="s">
        <v>6010</v>
      </c>
      <c r="F26" s="3205">
        <v>4800</v>
      </c>
      <c r="G26" s="3205">
        <v>1920</v>
      </c>
      <c r="H26" s="3205" t="s">
        <v>5838</v>
      </c>
      <c r="I26" s="3205" t="s">
        <v>6011</v>
      </c>
      <c r="J26" s="3205" t="s">
        <v>5840</v>
      </c>
      <c r="K26" s="3205" t="s">
        <v>6012</v>
      </c>
      <c r="L26" s="3205" t="s">
        <v>5842</v>
      </c>
      <c r="M26" s="3205" t="s">
        <v>5843</v>
      </c>
      <c r="N26" s="3205" t="s">
        <v>5843</v>
      </c>
      <c r="O26" s="3205" t="s">
        <v>5134</v>
      </c>
      <c r="P26" s="3205" t="s">
        <v>5844</v>
      </c>
      <c r="Q26" s="3205" t="s">
        <v>5856</v>
      </c>
      <c r="R26" s="3205" t="s">
        <v>6013</v>
      </c>
      <c r="S26" s="3205">
        <v>5800</v>
      </c>
      <c r="T26" s="3205">
        <v>12083.33</v>
      </c>
      <c r="U26" s="3205">
        <v>805.56</v>
      </c>
      <c r="V26" s="3208">
        <v>30208</v>
      </c>
      <c r="W26" s="3205">
        <v>0</v>
      </c>
      <c r="X26" s="3205" t="s">
        <v>5843</v>
      </c>
      <c r="Y26" s="3205" t="s">
        <v>5843</v>
      </c>
      <c r="Z26" s="3205" t="s">
        <v>5843</v>
      </c>
      <c r="AA26" s="3205" t="s">
        <v>5866</v>
      </c>
      <c r="AB26" s="3205" t="s">
        <v>5843</v>
      </c>
    </row>
    <row r="27" spans="1:28" hidden="1">
      <c r="A27" s="3205" t="s">
        <v>6014</v>
      </c>
      <c r="B27" s="3205" t="s">
        <v>3386</v>
      </c>
      <c r="C27" s="3205" t="s">
        <v>5835</v>
      </c>
      <c r="D27" s="3205" t="s">
        <v>6015</v>
      </c>
      <c r="E27" s="3205" t="s">
        <v>6016</v>
      </c>
      <c r="F27" s="3205">
        <v>46654.62</v>
      </c>
      <c r="G27" s="3205">
        <v>88643.78</v>
      </c>
      <c r="H27" s="3205" t="s">
        <v>5838</v>
      </c>
      <c r="I27" s="3205" t="s">
        <v>6017</v>
      </c>
      <c r="J27" s="3205" t="s">
        <v>5951</v>
      </c>
      <c r="K27" s="3205" t="s">
        <v>6018</v>
      </c>
      <c r="L27" s="3205" t="s">
        <v>5842</v>
      </c>
      <c r="M27" s="3205" t="s">
        <v>5843</v>
      </c>
      <c r="N27" s="3205" t="s">
        <v>5843</v>
      </c>
      <c r="O27" s="3205" t="s">
        <v>6019</v>
      </c>
      <c r="P27" s="3205" t="s">
        <v>5844</v>
      </c>
      <c r="Q27" s="3205" t="s">
        <v>5856</v>
      </c>
      <c r="R27" s="3205" t="s">
        <v>6020</v>
      </c>
      <c r="S27" s="3205">
        <v>28000</v>
      </c>
      <c r="T27" s="3205">
        <v>6001.54</v>
      </c>
      <c r="U27" s="3205">
        <v>400.1</v>
      </c>
      <c r="V27" s="3208">
        <v>3159</v>
      </c>
      <c r="W27" s="3205">
        <v>0</v>
      </c>
      <c r="X27" s="3205" t="s">
        <v>5843</v>
      </c>
      <c r="Y27" s="3205" t="s">
        <v>5843</v>
      </c>
      <c r="Z27" s="3205" t="s">
        <v>5843</v>
      </c>
      <c r="AA27" s="3205" t="s">
        <v>5866</v>
      </c>
      <c r="AB27" s="3205" t="s">
        <v>5843</v>
      </c>
    </row>
    <row r="28" spans="1:28" hidden="1">
      <c r="A28" s="3205" t="s">
        <v>6021</v>
      </c>
      <c r="B28" s="3205" t="s">
        <v>3386</v>
      </c>
      <c r="C28" s="3205" t="s">
        <v>5935</v>
      </c>
      <c r="D28" s="3205" t="s">
        <v>6022</v>
      </c>
      <c r="E28" s="3205" t="s">
        <v>6023</v>
      </c>
      <c r="F28" s="3205">
        <v>64012.4</v>
      </c>
      <c r="G28" s="3205">
        <v>192037.19</v>
      </c>
      <c r="H28" s="3205" t="s">
        <v>5838</v>
      </c>
      <c r="I28" s="3205" t="s">
        <v>5938</v>
      </c>
      <c r="J28" s="3205" t="s">
        <v>6024</v>
      </c>
      <c r="K28" s="3205" t="s">
        <v>6025</v>
      </c>
      <c r="L28" s="3205" t="s">
        <v>5842</v>
      </c>
      <c r="M28" s="3205" t="s">
        <v>5843</v>
      </c>
      <c r="N28" s="3205" t="s">
        <v>5843</v>
      </c>
      <c r="O28" s="3205" t="s">
        <v>6026</v>
      </c>
      <c r="P28" s="3205" t="s">
        <v>5844</v>
      </c>
      <c r="Q28" s="3205" t="s">
        <v>5856</v>
      </c>
      <c r="R28" s="3205" t="s">
        <v>6027</v>
      </c>
      <c r="S28" s="3205">
        <v>177000</v>
      </c>
      <c r="T28" s="3205">
        <v>27650.89</v>
      </c>
      <c r="U28" s="3205">
        <v>1843.39</v>
      </c>
      <c r="V28" s="3208">
        <v>9217</v>
      </c>
      <c r="W28" s="3205">
        <v>0</v>
      </c>
      <c r="X28" s="3205" t="s">
        <v>5843</v>
      </c>
      <c r="Y28" s="3205" t="s">
        <v>5843</v>
      </c>
      <c r="Z28" s="3205" t="s">
        <v>5843</v>
      </c>
      <c r="AA28" s="3205" t="s">
        <v>5858</v>
      </c>
      <c r="AB28" s="3205" t="s">
        <v>5843</v>
      </c>
    </row>
    <row r="29" spans="1:28" hidden="1">
      <c r="A29" s="3205" t="s">
        <v>6028</v>
      </c>
      <c r="B29" s="3205" t="s">
        <v>3386</v>
      </c>
      <c r="C29" s="3205" t="s">
        <v>5891</v>
      </c>
      <c r="D29" s="3205" t="s">
        <v>5906</v>
      </c>
      <c r="E29" s="3205" t="s">
        <v>6029</v>
      </c>
      <c r="F29" s="3205">
        <v>32733.22</v>
      </c>
      <c r="G29" s="3205">
        <v>72013.08</v>
      </c>
      <c r="H29" s="3205" t="s">
        <v>5838</v>
      </c>
      <c r="I29" s="3205" t="s">
        <v>5852</v>
      </c>
      <c r="J29" s="3205" t="s">
        <v>5951</v>
      </c>
      <c r="K29" s="3205" t="s">
        <v>5854</v>
      </c>
      <c r="L29" s="3205" t="s">
        <v>5842</v>
      </c>
      <c r="M29" s="3205" t="s">
        <v>5843</v>
      </c>
      <c r="N29" s="3205" t="s">
        <v>5843</v>
      </c>
      <c r="O29" s="3205" t="s">
        <v>6030</v>
      </c>
      <c r="P29" s="3205" t="s">
        <v>5844</v>
      </c>
      <c r="Q29" s="3205" t="s">
        <v>5856</v>
      </c>
      <c r="R29" s="3205" t="s">
        <v>6031</v>
      </c>
      <c r="S29" s="3205">
        <v>149000</v>
      </c>
      <c r="T29" s="3205">
        <v>45519.5</v>
      </c>
      <c r="U29" s="3205">
        <v>3034.63</v>
      </c>
      <c r="V29" s="3208">
        <v>20691</v>
      </c>
      <c r="W29" s="3205">
        <v>0</v>
      </c>
      <c r="X29" s="3205" t="s">
        <v>5843</v>
      </c>
      <c r="Y29" s="3205" t="s">
        <v>5843</v>
      </c>
      <c r="Z29" s="3205" t="s">
        <v>5843</v>
      </c>
      <c r="AA29" s="3205" t="s">
        <v>5858</v>
      </c>
      <c r="AB29" s="3205" t="s">
        <v>5843</v>
      </c>
    </row>
    <row r="30" spans="1:28" hidden="1">
      <c r="A30" s="3205" t="s">
        <v>6032</v>
      </c>
      <c r="B30" s="3205" t="s">
        <v>3386</v>
      </c>
      <c r="C30" s="3205" t="s">
        <v>5891</v>
      </c>
      <c r="D30" s="3205" t="s">
        <v>5906</v>
      </c>
      <c r="E30" s="3205" t="s">
        <v>6033</v>
      </c>
      <c r="F30" s="3205">
        <v>29506.55</v>
      </c>
      <c r="G30" s="3205">
        <v>64914.41</v>
      </c>
      <c r="H30" s="3205" t="s">
        <v>5838</v>
      </c>
      <c r="I30" s="3205" t="s">
        <v>5852</v>
      </c>
      <c r="J30" s="3205" t="s">
        <v>5951</v>
      </c>
      <c r="K30" s="3205" t="s">
        <v>5854</v>
      </c>
      <c r="L30" s="3205" t="s">
        <v>5842</v>
      </c>
      <c r="M30" s="3205" t="s">
        <v>5843</v>
      </c>
      <c r="N30" s="3205" t="s">
        <v>5843</v>
      </c>
      <c r="O30" s="3205" t="s">
        <v>6030</v>
      </c>
      <c r="P30" s="3205" t="s">
        <v>5844</v>
      </c>
      <c r="Q30" s="3205" t="s">
        <v>5856</v>
      </c>
      <c r="R30" s="3205" t="s">
        <v>6034</v>
      </c>
      <c r="S30" s="3205">
        <v>135000</v>
      </c>
      <c r="T30" s="3205">
        <v>45752.55</v>
      </c>
      <c r="U30" s="3205">
        <v>3050.17</v>
      </c>
      <c r="V30" s="3208">
        <v>20797</v>
      </c>
      <c r="W30" s="3205">
        <v>0</v>
      </c>
      <c r="X30" s="3205" t="s">
        <v>5843</v>
      </c>
      <c r="Y30" s="3205" t="s">
        <v>5843</v>
      </c>
      <c r="Z30" s="3205" t="s">
        <v>5843</v>
      </c>
      <c r="AA30" s="3205" t="s">
        <v>5858</v>
      </c>
      <c r="AB30" s="3205" t="s">
        <v>5843</v>
      </c>
    </row>
    <row r="31" spans="1:28" hidden="1">
      <c r="A31" s="3205" t="s">
        <v>6035</v>
      </c>
      <c r="B31" s="3205" t="s">
        <v>3386</v>
      </c>
      <c r="C31" s="3205" t="s">
        <v>5943</v>
      </c>
      <c r="D31" s="3205" t="s">
        <v>5944</v>
      </c>
      <c r="E31" s="3205" t="s">
        <v>6036</v>
      </c>
      <c r="F31" s="3205">
        <v>12629.88</v>
      </c>
      <c r="G31" s="3205">
        <v>80000</v>
      </c>
      <c r="H31" s="3205" t="s">
        <v>5838</v>
      </c>
      <c r="I31" s="3205" t="s">
        <v>5922</v>
      </c>
      <c r="J31" s="3205" t="s">
        <v>5951</v>
      </c>
      <c r="K31" s="3205" t="s">
        <v>6037</v>
      </c>
      <c r="L31" s="3205" t="s">
        <v>5842</v>
      </c>
      <c r="M31" s="3205" t="s">
        <v>5843</v>
      </c>
      <c r="N31" s="3205" t="s">
        <v>5843</v>
      </c>
      <c r="O31" s="3205" t="s">
        <v>6038</v>
      </c>
      <c r="P31" s="3205" t="s">
        <v>5844</v>
      </c>
      <c r="Q31" s="3205" t="s">
        <v>6039</v>
      </c>
      <c r="R31" s="3205" t="s">
        <v>6040</v>
      </c>
      <c r="S31" s="3205">
        <v>166000</v>
      </c>
      <c r="T31" s="3205">
        <v>131434.34</v>
      </c>
      <c r="U31" s="3205">
        <v>8762.2900000000009</v>
      </c>
      <c r="V31" s="3208">
        <v>20750</v>
      </c>
      <c r="W31" s="3205">
        <v>0</v>
      </c>
      <c r="X31" s="3205" t="s">
        <v>5843</v>
      </c>
      <c r="Y31" s="3205" t="s">
        <v>5843</v>
      </c>
      <c r="Z31" s="3205" t="s">
        <v>5843</v>
      </c>
      <c r="AA31" s="3205" t="s">
        <v>5925</v>
      </c>
      <c r="AB31" s="3205" t="s">
        <v>5843</v>
      </c>
    </row>
    <row r="32" spans="1:28" hidden="1">
      <c r="A32" s="3205" t="s">
        <v>6041</v>
      </c>
      <c r="B32" s="3205" t="s">
        <v>3386</v>
      </c>
      <c r="C32" s="3205" t="s">
        <v>5849</v>
      </c>
      <c r="D32" s="3205" t="s">
        <v>6042</v>
      </c>
      <c r="E32" s="3205" t="s">
        <v>6043</v>
      </c>
      <c r="F32" s="3205">
        <v>10000</v>
      </c>
      <c r="G32" s="3205">
        <v>22000</v>
      </c>
      <c r="H32" s="3205" t="s">
        <v>5838</v>
      </c>
      <c r="I32" s="3205" t="s">
        <v>5852</v>
      </c>
      <c r="J32" s="3205" t="s">
        <v>6044</v>
      </c>
      <c r="K32" s="3205" t="s">
        <v>6045</v>
      </c>
      <c r="L32" s="3205" t="s">
        <v>5842</v>
      </c>
      <c r="M32" s="3205" t="s">
        <v>5843</v>
      </c>
      <c r="N32" s="3205" t="s">
        <v>5843</v>
      </c>
      <c r="O32" s="3205" t="s">
        <v>6046</v>
      </c>
      <c r="P32" s="3205" t="s">
        <v>5844</v>
      </c>
      <c r="Q32" s="3205" t="s">
        <v>6039</v>
      </c>
      <c r="R32" s="3205" t="s">
        <v>6047</v>
      </c>
      <c r="S32" s="3205">
        <v>36400</v>
      </c>
      <c r="T32" s="3205">
        <v>36400</v>
      </c>
      <c r="U32" s="3205">
        <v>2426.67</v>
      </c>
      <c r="V32" s="3208">
        <v>16545</v>
      </c>
      <c r="W32" s="3205">
        <v>0</v>
      </c>
      <c r="X32" s="3205" t="s">
        <v>5843</v>
      </c>
      <c r="Y32" s="3205" t="s">
        <v>5843</v>
      </c>
      <c r="Z32" s="3205" t="s">
        <v>5843</v>
      </c>
      <c r="AA32" s="3205" t="s">
        <v>5858</v>
      </c>
      <c r="AB32" s="3205" t="s">
        <v>5843</v>
      </c>
    </row>
    <row r="33" spans="1:28" hidden="1">
      <c r="A33" s="3205" t="s">
        <v>6048</v>
      </c>
      <c r="B33" s="3205" t="s">
        <v>3386</v>
      </c>
      <c r="C33" s="3205" t="s">
        <v>5849</v>
      </c>
      <c r="D33" s="3205" t="s">
        <v>6042</v>
      </c>
      <c r="E33" s="3205" t="s">
        <v>6049</v>
      </c>
      <c r="F33" s="3205">
        <v>5500</v>
      </c>
      <c r="G33" s="3205">
        <v>12100</v>
      </c>
      <c r="H33" s="3205" t="s">
        <v>5838</v>
      </c>
      <c r="I33" s="3205" t="s">
        <v>5852</v>
      </c>
      <c r="J33" s="3205" t="s">
        <v>6044</v>
      </c>
      <c r="K33" s="3205" t="s">
        <v>6045</v>
      </c>
      <c r="L33" s="3205" t="s">
        <v>5842</v>
      </c>
      <c r="M33" s="3205" t="s">
        <v>5843</v>
      </c>
      <c r="N33" s="3205" t="s">
        <v>5843</v>
      </c>
      <c r="O33" s="3205" t="s">
        <v>6050</v>
      </c>
      <c r="P33" s="3205" t="s">
        <v>5844</v>
      </c>
      <c r="Q33" s="3205" t="s">
        <v>6039</v>
      </c>
      <c r="R33" s="3205" t="s">
        <v>6051</v>
      </c>
      <c r="S33" s="3205">
        <v>20000</v>
      </c>
      <c r="T33" s="3205">
        <v>36363.629999999997</v>
      </c>
      <c r="U33" s="3205">
        <v>2424.2399999999998</v>
      </c>
      <c r="V33" s="3208">
        <v>16529</v>
      </c>
      <c r="W33" s="3205">
        <v>0</v>
      </c>
      <c r="X33" s="3205" t="s">
        <v>5843</v>
      </c>
      <c r="Y33" s="3205" t="s">
        <v>5843</v>
      </c>
      <c r="Z33" s="3205" t="s">
        <v>5843</v>
      </c>
      <c r="AA33" s="3205" t="s">
        <v>5858</v>
      </c>
      <c r="AB33" s="3205" t="s">
        <v>5843</v>
      </c>
    </row>
    <row r="34" spans="1:28" hidden="1">
      <c r="A34" s="3205" t="s">
        <v>6052</v>
      </c>
      <c r="B34" s="3205" t="s">
        <v>3386</v>
      </c>
      <c r="C34" s="3205" t="s">
        <v>5849</v>
      </c>
      <c r="D34" s="3205" t="s">
        <v>5850</v>
      </c>
      <c r="E34" s="3205" t="s">
        <v>6053</v>
      </c>
      <c r="F34" s="3205">
        <v>16122.82</v>
      </c>
      <c r="G34" s="3205">
        <v>45143.91</v>
      </c>
      <c r="H34" s="3205" t="s">
        <v>5838</v>
      </c>
      <c r="I34" s="3205" t="s">
        <v>5852</v>
      </c>
      <c r="J34" s="3205" t="s">
        <v>6054</v>
      </c>
      <c r="K34" s="3205" t="s">
        <v>5992</v>
      </c>
      <c r="L34" s="3205" t="s">
        <v>5842</v>
      </c>
      <c r="M34" s="3205" t="s">
        <v>5843</v>
      </c>
      <c r="N34" s="3205" t="s">
        <v>5843</v>
      </c>
      <c r="O34" s="3205" t="s">
        <v>6055</v>
      </c>
      <c r="P34" s="3205" t="s">
        <v>5844</v>
      </c>
      <c r="Q34" s="3205" t="s">
        <v>6039</v>
      </c>
      <c r="R34" s="3205" t="s">
        <v>6056</v>
      </c>
      <c r="S34" s="3205">
        <v>76000</v>
      </c>
      <c r="T34" s="3205">
        <v>47138.15</v>
      </c>
      <c r="U34" s="3205">
        <v>3142.54</v>
      </c>
      <c r="V34" s="3208">
        <v>16835</v>
      </c>
      <c r="W34" s="3205">
        <v>0</v>
      </c>
      <c r="X34" s="3205" t="s">
        <v>5843</v>
      </c>
      <c r="Y34" s="3205" t="s">
        <v>5843</v>
      </c>
      <c r="Z34" s="3205" t="s">
        <v>5843</v>
      </c>
      <c r="AA34" s="3205" t="s">
        <v>5858</v>
      </c>
      <c r="AB34" s="3205" t="s">
        <v>5843</v>
      </c>
    </row>
    <row r="35" spans="1:28" hidden="1">
      <c r="A35" s="3205" t="s">
        <v>6057</v>
      </c>
      <c r="B35" s="3205" t="s">
        <v>3386</v>
      </c>
      <c r="C35" s="3205" t="s">
        <v>5860</v>
      </c>
      <c r="D35" s="3205" t="s">
        <v>6058</v>
      </c>
      <c r="E35" s="3205" t="s">
        <v>6059</v>
      </c>
      <c r="F35" s="3205">
        <v>17308.8</v>
      </c>
      <c r="G35" s="3205">
        <v>86544</v>
      </c>
      <c r="H35" s="3205" t="s">
        <v>5838</v>
      </c>
      <c r="I35" s="3205" t="s">
        <v>5852</v>
      </c>
      <c r="J35" s="3205" t="s">
        <v>6060</v>
      </c>
      <c r="K35" s="3205" t="s">
        <v>6061</v>
      </c>
      <c r="L35" s="3205" t="s">
        <v>5842</v>
      </c>
      <c r="M35" s="3205" t="s">
        <v>5843</v>
      </c>
      <c r="N35" s="3205" t="s">
        <v>5843</v>
      </c>
      <c r="O35" s="3205" t="s">
        <v>6062</v>
      </c>
      <c r="P35" s="3205" t="s">
        <v>5844</v>
      </c>
      <c r="Q35" s="3205" t="s">
        <v>6039</v>
      </c>
      <c r="R35" s="3205" t="s">
        <v>6063</v>
      </c>
      <c r="S35" s="3205">
        <v>91400</v>
      </c>
      <c r="T35" s="3205">
        <v>52805.5</v>
      </c>
      <c r="U35" s="3205">
        <v>3520.37</v>
      </c>
      <c r="V35" s="3208">
        <v>10561</v>
      </c>
      <c r="W35" s="3205">
        <v>0</v>
      </c>
      <c r="X35" s="3205" t="s">
        <v>5843</v>
      </c>
      <c r="Y35" s="3205" t="s">
        <v>5843</v>
      </c>
      <c r="Z35" s="3205" t="s">
        <v>5843</v>
      </c>
      <c r="AA35" s="3205" t="s">
        <v>5858</v>
      </c>
      <c r="AB35" s="3205" t="s">
        <v>5843</v>
      </c>
    </row>
    <row r="36" spans="1:28" hidden="1">
      <c r="A36" s="3205" t="s">
        <v>6064</v>
      </c>
      <c r="B36" s="3205" t="s">
        <v>3386</v>
      </c>
      <c r="C36" s="3205" t="s">
        <v>5860</v>
      </c>
      <c r="D36" s="3205" t="s">
        <v>5861</v>
      </c>
      <c r="E36" s="3205" t="s">
        <v>6065</v>
      </c>
      <c r="F36" s="3205">
        <v>59169.74</v>
      </c>
      <c r="G36" s="3205">
        <v>130173.43</v>
      </c>
      <c r="H36" s="3205" t="s">
        <v>5838</v>
      </c>
      <c r="I36" s="3205" t="s">
        <v>5852</v>
      </c>
      <c r="J36" s="3205" t="s">
        <v>5951</v>
      </c>
      <c r="K36" s="3205" t="s">
        <v>6045</v>
      </c>
      <c r="L36" s="3205" t="s">
        <v>5842</v>
      </c>
      <c r="M36" s="3205" t="s">
        <v>5843</v>
      </c>
      <c r="N36" s="3205" t="s">
        <v>5843</v>
      </c>
      <c r="O36" s="3205" t="s">
        <v>6066</v>
      </c>
      <c r="P36" s="3205" t="s">
        <v>5844</v>
      </c>
      <c r="Q36" s="3205" t="s">
        <v>6039</v>
      </c>
      <c r="R36" s="3205" t="s">
        <v>6067</v>
      </c>
      <c r="S36" s="3205">
        <v>131600</v>
      </c>
      <c r="T36" s="3205">
        <v>22241.09</v>
      </c>
      <c r="U36" s="3205">
        <v>1482.74</v>
      </c>
      <c r="V36" s="3208">
        <v>10110</v>
      </c>
      <c r="W36" s="3205">
        <v>0</v>
      </c>
      <c r="X36" s="3205" t="s">
        <v>5843</v>
      </c>
      <c r="Y36" s="3205" t="s">
        <v>5843</v>
      </c>
      <c r="Z36" s="3205" t="s">
        <v>5843</v>
      </c>
      <c r="AA36" s="3205" t="s">
        <v>5866</v>
      </c>
      <c r="AB36" s="3205" t="s">
        <v>5843</v>
      </c>
    </row>
    <row r="37" spans="1:28" hidden="1">
      <c r="A37" s="3205" t="s">
        <v>6068</v>
      </c>
      <c r="B37" s="3205" t="s">
        <v>3386</v>
      </c>
      <c r="C37" s="3205" t="s">
        <v>5860</v>
      </c>
      <c r="D37" s="3205" t="s">
        <v>6009</v>
      </c>
      <c r="E37" s="3205" t="s">
        <v>6069</v>
      </c>
      <c r="F37" s="3205">
        <v>12066.9</v>
      </c>
      <c r="G37" s="3205">
        <v>18100.349999999999</v>
      </c>
      <c r="H37" s="3205" t="s">
        <v>5838</v>
      </c>
      <c r="I37" s="3205" t="s">
        <v>5922</v>
      </c>
      <c r="J37" s="3205" t="s">
        <v>6070</v>
      </c>
      <c r="K37" s="3205" t="s">
        <v>5881</v>
      </c>
      <c r="L37" s="3205" t="s">
        <v>5842</v>
      </c>
      <c r="M37" s="3205" t="s">
        <v>5843</v>
      </c>
      <c r="N37" s="3205" t="s">
        <v>5843</v>
      </c>
      <c r="O37" s="3205" t="s">
        <v>6071</v>
      </c>
      <c r="P37" s="3205" t="s">
        <v>5844</v>
      </c>
      <c r="Q37" s="3205" t="s">
        <v>6039</v>
      </c>
      <c r="R37" s="3205" t="s">
        <v>6067</v>
      </c>
      <c r="S37" s="3205">
        <v>9400</v>
      </c>
      <c r="T37" s="3205">
        <v>7789.9</v>
      </c>
      <c r="U37" s="3205">
        <v>519.33000000000004</v>
      </c>
      <c r="V37" s="3208">
        <v>5193</v>
      </c>
      <c r="W37" s="3205">
        <v>0</v>
      </c>
      <c r="X37" s="3205" t="s">
        <v>5843</v>
      </c>
      <c r="Y37" s="3205" t="s">
        <v>5843</v>
      </c>
      <c r="Z37" s="3205" t="s">
        <v>5843</v>
      </c>
      <c r="AA37" s="3205" t="s">
        <v>5866</v>
      </c>
      <c r="AB37" s="3205" t="s">
        <v>5843</v>
      </c>
    </row>
    <row r="38" spans="1:28" s="3210" customFormat="1">
      <c r="A38" s="3210" t="s">
        <v>6072</v>
      </c>
      <c r="B38" s="3210" t="s">
        <v>3386</v>
      </c>
      <c r="C38" s="3210" t="s">
        <v>5860</v>
      </c>
      <c r="D38" s="3210" t="s">
        <v>6073</v>
      </c>
      <c r="E38" s="3210" t="s">
        <v>6074</v>
      </c>
      <c r="F38" s="3210">
        <v>15178.6</v>
      </c>
      <c r="G38" s="3210">
        <v>45535.8</v>
      </c>
      <c r="H38" s="3210" t="s">
        <v>5838</v>
      </c>
      <c r="I38" s="3210" t="s">
        <v>5852</v>
      </c>
      <c r="J38" s="3210" t="s">
        <v>6044</v>
      </c>
      <c r="K38" s="3210" t="s">
        <v>6025</v>
      </c>
      <c r="L38" s="3210" t="s">
        <v>5842</v>
      </c>
      <c r="M38" s="3210" t="s">
        <v>5843</v>
      </c>
      <c r="N38" s="3210" t="s">
        <v>5843</v>
      </c>
      <c r="O38" s="3210" t="s">
        <v>6075</v>
      </c>
      <c r="P38" s="3210" t="s">
        <v>5844</v>
      </c>
      <c r="Q38" s="3210" t="s">
        <v>6039</v>
      </c>
      <c r="R38" s="3210" t="s">
        <v>6076</v>
      </c>
      <c r="S38" s="3210">
        <v>58400</v>
      </c>
      <c r="T38" s="3210">
        <v>38475.22</v>
      </c>
      <c r="U38" s="3210">
        <v>2565.0100000000002</v>
      </c>
      <c r="V38" s="3211">
        <v>12825</v>
      </c>
      <c r="W38" s="3210">
        <v>0</v>
      </c>
      <c r="X38" s="3210" t="s">
        <v>5843</v>
      </c>
      <c r="Y38" s="3210" t="s">
        <v>5843</v>
      </c>
      <c r="Z38" s="3210" t="s">
        <v>5843</v>
      </c>
      <c r="AA38" s="3210" t="s">
        <v>5889</v>
      </c>
      <c r="AB38" s="3210" t="s">
        <v>5843</v>
      </c>
    </row>
    <row r="39" spans="1:28" hidden="1">
      <c r="A39" s="3205" t="s">
        <v>6077</v>
      </c>
      <c r="B39" s="3205" t="s">
        <v>3386</v>
      </c>
      <c r="C39" s="3205" t="s">
        <v>6078</v>
      </c>
      <c r="D39" s="3205" t="s">
        <v>6079</v>
      </c>
      <c r="E39" s="3205" t="s">
        <v>6080</v>
      </c>
      <c r="F39" s="3205">
        <v>19258.580000000002</v>
      </c>
      <c r="G39" s="3205">
        <v>38517.17</v>
      </c>
      <c r="H39" s="3205" t="s">
        <v>5838</v>
      </c>
      <c r="I39" s="3205" t="s">
        <v>5852</v>
      </c>
      <c r="J39" s="3205" t="s">
        <v>6044</v>
      </c>
      <c r="K39" s="3205" t="s">
        <v>5999</v>
      </c>
      <c r="L39" s="3205" t="s">
        <v>5842</v>
      </c>
      <c r="M39" s="3205" t="s">
        <v>5843</v>
      </c>
      <c r="N39" s="3205" t="s">
        <v>5843</v>
      </c>
      <c r="O39" s="3205" t="s">
        <v>6081</v>
      </c>
      <c r="P39" s="3205" t="s">
        <v>5844</v>
      </c>
      <c r="Q39" s="3205" t="s">
        <v>6039</v>
      </c>
      <c r="R39" s="3205" t="s">
        <v>6082</v>
      </c>
      <c r="S39" s="3205">
        <v>28400</v>
      </c>
      <c r="T39" s="3205">
        <v>14746.67</v>
      </c>
      <c r="U39" s="3205">
        <v>983.11</v>
      </c>
      <c r="V39" s="3208">
        <v>7373</v>
      </c>
      <c r="W39" s="3205">
        <v>0</v>
      </c>
      <c r="X39" s="3205" t="s">
        <v>5843</v>
      </c>
      <c r="Y39" s="3205" t="s">
        <v>5843</v>
      </c>
      <c r="Z39" s="3205" t="s">
        <v>5843</v>
      </c>
      <c r="AA39" s="3205" t="s">
        <v>5866</v>
      </c>
      <c r="AB39" s="3205" t="s">
        <v>5843</v>
      </c>
    </row>
    <row r="40" spans="1:28" hidden="1">
      <c r="A40" s="3205" t="s">
        <v>6083</v>
      </c>
      <c r="B40" s="3205" t="s">
        <v>3386</v>
      </c>
      <c r="C40" s="3205" t="s">
        <v>6078</v>
      </c>
      <c r="D40" s="3205" t="s">
        <v>6084</v>
      </c>
      <c r="E40" s="3205" t="s">
        <v>6085</v>
      </c>
      <c r="F40" s="3205">
        <v>28547.88</v>
      </c>
      <c r="G40" s="3205">
        <v>51828.53</v>
      </c>
      <c r="H40" s="3205" t="s">
        <v>5838</v>
      </c>
      <c r="I40" s="3205" t="s">
        <v>5852</v>
      </c>
      <c r="J40" s="3205" t="s">
        <v>6044</v>
      </c>
      <c r="K40" s="3205" t="s">
        <v>6086</v>
      </c>
      <c r="L40" s="3205" t="s">
        <v>5842</v>
      </c>
      <c r="M40" s="3205" t="s">
        <v>5843</v>
      </c>
      <c r="N40" s="3205" t="s">
        <v>5843</v>
      </c>
      <c r="O40" s="3205" t="s">
        <v>6081</v>
      </c>
      <c r="P40" s="3205" t="s">
        <v>5844</v>
      </c>
      <c r="Q40" s="3205" t="s">
        <v>6039</v>
      </c>
      <c r="R40" s="3205" t="s">
        <v>6087</v>
      </c>
      <c r="S40" s="3205">
        <v>37700</v>
      </c>
      <c r="T40" s="3205">
        <v>13205.88</v>
      </c>
      <c r="U40" s="3205">
        <v>880.39</v>
      </c>
      <c r="V40" s="3208">
        <v>7274</v>
      </c>
      <c r="W40" s="3205">
        <v>0</v>
      </c>
      <c r="X40" s="3205" t="s">
        <v>5843</v>
      </c>
      <c r="Y40" s="3205" t="s">
        <v>5843</v>
      </c>
      <c r="Z40" s="3205" t="s">
        <v>5843</v>
      </c>
      <c r="AA40" s="3205" t="s">
        <v>5866</v>
      </c>
      <c r="AB40" s="3205" t="s">
        <v>6088</v>
      </c>
    </row>
    <row r="41" spans="1:28" hidden="1">
      <c r="A41" s="3205" t="s">
        <v>6089</v>
      </c>
      <c r="B41" s="3205" t="s">
        <v>3386</v>
      </c>
      <c r="C41" s="3205" t="s">
        <v>5849</v>
      </c>
      <c r="D41" s="3205" t="s">
        <v>6090</v>
      </c>
      <c r="E41" s="3205" t="s">
        <v>6091</v>
      </c>
      <c r="F41" s="3205">
        <v>29991.73</v>
      </c>
      <c r="G41" s="3205">
        <v>119966.93</v>
      </c>
      <c r="H41" s="3205" t="s">
        <v>5838</v>
      </c>
      <c r="I41" s="3205" t="s">
        <v>5852</v>
      </c>
      <c r="J41" s="3205" t="s">
        <v>5871</v>
      </c>
      <c r="K41" s="3205" t="s">
        <v>6092</v>
      </c>
      <c r="L41" s="3205" t="s">
        <v>5842</v>
      </c>
      <c r="M41" s="3205" t="s">
        <v>5843</v>
      </c>
      <c r="N41" s="3205" t="s">
        <v>5843</v>
      </c>
      <c r="O41" s="3205" t="s">
        <v>6093</v>
      </c>
      <c r="P41" s="3205" t="s">
        <v>5844</v>
      </c>
      <c r="Q41" s="3205" t="s">
        <v>6039</v>
      </c>
      <c r="R41" s="3205" t="s">
        <v>6094</v>
      </c>
      <c r="S41" s="3205">
        <v>165300</v>
      </c>
      <c r="T41" s="3205">
        <v>55115.19</v>
      </c>
      <c r="U41" s="3205">
        <v>3674.35</v>
      </c>
      <c r="V41" s="3208">
        <v>13779</v>
      </c>
      <c r="W41" s="3205">
        <v>0</v>
      </c>
      <c r="X41" s="3205" t="s">
        <v>5843</v>
      </c>
      <c r="Y41" s="3205" t="s">
        <v>5843</v>
      </c>
      <c r="Z41" s="3205" t="s">
        <v>5843</v>
      </c>
      <c r="AA41" s="3205" t="s">
        <v>5858</v>
      </c>
      <c r="AB41" s="3205" t="s">
        <v>5843</v>
      </c>
    </row>
    <row r="42" spans="1:28" s="3210" customFormat="1">
      <c r="A42" s="3210" t="s">
        <v>6095</v>
      </c>
      <c r="B42" s="3210" t="s">
        <v>3386</v>
      </c>
      <c r="C42" s="3210" t="s">
        <v>5860</v>
      </c>
      <c r="D42" s="3210" t="s">
        <v>6096</v>
      </c>
      <c r="E42" s="3210" t="s">
        <v>6142</v>
      </c>
      <c r="F42" s="3210">
        <v>15197.52</v>
      </c>
      <c r="G42" s="3210">
        <v>30395.05</v>
      </c>
      <c r="H42" s="3210" t="s">
        <v>5838</v>
      </c>
      <c r="I42" s="3210" t="s">
        <v>6097</v>
      </c>
      <c r="J42" s="3210" t="s">
        <v>6044</v>
      </c>
      <c r="K42" s="3210" t="s">
        <v>5999</v>
      </c>
      <c r="L42" s="3210" t="s">
        <v>5842</v>
      </c>
      <c r="M42" s="3210" t="s">
        <v>6098</v>
      </c>
      <c r="N42" s="3210" t="s">
        <v>5843</v>
      </c>
      <c r="O42" s="3210" t="s">
        <v>6099</v>
      </c>
      <c r="P42" s="3210" t="s">
        <v>5844</v>
      </c>
      <c r="Q42" s="3210" t="s">
        <v>6039</v>
      </c>
      <c r="R42" s="3210" t="s">
        <v>6100</v>
      </c>
      <c r="S42" s="3210">
        <v>42600</v>
      </c>
      <c r="T42" s="3210">
        <v>28030.880000000001</v>
      </c>
      <c r="U42" s="3210">
        <v>1868.73</v>
      </c>
      <c r="V42" s="3211">
        <v>14015</v>
      </c>
      <c r="W42" s="3210">
        <v>0</v>
      </c>
      <c r="X42" s="3210" t="s">
        <v>5843</v>
      </c>
      <c r="Y42" s="3210" t="s">
        <v>5843</v>
      </c>
      <c r="Z42" s="3210" t="s">
        <v>5843</v>
      </c>
      <c r="AA42" s="3210" t="s">
        <v>5858</v>
      </c>
      <c r="AB42" s="3210" t="s">
        <v>5843</v>
      </c>
    </row>
    <row r="43" spans="1:28" hidden="1">
      <c r="A43" s="3205" t="s">
        <v>6101</v>
      </c>
      <c r="B43" s="3205" t="s">
        <v>3386</v>
      </c>
      <c r="C43" s="3205" t="s">
        <v>5891</v>
      </c>
      <c r="D43" s="3205" t="s">
        <v>5906</v>
      </c>
      <c r="E43" s="3205" t="s">
        <v>6102</v>
      </c>
      <c r="F43" s="3205">
        <v>38252.550000000003</v>
      </c>
      <c r="G43" s="3205">
        <v>84155.61</v>
      </c>
      <c r="H43" s="3205" t="s">
        <v>5838</v>
      </c>
      <c r="I43" s="3205" t="s">
        <v>5852</v>
      </c>
      <c r="J43" s="3205" t="s">
        <v>5871</v>
      </c>
      <c r="K43" s="3205" t="s">
        <v>5854</v>
      </c>
      <c r="L43" s="3205" t="s">
        <v>5842</v>
      </c>
      <c r="M43" s="3205" t="s">
        <v>5843</v>
      </c>
      <c r="N43" s="3205" t="s">
        <v>5843</v>
      </c>
      <c r="O43" s="3205" t="s">
        <v>6103</v>
      </c>
      <c r="P43" s="3205" t="s">
        <v>5844</v>
      </c>
      <c r="Q43" s="3205" t="s">
        <v>6039</v>
      </c>
      <c r="R43" s="3205" t="s">
        <v>6104</v>
      </c>
      <c r="S43" s="3205">
        <v>175000</v>
      </c>
      <c r="T43" s="3205">
        <v>45748.58</v>
      </c>
      <c r="U43" s="3205">
        <v>3049.91</v>
      </c>
      <c r="V43" s="3208">
        <v>20795</v>
      </c>
      <c r="W43" s="3205">
        <v>0</v>
      </c>
      <c r="X43" s="3205" t="s">
        <v>5843</v>
      </c>
      <c r="Y43" s="3205" t="s">
        <v>5843</v>
      </c>
      <c r="Z43" s="3205" t="s">
        <v>5843</v>
      </c>
      <c r="AA43" s="3205" t="s">
        <v>5858</v>
      </c>
      <c r="AB43" s="3205" t="s">
        <v>5843</v>
      </c>
    </row>
    <row r="44" spans="1:28" hidden="1">
      <c r="A44" s="3205" t="s">
        <v>6105</v>
      </c>
      <c r="B44" s="3205" t="s">
        <v>3386</v>
      </c>
      <c r="C44" s="3205" t="s">
        <v>5891</v>
      </c>
      <c r="D44" s="3205" t="s">
        <v>5906</v>
      </c>
      <c r="E44" s="3205" t="s">
        <v>6106</v>
      </c>
      <c r="F44" s="3205">
        <v>30025.18</v>
      </c>
      <c r="G44" s="3205">
        <v>66055.39</v>
      </c>
      <c r="H44" s="3205" t="s">
        <v>5838</v>
      </c>
      <c r="I44" s="3205" t="s">
        <v>5852</v>
      </c>
      <c r="J44" s="3205" t="s">
        <v>5871</v>
      </c>
      <c r="K44" s="3205" t="s">
        <v>5854</v>
      </c>
      <c r="L44" s="3205" t="s">
        <v>5842</v>
      </c>
      <c r="M44" s="3205" t="s">
        <v>5843</v>
      </c>
      <c r="N44" s="3205" t="s">
        <v>5843</v>
      </c>
      <c r="O44" s="3205" t="s">
        <v>6103</v>
      </c>
      <c r="P44" s="3205" t="s">
        <v>5844</v>
      </c>
      <c r="Q44" s="3205" t="s">
        <v>6039</v>
      </c>
      <c r="R44" s="3205" t="s">
        <v>6107</v>
      </c>
      <c r="S44" s="3205">
        <v>137000</v>
      </c>
      <c r="T44" s="3205">
        <v>45628.37</v>
      </c>
      <c r="U44" s="3205">
        <v>3041.89</v>
      </c>
      <c r="V44" s="3208">
        <v>20740</v>
      </c>
      <c r="W44" s="3205">
        <v>0</v>
      </c>
      <c r="X44" s="3205" t="s">
        <v>5843</v>
      </c>
      <c r="Y44" s="3205" t="s">
        <v>5843</v>
      </c>
      <c r="Z44" s="3205" t="s">
        <v>5843</v>
      </c>
      <c r="AA44" s="3205" t="s">
        <v>5858</v>
      </c>
      <c r="AB44" s="3205" t="s">
        <v>5843</v>
      </c>
    </row>
    <row r="45" spans="1:28" hidden="1">
      <c r="A45" s="3205" t="s">
        <v>6108</v>
      </c>
      <c r="B45" s="3205" t="s">
        <v>3386</v>
      </c>
      <c r="C45" s="3205" t="s">
        <v>5849</v>
      </c>
      <c r="D45" s="3205" t="s">
        <v>5850</v>
      </c>
      <c r="E45" s="3205" t="s">
        <v>6109</v>
      </c>
      <c r="F45" s="3205">
        <v>204418.11</v>
      </c>
      <c r="G45" s="3205">
        <v>302000</v>
      </c>
      <c r="H45" s="3205" t="s">
        <v>5838</v>
      </c>
      <c r="I45" s="3205" t="s">
        <v>5852</v>
      </c>
      <c r="J45" s="3205" t="s">
        <v>5871</v>
      </c>
      <c r="K45" s="3205" t="s">
        <v>5881</v>
      </c>
      <c r="L45" s="3205" t="s">
        <v>5842</v>
      </c>
      <c r="M45" s="3205" t="s">
        <v>5843</v>
      </c>
      <c r="N45" s="3205" t="s">
        <v>5843</v>
      </c>
      <c r="O45" s="3205" t="s">
        <v>6103</v>
      </c>
      <c r="P45" s="3205" t="s">
        <v>5844</v>
      </c>
      <c r="Q45" s="3205" t="s">
        <v>6039</v>
      </c>
      <c r="R45" s="3205" t="s">
        <v>6110</v>
      </c>
      <c r="S45" s="3205">
        <v>506700</v>
      </c>
      <c r="T45" s="3205">
        <v>24787.43</v>
      </c>
      <c r="U45" s="3205">
        <v>1652.5</v>
      </c>
      <c r="V45" s="3208">
        <v>16778</v>
      </c>
      <c r="W45" s="3205">
        <v>0</v>
      </c>
      <c r="X45" s="3205" t="s">
        <v>5843</v>
      </c>
      <c r="Y45" s="3205" t="s">
        <v>5843</v>
      </c>
      <c r="Z45" s="3205" t="s">
        <v>5843</v>
      </c>
      <c r="AA45" s="3205" t="s">
        <v>5858</v>
      </c>
      <c r="AB45" s="3205" t="s">
        <v>5843</v>
      </c>
    </row>
    <row r="46" spans="1:28" hidden="1">
      <c r="A46" s="3205" t="s">
        <v>6111</v>
      </c>
      <c r="B46" s="3205" t="s">
        <v>3386</v>
      </c>
      <c r="C46" s="3205" t="s">
        <v>5935</v>
      </c>
      <c r="D46" s="3205" t="s">
        <v>6112</v>
      </c>
      <c r="E46" s="3205" t="s">
        <v>6113</v>
      </c>
      <c r="F46" s="3205">
        <v>12136.3</v>
      </c>
      <c r="G46" s="3205">
        <v>42477</v>
      </c>
      <c r="H46" s="3205" t="s">
        <v>5838</v>
      </c>
      <c r="I46" s="3205" t="s">
        <v>5922</v>
      </c>
      <c r="J46" s="3205" t="s">
        <v>5871</v>
      </c>
      <c r="K46" s="3205" t="s">
        <v>6114</v>
      </c>
      <c r="L46" s="3205" t="s">
        <v>5842</v>
      </c>
      <c r="M46" s="3205" t="s">
        <v>5843</v>
      </c>
      <c r="N46" s="3205" t="s">
        <v>5843</v>
      </c>
      <c r="O46" s="3205" t="s">
        <v>6103</v>
      </c>
      <c r="P46" s="3205" t="s">
        <v>5844</v>
      </c>
      <c r="Q46" s="3205" t="s">
        <v>6039</v>
      </c>
      <c r="R46" s="3205" t="s">
        <v>6115</v>
      </c>
      <c r="S46" s="3205">
        <v>71000</v>
      </c>
      <c r="T46" s="3205">
        <v>58502.18</v>
      </c>
      <c r="U46" s="3205">
        <v>3900.15</v>
      </c>
      <c r="V46" s="3208">
        <v>16715</v>
      </c>
      <c r="W46" s="3205">
        <v>0</v>
      </c>
      <c r="X46" s="3205" t="s">
        <v>5843</v>
      </c>
      <c r="Y46" s="3205" t="s">
        <v>5843</v>
      </c>
      <c r="Z46" s="3205" t="s">
        <v>5843</v>
      </c>
      <c r="AA46" s="3205" t="s">
        <v>5858</v>
      </c>
      <c r="AB46" s="3205" t="s">
        <v>5843</v>
      </c>
    </row>
    <row r="53" spans="1:1" ht="13.5">
      <c r="A53" s="3216" t="s">
        <v>6143</v>
      </c>
    </row>
  </sheetData>
  <autoFilter ref="A1:AB46"/>
  <phoneticPr fontId="134" type="noConversion"/>
  <hyperlinks>
    <hyperlink ref="A53"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H39" sqref="H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0.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875</v>
      </c>
      <c r="B1" s="663"/>
      <c r="C1" s="1286" t="s">
        <v>4331</v>
      </c>
      <c r="D1" s="1270" t="s">
        <v>43</v>
      </c>
      <c r="E1" s="1271" t="s">
        <v>676</v>
      </c>
      <c r="F1" s="999">
        <f ca="1">J53</f>
        <v>32.15</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802</v>
      </c>
      <c r="B2" s="1293">
        <f ca="1">C40+J29+L46</f>
        <v>96885</v>
      </c>
      <c r="C2" s="1288" t="s">
        <v>803</v>
      </c>
      <c r="D2" s="1288"/>
      <c r="E2" s="1294"/>
      <c r="F2" s="1295"/>
      <c r="G2" s="2478"/>
      <c r="H2" s="2468"/>
      <c r="I2" s="2468"/>
      <c r="J2" s="2468"/>
      <c r="K2" s="2469"/>
      <c r="L2" s="2468"/>
      <c r="M2" s="2468"/>
    </row>
    <row r="3" spans="1:37" ht="18" customHeight="1" thickBot="1">
      <c r="A3" s="1296" t="s">
        <v>804</v>
      </c>
      <c r="B3" s="1297">
        <f ca="1">IF(ISERROR(B2*10000/F43),0,ROUND(B2*10000/F43,0))</f>
        <v>14676</v>
      </c>
      <c r="C3" s="1288" t="s">
        <v>805</v>
      </c>
      <c r="D3" s="1288"/>
      <c r="E3" s="1294"/>
      <c r="F3" s="1295"/>
      <c r="G3" s="2478"/>
      <c r="H3" s="649" t="s">
        <v>874</v>
      </c>
      <c r="I3" s="1289"/>
      <c r="J3" s="1289"/>
      <c r="K3" s="1290"/>
      <c r="L3" s="1289"/>
      <c r="M3" s="1289"/>
    </row>
    <row r="4" spans="1:37" ht="18" customHeight="1">
      <c r="A4" s="287" t="s">
        <v>685</v>
      </c>
      <c r="B4" s="288" t="s">
        <v>686</v>
      </c>
      <c r="C4" s="288" t="s">
        <v>687</v>
      </c>
      <c r="D4" s="288" t="s">
        <v>688</v>
      </c>
      <c r="E4" s="289" t="s">
        <v>689</v>
      </c>
      <c r="F4" s="290"/>
      <c r="G4" s="1291"/>
      <c r="H4" s="287" t="s">
        <v>685</v>
      </c>
      <c r="I4" s="288" t="s">
        <v>686</v>
      </c>
      <c r="J4" s="288" t="s">
        <v>687</v>
      </c>
      <c r="K4" s="288" t="s">
        <v>688</v>
      </c>
      <c r="L4" s="289" t="s">
        <v>689</v>
      </c>
      <c r="M4" s="290"/>
    </row>
    <row r="5" spans="1:37" ht="18" customHeight="1">
      <c r="A5" s="291">
        <v>1</v>
      </c>
      <c r="B5" s="292" t="s">
        <v>690</v>
      </c>
      <c r="C5" s="1007">
        <f ca="1">C6+C10+C12</f>
        <v>8686</v>
      </c>
      <c r="D5" s="1272" t="s">
        <v>691</v>
      </c>
      <c r="E5" s="1008"/>
      <c r="F5" s="1009"/>
      <c r="G5" s="1291"/>
      <c r="H5" s="291">
        <v>1</v>
      </c>
      <c r="I5" s="292" t="s">
        <v>690</v>
      </c>
      <c r="J5" s="1007">
        <f ca="1">J6+J10+J12</f>
        <v>0</v>
      </c>
      <c r="K5" s="1272" t="s">
        <v>691</v>
      </c>
      <c r="L5" s="1008"/>
      <c r="M5" s="1009"/>
    </row>
    <row r="6" spans="1:37" ht="18" customHeight="1">
      <c r="A6" s="1006" t="s">
        <v>398</v>
      </c>
      <c r="B6" s="3453" t="s">
        <v>692</v>
      </c>
      <c r="C6" s="1011">
        <f ca="1">ROUND(F6*F8*F7*(1-F9)/10000,0)</f>
        <v>8675</v>
      </c>
      <c r="D6" s="147" t="s">
        <v>2103</v>
      </c>
      <c r="E6" s="294" t="s">
        <v>694</v>
      </c>
      <c r="F6" s="295">
        <f ca="1">INDIRECT("'数据-取费表'!u"&amp;$G$1)</f>
        <v>4</v>
      </c>
      <c r="G6" s="1291">
        <f ca="1">C6+[4]收益法!$C$6</f>
        <v>17617</v>
      </c>
      <c r="H6" s="1006" t="s">
        <v>398</v>
      </c>
      <c r="I6" s="3453" t="s">
        <v>692</v>
      </c>
      <c r="J6" s="293">
        <f ca="1">ROUND(M6*M8*M7*(1-M9)/10000,0)</f>
        <v>0</v>
      </c>
      <c r="K6" s="147" t="s">
        <v>2102</v>
      </c>
      <c r="L6" s="294" t="s">
        <v>694</v>
      </c>
      <c r="M6" s="295">
        <f ca="1">INDIRECT("'数据-取费表'!z"&amp;$G$1)</f>
        <v>0</v>
      </c>
    </row>
    <row r="7" spans="1:37" ht="18" customHeight="1">
      <c r="A7" s="1010"/>
      <c r="B7" s="3454"/>
      <c r="C7" s="1012"/>
      <c r="D7" s="299"/>
      <c r="E7" s="1013" t="s">
        <v>695</v>
      </c>
      <c r="F7" s="295">
        <f ca="1">IF(INDIRECT("'数据-取费表'!ah"&amp;$G$1)="",INDIRECT("'数据-取费表'!k"&amp;$G$1),INDIRECT("'数据-取费表'!ah"&amp;$G$1))</f>
        <v>66017.299999999916</v>
      </c>
      <c r="G7" s="1291"/>
      <c r="H7" s="296"/>
      <c r="I7" s="3454"/>
      <c r="J7" s="298"/>
      <c r="K7" s="299"/>
      <c r="L7" s="294" t="s">
        <v>695</v>
      </c>
      <c r="M7" s="295">
        <f ca="1">F7</f>
        <v>66017.299999999916</v>
      </c>
    </row>
    <row r="8" spans="1:37" ht="18" customHeight="1">
      <c r="A8" s="296"/>
      <c r="B8" s="3454"/>
      <c r="C8" s="298"/>
      <c r="D8" s="299"/>
      <c r="E8" s="294" t="s">
        <v>696</v>
      </c>
      <c r="F8" s="295">
        <f ca="1">INDIRECT("'数据-取费表'!ai"&amp;$G$1)</f>
        <v>365</v>
      </c>
      <c r="G8" s="1291"/>
      <c r="H8" s="296"/>
      <c r="I8" s="3454"/>
      <c r="J8" s="298"/>
      <c r="K8" s="299"/>
      <c r="L8" s="294" t="s">
        <v>696</v>
      </c>
      <c r="M8" s="295">
        <f ca="1">INDIRECT("'数据-取费表'!ai"&amp;$G$1)</f>
        <v>365</v>
      </c>
    </row>
    <row r="9" spans="1:37" ht="18" customHeight="1">
      <c r="A9" s="296"/>
      <c r="B9" s="3455"/>
      <c r="C9" s="298"/>
      <c r="D9" s="299"/>
      <c r="E9" s="294" t="s">
        <v>697</v>
      </c>
      <c r="F9" s="304">
        <f ca="1">INDIRECT("'数据-取费表'!w"&amp;$G$1)</f>
        <v>0.1</v>
      </c>
      <c r="G9" s="1291"/>
      <c r="H9" s="296"/>
      <c r="I9" s="3455"/>
      <c r="J9" s="298"/>
      <c r="K9" s="299"/>
      <c r="L9" s="305" t="s">
        <v>697</v>
      </c>
      <c r="M9" s="306">
        <f ca="1">INDIRECT("'数据-取费表'!ab"&amp;$G$1)</f>
        <v>0</v>
      </c>
    </row>
    <row r="10" spans="1:37" ht="18" customHeight="1">
      <c r="A10" s="1006" t="s">
        <v>402</v>
      </c>
      <c r="B10" s="1273" t="s">
        <v>698</v>
      </c>
      <c r="C10" s="308">
        <f ca="1">ROUND(IF(F10="押一",C6/12*F11,IF(F10="押二",C6/12*2*F11,IF(F10="押三",C6/12*3*F11,C11*F11))),0)</f>
        <v>11</v>
      </c>
      <c r="D10" s="150" t="s">
        <v>2111</v>
      </c>
      <c r="E10" s="305" t="s">
        <v>699</v>
      </c>
      <c r="F10" s="1053" t="s">
        <v>4332</v>
      </c>
      <c r="G10" s="1291"/>
      <c r="H10" s="1006" t="s">
        <v>402</v>
      </c>
      <c r="I10" s="1273" t="s">
        <v>698</v>
      </c>
      <c r="J10" s="293">
        <f ca="1">ROUND(IF(M10="押一",J6/12*M11,IF(M10="押二",J6/12*2*M11,IF(M10="押三",J6/12*3*M11,J11*M11))),0)</f>
        <v>0</v>
      </c>
      <c r="K10" s="150" t="s">
        <v>2110</v>
      </c>
      <c r="L10" s="305" t="s">
        <v>699</v>
      </c>
      <c r="M10" s="1053"/>
    </row>
    <row r="11" spans="1:37" ht="18" customHeight="1">
      <c r="A11" s="300"/>
      <c r="B11" s="1274" t="s">
        <v>677</v>
      </c>
      <c r="C11" s="905"/>
      <c r="D11" s="1275"/>
      <c r="E11" s="305" t="s">
        <v>700</v>
      </c>
      <c r="F11" s="306">
        <f ca="1">'数据-取费表'!B39</f>
        <v>1.4999999999999999E-2</v>
      </c>
      <c r="G11" s="1291"/>
      <c r="H11" s="1014"/>
      <c r="I11" s="1274" t="s">
        <v>677</v>
      </c>
      <c r="J11" s="905"/>
      <c r="K11" s="646"/>
      <c r="L11" s="305" t="s">
        <v>700</v>
      </c>
      <c r="M11" s="809">
        <f ca="1">'数据-取费表'!B39</f>
        <v>1.4999999999999999E-2</v>
      </c>
    </row>
    <row r="12" spans="1:37" ht="18" customHeight="1" thickBot="1">
      <c r="A12" s="1020" t="s">
        <v>437</v>
      </c>
      <c r="B12" s="1276" t="s">
        <v>701</v>
      </c>
      <c r="C12" s="1021"/>
      <c r="D12" s="1022"/>
      <c r="E12" s="1027"/>
      <c r="F12" s="1023"/>
      <c r="G12" s="1291"/>
      <c r="H12" s="1020" t="s">
        <v>437</v>
      </c>
      <c r="I12" s="1276" t="s">
        <v>701</v>
      </c>
      <c r="J12" s="1021"/>
      <c r="K12" s="1035"/>
      <c r="L12" s="1027"/>
      <c r="M12" s="1036"/>
    </row>
    <row r="13" spans="1:37" ht="18" customHeight="1" thickTop="1">
      <c r="A13" s="1016">
        <v>2</v>
      </c>
      <c r="B13" s="1017" t="s">
        <v>702</v>
      </c>
      <c r="C13" s="302">
        <f ca="1">ROUND(C29*F13,0)</f>
        <v>53671</v>
      </c>
      <c r="D13" s="1018" t="s">
        <v>703</v>
      </c>
      <c r="E13" s="1018" t="s">
        <v>704</v>
      </c>
      <c r="F13" s="1019">
        <f ca="1">INDIRECT("'数据-取费表'!y"&amp;$G$1)</f>
        <v>0.95</v>
      </c>
      <c r="G13" s="1291"/>
      <c r="H13" s="1016">
        <v>2</v>
      </c>
      <c r="I13" s="1017" t="s">
        <v>702</v>
      </c>
      <c r="J13" s="1005">
        <f ca="1">ROUND(J14*J15,0)</f>
        <v>0</v>
      </c>
      <c r="K13" s="1024" t="s">
        <v>703</v>
      </c>
      <c r="L13" s="1298"/>
      <c r="M13" s="1299"/>
    </row>
    <row r="14" spans="1:37" ht="18" customHeight="1">
      <c r="A14" s="928" t="s">
        <v>397</v>
      </c>
      <c r="B14" s="294" t="s">
        <v>705</v>
      </c>
      <c r="C14" s="310">
        <f ca="1">INDIRECT("'数据-取费表'!m"&amp;$G$1)+INDIRECT("'数据-取费表'!t"&amp;$G$1)</f>
        <v>34329</v>
      </c>
      <c r="D14" s="1256" t="s">
        <v>706</v>
      </c>
      <c r="E14" s="1254"/>
      <c r="F14" s="311"/>
      <c r="G14" s="1291"/>
      <c r="H14" s="928" t="s">
        <v>398</v>
      </c>
      <c r="I14" s="294" t="s">
        <v>707</v>
      </c>
      <c r="J14" s="21">
        <f ca="1">C29</f>
        <v>56496</v>
      </c>
      <c r="K14" s="12"/>
      <c r="L14" s="759"/>
      <c r="M14" s="760"/>
    </row>
    <row r="15" spans="1:37" s="1303" customFormat="1" ht="18" customHeight="1" thickBot="1">
      <c r="A15" s="928" t="s">
        <v>399</v>
      </c>
      <c r="B15" s="294" t="s">
        <v>708</v>
      </c>
      <c r="C15" s="21">
        <f ca="1">ROUND(C14*F15,0)</f>
        <v>1716</v>
      </c>
      <c r="D15" s="312" t="s">
        <v>709</v>
      </c>
      <c r="E15" s="312" t="s">
        <v>710</v>
      </c>
      <c r="F15" s="313">
        <f>'数据-取费表'!B33</f>
        <v>0.05</v>
      </c>
      <c r="G15" s="1302"/>
      <c r="H15" s="1026" t="s">
        <v>402</v>
      </c>
      <c r="I15" s="1027" t="s">
        <v>704</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678</v>
      </c>
      <c r="B16" s="294" t="s">
        <v>711</v>
      </c>
      <c r="C16" s="21">
        <f ca="1">ROUND(INDIRECT("'数据-取费表'!m"&amp;$G$1)*F16,0)</f>
        <v>0</v>
      </c>
      <c r="D16" s="294" t="s">
        <v>709</v>
      </c>
      <c r="E16" s="294" t="s">
        <v>710</v>
      </c>
      <c r="F16" s="314">
        <f ca="1">IF(INDIRECT("'数据-取费表'!c"&amp;$G$1)="住宅",'数据-取费表'!B34,0)</f>
        <v>0</v>
      </c>
      <c r="G16" s="1291"/>
      <c r="H16" s="1016" t="s">
        <v>393</v>
      </c>
      <c r="I16" s="1017" t="s">
        <v>712</v>
      </c>
      <c r="J16" s="302">
        <f ca="1">ROUND(J17+J22+J23+J24,0)</f>
        <v>342</v>
      </c>
      <c r="K16" s="1024" t="s">
        <v>713</v>
      </c>
      <c r="L16" s="1025"/>
      <c r="M16" s="1009"/>
    </row>
    <row r="17" spans="1:37" s="1303" customFormat="1" ht="18" customHeight="1">
      <c r="A17" s="928" t="s">
        <v>679</v>
      </c>
      <c r="B17" s="294" t="s">
        <v>714</v>
      </c>
      <c r="C17" s="21">
        <f ca="1">ROUND(F17*(F43+INDIRECT("'数据-取费表'!S"&amp;$G$1))/10000,0)</f>
        <v>1320</v>
      </c>
      <c r="D17" s="294" t="s">
        <v>715</v>
      </c>
      <c r="E17" s="294" t="s">
        <v>716</v>
      </c>
      <c r="F17" s="23">
        <f>'数据-取费表'!B35</f>
        <v>200</v>
      </c>
      <c r="G17" s="1302"/>
      <c r="H17" s="928" t="s">
        <v>398</v>
      </c>
      <c r="I17" s="294" t="s">
        <v>717</v>
      </c>
      <c r="J17" s="2139">
        <f ca="1">ROUND(IF(AND(项目基本情况!B11="自然人",项目基本情况!B10="北京市"),J6*M17/(1+'数据-取费表'!C42),J18+J19+J20),2)</f>
        <v>3.04</v>
      </c>
      <c r="K17" s="1256" t="s">
        <v>718</v>
      </c>
      <c r="L17" s="1255" t="s">
        <v>719</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680</v>
      </c>
      <c r="B18" s="294" t="s">
        <v>720</v>
      </c>
      <c r="C18" s="21">
        <f ca="1">ROUND(C14*F18,0)</f>
        <v>1030</v>
      </c>
      <c r="D18" s="294" t="s">
        <v>709</v>
      </c>
      <c r="E18" s="294" t="s">
        <v>710</v>
      </c>
      <c r="F18" s="314">
        <f>'数据-取费表'!B36</f>
        <v>0.03</v>
      </c>
      <c r="G18" s="1302"/>
      <c r="H18" s="928" t="s">
        <v>397</v>
      </c>
      <c r="I18" s="294" t="s">
        <v>721</v>
      </c>
      <c r="J18" s="21">
        <f ca="1">ROUND(J6*M18/(1+'数据-取费表'!C42),2)</f>
        <v>0</v>
      </c>
      <c r="K18" s="1255" t="s">
        <v>722</v>
      </c>
      <c r="L18" s="294" t="s">
        <v>710</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723</v>
      </c>
      <c r="C19" s="21">
        <f ca="1">SUM(C14:C18)</f>
        <v>38395</v>
      </c>
      <c r="D19" s="123" t="s">
        <v>724</v>
      </c>
      <c r="E19" s="1268"/>
      <c r="F19" s="23"/>
      <c r="G19" s="1291"/>
      <c r="H19" s="928" t="s">
        <v>399</v>
      </c>
      <c r="I19" s="294" t="s">
        <v>725</v>
      </c>
      <c r="J19" s="21">
        <f ca="1">IF(K19="按租金收入计税",ROUND(J6*M19/(1+'数据-取费表'!C42),2),ROUND(C29*M19*0.7,2))</f>
        <v>0</v>
      </c>
      <c r="K19" s="1277" t="s">
        <v>3330</v>
      </c>
      <c r="L19" s="294" t="s">
        <v>710</v>
      </c>
      <c r="M19" s="314">
        <f>IF(K19="按租金收入计税",'数据-取费表'!B51,'数据-取费表'!B50)</f>
        <v>0.12</v>
      </c>
    </row>
    <row r="20" spans="1:37" s="1303" customFormat="1" ht="18" customHeight="1">
      <c r="A20" s="928" t="s">
        <v>402</v>
      </c>
      <c r="B20" s="294" t="s">
        <v>726</v>
      </c>
      <c r="C20" s="21">
        <f ca="1">ROUND(C19*F20,0)</f>
        <v>1152</v>
      </c>
      <c r="D20" s="315" t="s">
        <v>727</v>
      </c>
      <c r="E20" s="294" t="s">
        <v>710</v>
      </c>
      <c r="F20" s="314">
        <f>'数据-取费表'!B37</f>
        <v>0.03</v>
      </c>
      <c r="G20" s="1302"/>
      <c r="H20" s="928" t="s">
        <v>678</v>
      </c>
      <c r="I20" s="147" t="s">
        <v>728</v>
      </c>
      <c r="J20" s="22">
        <f ca="1">ROUND(M20*M21/10000,2)</f>
        <v>3.04</v>
      </c>
      <c r="K20" s="316" t="s">
        <v>729</v>
      </c>
      <c r="L20" s="294" t="s">
        <v>730</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731</v>
      </c>
      <c r="C21" s="21" t="s">
        <v>15</v>
      </c>
      <c r="D21" s="315" t="s">
        <v>732</v>
      </c>
      <c r="E21" s="294" t="s">
        <v>733</v>
      </c>
      <c r="F21" s="314">
        <f>'数据-取费表'!B38</f>
        <v>0.03</v>
      </c>
      <c r="G21" s="1302"/>
      <c r="H21" s="318"/>
      <c r="I21" s="303"/>
      <c r="J21" s="26"/>
      <c r="K21" s="319"/>
      <c r="L21" s="294" t="s">
        <v>734</v>
      </c>
      <c r="M21" s="295">
        <f ca="1">INDIRECT("'数据-取费表'!r"&amp;$G$1)</f>
        <v>20242.14</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8"/>
      <c r="F22" s="23"/>
      <c r="G22" s="1291"/>
      <c r="H22" s="928" t="s">
        <v>402</v>
      </c>
      <c r="I22" s="294" t="s">
        <v>736</v>
      </c>
      <c r="J22" s="21">
        <f ca="1">ROUND(J14*M22,2)</f>
        <v>338.98</v>
      </c>
      <c r="K22" s="1255" t="s">
        <v>737</v>
      </c>
      <c r="L22" s="294" t="s">
        <v>710</v>
      </c>
      <c r="M22" s="320">
        <f ca="1">INDIRECT("'数据-取费表'!Ak"&amp;$G$1)</f>
        <v>6.0000000000000001E-3</v>
      </c>
    </row>
    <row r="23" spans="1:37" s="1303" customFormat="1" ht="18" customHeight="1">
      <c r="A23" s="928" t="s">
        <v>397</v>
      </c>
      <c r="B23" s="294" t="s">
        <v>738</v>
      </c>
      <c r="C23" s="21">
        <f ca="1">IF('数据-取费表'!B22&lt;=1,ROUND(C19*F24*F23/2,0)+ROUND(C20*F24*F23/2,0),ROUND(C19*(POWER((1+F24),F23/2)-1),0)+ROUND(C20*(POWER((1+F24),F23/2)-1),0))</f>
        <v>1853</v>
      </c>
      <c r="D23" s="138" t="str">
        <f>IF(F23&lt;=1,"(建造成本+管理费用)×利率×(建设周期÷2)","(建造成本+管理费用)×((1+利率)^(建设周期÷2)-1)")</f>
        <v>(建造成本+管理费用)×((1+利率)^(建设周期÷2)-1)</v>
      </c>
      <c r="E23" s="294" t="s">
        <v>739</v>
      </c>
      <c r="F23" s="317">
        <f>'数据-取费表'!B20</f>
        <v>3</v>
      </c>
      <c r="G23" s="1302"/>
      <c r="H23" s="928" t="s">
        <v>437</v>
      </c>
      <c r="I23" s="294" t="s">
        <v>740</v>
      </c>
      <c r="J23" s="21">
        <f ca="1">ROUND(J13*M23,2)</f>
        <v>0</v>
      </c>
      <c r="K23" s="1255" t="s">
        <v>741</v>
      </c>
      <c r="L23" s="294" t="s">
        <v>742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743</v>
      </c>
      <c r="B24" s="294" t="s">
        <v>744</v>
      </c>
      <c r="C24" s="21">
        <f ca="1">ROUND(IF('数据-取费表'!B22&lt;=1,F21*F24*F23/2,F21*(POWER((1+F24),F23/2)-1)),4)</f>
        <v>1.4E-3</v>
      </c>
      <c r="D24" s="138" t="str">
        <f>IF(F23&lt;=1,"销售费用×利率×(建设周期÷2)","销售费用×((1+利率)^(建设周期÷2)-1)")</f>
        <v>销售费用×((1+利率)^(建设周期÷2)-1)</v>
      </c>
      <c r="E24" s="294" t="s">
        <v>745</v>
      </c>
      <c r="F24" s="322">
        <f ca="1">'数据-取费表'!B40</f>
        <v>3.1E-2</v>
      </c>
      <c r="G24" s="1302"/>
      <c r="H24" s="1026" t="s">
        <v>682</v>
      </c>
      <c r="I24" s="1027" t="s">
        <v>726</v>
      </c>
      <c r="J24" s="1028">
        <f ca="1">ROUND(J5*M24,2)</f>
        <v>0</v>
      </c>
      <c r="K24" s="1029" t="s">
        <v>746</v>
      </c>
      <c r="L24" s="1027" t="s">
        <v>742</v>
      </c>
      <c r="M24" s="1023">
        <f ca="1">INDIRECT("'数据-取费表'!Am"&amp;$G$1)</f>
        <v>1.4999999999999999E-2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747</v>
      </c>
      <c r="B25" s="294" t="s">
        <v>748</v>
      </c>
      <c r="C25" s="21"/>
      <c r="D25" s="123" t="s">
        <v>749</v>
      </c>
      <c r="E25" s="1268"/>
      <c r="F25" s="23"/>
      <c r="G25" s="1291"/>
      <c r="H25" s="1016" t="s">
        <v>394</v>
      </c>
      <c r="I25" s="1031" t="s">
        <v>750</v>
      </c>
      <c r="J25" s="302">
        <f ca="1">J5-J16</f>
        <v>-342</v>
      </c>
      <c r="K25" s="1032" t="s">
        <v>751</v>
      </c>
      <c r="L25" s="1033"/>
      <c r="M25" s="1034"/>
    </row>
    <row r="26" spans="1:37">
      <c r="A26" s="928" t="s">
        <v>397</v>
      </c>
      <c r="B26" s="294" t="s">
        <v>752</v>
      </c>
      <c r="C26" s="21">
        <f ca="1">ROUND((C19+C20)*F26,0)</f>
        <v>9887</v>
      </c>
      <c r="D26" s="315" t="s">
        <v>753</v>
      </c>
      <c r="E26" s="305" t="s">
        <v>754</v>
      </c>
      <c r="F26" s="304">
        <f ca="1">INDIRECT("'数据-取费表'!q"&amp;$G$1)</f>
        <v>0.25</v>
      </c>
      <c r="G26" s="1291"/>
      <c r="H26" s="291" t="s">
        <v>395</v>
      </c>
      <c r="I26" s="292" t="s">
        <v>755</v>
      </c>
      <c r="J26" s="293">
        <f ca="1">IF(J5&lt;&gt;0,ROUND(J25*(1-((1+M28)/(1+M26))^M27)/(M26-M28),0),0)</f>
        <v>0</v>
      </c>
      <c r="K26" s="316" t="s">
        <v>756</v>
      </c>
      <c r="L26" s="294" t="s">
        <v>757</v>
      </c>
      <c r="M26" s="304">
        <f ca="1">INDIRECT("'数据-取费表'!I"&amp;$G$1)</f>
        <v>0.06</v>
      </c>
    </row>
    <row r="27" spans="1:37" ht="18" customHeight="1">
      <c r="A27" s="928" t="s">
        <v>399</v>
      </c>
      <c r="B27" s="294" t="s">
        <v>758</v>
      </c>
      <c r="C27" s="21">
        <f ca="1">ROUND(F21*F26,4)</f>
        <v>7.4999999999999997E-3</v>
      </c>
      <c r="D27" s="315" t="s">
        <v>759</v>
      </c>
      <c r="E27" s="312"/>
      <c r="F27" s="313"/>
      <c r="G27" s="1291"/>
      <c r="H27" s="296"/>
      <c r="I27" s="297"/>
      <c r="J27" s="298"/>
      <c r="K27" s="323" t="s">
        <v>760</v>
      </c>
      <c r="L27" s="294" t="s">
        <v>761</v>
      </c>
      <c r="M27" s="324">
        <f ca="1">INDIRECT("'数据-取费表'!ag"&amp;$G$1)</f>
        <v>0</v>
      </c>
    </row>
    <row r="28" spans="1:37" s="1303" customFormat="1" ht="18" customHeight="1">
      <c r="A28" s="928" t="s">
        <v>400</v>
      </c>
      <c r="B28" s="294" t="s">
        <v>762</v>
      </c>
      <c r="C28" s="21">
        <f>ROUND(F28/(1+'数据-取费表'!C42),4)</f>
        <v>5.33E-2</v>
      </c>
      <c r="D28" s="315" t="s">
        <v>763</v>
      </c>
      <c r="E28" s="294" t="s">
        <v>710</v>
      </c>
      <c r="F28" s="314">
        <f>'数据-取费表'!B41</f>
        <v>5.6000000000000001E-2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765</v>
      </c>
      <c r="C29" s="1028">
        <f ca="1">ROUND((C19+C20+C23+C26)/(1-F21-C24-C27-C28),0)</f>
        <v>56496</v>
      </c>
      <c r="D29" s="1029"/>
      <c r="E29" s="1027"/>
      <c r="F29" s="1030"/>
      <c r="G29" s="1302"/>
      <c r="H29" s="325" t="s">
        <v>396</v>
      </c>
      <c r="I29" s="326" t="s">
        <v>766</v>
      </c>
      <c r="J29" s="327">
        <f ca="1">ROUND(J26/(1+F40)^F41,0)</f>
        <v>0</v>
      </c>
      <c r="K29" s="328" t="s">
        <v>767</v>
      </c>
      <c r="L29" s="329"/>
      <c r="M29" s="330">
        <f ca="1">INDIRECT("'数据-取费表'!k"&amp;$G$1)</f>
        <v>66017.299999999916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712</v>
      </c>
      <c r="C30" s="302">
        <f ca="1">ROUND(C31+C36+C37+C38,0)</f>
        <v>1980</v>
      </c>
      <c r="D30" s="1024" t="s">
        <v>713</v>
      </c>
      <c r="E30" s="1025"/>
      <c r="F30" s="1009"/>
      <c r="G30" s="1291"/>
      <c r="H30" s="2470"/>
      <c r="I30" s="1304"/>
      <c r="J30" s="1305"/>
      <c r="K30" s="121"/>
      <c r="L30" s="2471"/>
      <c r="M30" s="2472"/>
    </row>
    <row r="31" spans="1:37" ht="18" customHeight="1">
      <c r="A31" s="928" t="s">
        <v>398</v>
      </c>
      <c r="B31" s="294" t="s">
        <v>717</v>
      </c>
      <c r="C31" s="2139">
        <f ca="1">ROUND(IF(AND(项目基本情况!B11="自然人",项目基本情况!B10="北京市"),C6*F31/(1+'数据-取费表'!C42),C32+C33+C34),2)</f>
        <v>1457.14</v>
      </c>
      <c r="D31" s="1256" t="s">
        <v>718</v>
      </c>
      <c r="E31" s="1255" t="s">
        <v>768</v>
      </c>
      <c r="F31" s="2138" t="str">
        <f>IF(项目基本情况!B11="企业","——",IF(M47="住宅",IF(F6*F7*F8/12/(1+'数据-取费表'!F30)&gt;100000,4%,2.5%),IF(F6*F7*F8/12/(1+'数据-取费表'!F30)&gt;100000,12%,7%)))</f>
        <v>——</v>
      </c>
      <c r="G31" s="1291"/>
      <c r="H31" s="2569" t="s">
        <v>2302</v>
      </c>
      <c r="I31" s="1304"/>
      <c r="J31" s="1305"/>
      <c r="K31" s="121"/>
      <c r="L31" s="2471"/>
      <c r="M31" s="2472"/>
    </row>
    <row r="32" spans="1:37" ht="18" customHeight="1">
      <c r="A32" s="928" t="s">
        <v>397</v>
      </c>
      <c r="B32" s="294" t="s">
        <v>721</v>
      </c>
      <c r="C32" s="21">
        <f ca="1">IF(项目基本情况!B11="自然人","——",ROUND(C6*F32/(1+'数据-取费表'!C42),2))</f>
        <v>462.67</v>
      </c>
      <c r="D32" s="1255" t="s">
        <v>722</v>
      </c>
      <c r="E32" s="294" t="s">
        <v>710</v>
      </c>
      <c r="F32" s="322">
        <f>'数据-取费表'!B41</f>
        <v>5.6000000000000001E-2</v>
      </c>
      <c r="G32" s="1291"/>
      <c r="H32" s="2470"/>
      <c r="I32" s="1304"/>
      <c r="J32" s="1305"/>
      <c r="K32" s="121"/>
      <c r="L32" s="2471"/>
      <c r="M32" s="2472"/>
    </row>
    <row r="33" spans="1:18" ht="18" customHeight="1">
      <c r="A33" s="928" t="s">
        <v>399</v>
      </c>
      <c r="B33" s="294" t="s">
        <v>725</v>
      </c>
      <c r="C33" s="21">
        <f ca="1">IF(项目基本情况!B11="自然人","——",IF(D33="按租金收入计税",ROUND(C6*F33/(1+'数据-取费表'!C42),2),IF(D33="按房产原值计税",ROUND(C29*F33*0.7,2),INDIRECT("'数据-取费表'!Aj"&amp;$G$1))))</f>
        <v>991.43</v>
      </c>
      <c r="D33" s="1277" t="s">
        <v>3330</v>
      </c>
      <c r="E33" s="294" t="s">
        <v>710</v>
      </c>
      <c r="F33" s="314">
        <f>IF(D33="按票据","——",IF(D33="按租金收入计税",'数据-取费表'!B51,'数据-取费表'!B50))</f>
        <v>0.12</v>
      </c>
      <c r="G33" s="1291"/>
      <c r="H33" s="2473"/>
      <c r="I33" s="1304"/>
      <c r="J33" s="1305"/>
      <c r="K33" s="2474"/>
      <c r="L33" s="2473"/>
      <c r="M33" s="2473"/>
    </row>
    <row r="34" spans="1:18" ht="18" customHeight="1">
      <c r="A34" s="1006" t="s">
        <v>678</v>
      </c>
      <c r="B34" s="147" t="s">
        <v>728</v>
      </c>
      <c r="C34" s="22">
        <f ca="1">IF(项目基本情况!B11="自然人","——",ROUND(F34*F35/10000,2))</f>
        <v>3.04</v>
      </c>
      <c r="D34" s="316" t="s">
        <v>729</v>
      </c>
      <c r="E34" s="294" t="s">
        <v>730</v>
      </c>
      <c r="F34" s="317">
        <f>'数据-取费表'!B52</f>
        <v>1.5</v>
      </c>
      <c r="G34" s="1291"/>
      <c r="H34" s="2470"/>
      <c r="I34" s="1304"/>
      <c r="J34" s="1305"/>
      <c r="K34" s="2475"/>
      <c r="L34" s="2476"/>
      <c r="M34" s="2476"/>
    </row>
    <row r="35" spans="1:18" ht="18" customHeight="1">
      <c r="A35" s="1040"/>
      <c r="B35" s="1038"/>
      <c r="C35" s="26"/>
      <c r="D35" s="319"/>
      <c r="E35" s="294" t="s">
        <v>734</v>
      </c>
      <c r="F35" s="295">
        <f ca="1">INDIRECT("'数据-取费表'!r"&amp;$G$1)</f>
        <v>20242.14</v>
      </c>
      <c r="G35" s="1291"/>
      <c r="H35" s="2470"/>
      <c r="I35" s="1304"/>
      <c r="J35" s="1305"/>
      <c r="K35" s="2474"/>
      <c r="L35" s="2473"/>
      <c r="M35" s="2473"/>
    </row>
    <row r="36" spans="1:18" ht="18" customHeight="1">
      <c r="A36" s="1039" t="s">
        <v>402</v>
      </c>
      <c r="B36" s="294" t="s">
        <v>736</v>
      </c>
      <c r="C36" s="21">
        <f ca="1">ROUND(C29*F36,2)</f>
        <v>338.98</v>
      </c>
      <c r="D36" s="1255" t="s">
        <v>769</v>
      </c>
      <c r="E36" s="294" t="s">
        <v>710</v>
      </c>
      <c r="F36" s="320">
        <f ca="1">INDIRECT("'数据-取费表'!Ak"&amp;$G$1)</f>
        <v>6.0000000000000001E-3</v>
      </c>
      <c r="G36" s="1291"/>
      <c r="H36" s="2473"/>
      <c r="I36" s="1304"/>
      <c r="J36" s="1305"/>
      <c r="K36" s="2330"/>
      <c r="L36" s="2473"/>
      <c r="M36" s="2473"/>
    </row>
    <row r="37" spans="1:18" ht="18" customHeight="1">
      <c r="A37" s="928" t="s">
        <v>437</v>
      </c>
      <c r="B37" s="294" t="s">
        <v>740</v>
      </c>
      <c r="C37" s="21">
        <f ca="1">ROUND(C13*F37,2)</f>
        <v>53.67</v>
      </c>
      <c r="D37" s="1255" t="s">
        <v>741</v>
      </c>
      <c r="E37" s="294" t="s">
        <v>742</v>
      </c>
      <c r="F37" s="321">
        <f ca="1">INDIRECT("'数据-取费表'!Al"&amp;$G$1)</f>
        <v>1E-3</v>
      </c>
      <c r="G37" s="1291"/>
      <c r="H37" s="2473"/>
      <c r="I37" s="1304"/>
      <c r="J37" s="1305"/>
      <c r="K37" s="2330"/>
      <c r="L37" s="2473"/>
      <c r="M37" s="2473"/>
    </row>
    <row r="38" spans="1:18" ht="18" customHeight="1" thickBot="1">
      <c r="A38" s="1026" t="s">
        <v>682</v>
      </c>
      <c r="B38" s="1027" t="s">
        <v>726</v>
      </c>
      <c r="C38" s="1028">
        <f ca="1">ROUND(C5*F38,2)</f>
        <v>130.29</v>
      </c>
      <c r="D38" s="1029" t="s">
        <v>746</v>
      </c>
      <c r="E38" s="1027" t="s">
        <v>742</v>
      </c>
      <c r="F38" s="1023">
        <f ca="1">INDIRECT("'数据-取费表'!Am"&amp;$G$1)</f>
        <v>1.4999999999999999E-2</v>
      </c>
      <c r="G38" s="1291"/>
      <c r="H38" s="2473"/>
      <c r="I38" s="1304"/>
      <c r="J38" s="1305"/>
      <c r="K38" s="2471"/>
      <c r="L38" s="2473"/>
      <c r="M38" s="2473"/>
    </row>
    <row r="39" spans="1:18" ht="24.6" customHeight="1" thickTop="1">
      <c r="A39" s="1016" t="s">
        <v>394</v>
      </c>
      <c r="B39" s="1031" t="s">
        <v>770</v>
      </c>
      <c r="C39" s="302">
        <f ca="1">C5-C30</f>
        <v>6706</v>
      </c>
      <c r="D39" s="1032" t="s">
        <v>771</v>
      </c>
      <c r="E39" s="1033"/>
      <c r="F39" s="1034"/>
      <c r="G39" s="1291"/>
      <c r="H39" s="2473"/>
      <c r="I39" s="1304"/>
      <c r="J39" s="1305"/>
      <c r="K39" s="2471"/>
      <c r="L39" s="2473"/>
      <c r="M39" s="2473"/>
    </row>
    <row r="40" spans="1:18" ht="18" customHeight="1">
      <c r="A40" s="291" t="s">
        <v>395</v>
      </c>
      <c r="B40" s="292" t="s">
        <v>772</v>
      </c>
      <c r="C40" s="293">
        <f ca="1">ROUND(C39*(1-((1+F42)/(1+F40))^F41)/(F40-F42),0)</f>
        <v>94598</v>
      </c>
      <c r="D40" s="316" t="s">
        <v>756</v>
      </c>
      <c r="E40" s="294" t="s">
        <v>757</v>
      </c>
      <c r="F40" s="304">
        <f ca="1">INDIRECT("'数据-取费表'!I"&amp;$G$1)</f>
        <v>0.06</v>
      </c>
      <c r="G40" s="1291"/>
      <c r="H40" s="1365"/>
      <c r="I40" s="1304"/>
      <c r="J40" s="1305"/>
      <c r="K40" s="2471"/>
      <c r="L40" s="1365"/>
      <c r="M40" s="1365"/>
    </row>
    <row r="41" spans="1:18" ht="18" customHeight="1">
      <c r="A41" s="296"/>
      <c r="B41" s="297"/>
      <c r="C41" s="298"/>
      <c r="D41" s="323" t="s">
        <v>773</v>
      </c>
      <c r="E41" s="294" t="s">
        <v>761</v>
      </c>
      <c r="F41" s="324">
        <f ca="1">IF(INDIRECT("'数据-取费表'!af"&amp;$G$1)=0,INDIRECT("'数据-取费表'!ae"&amp;$G$1),INDIRECT("'数据-取费表'!af"&amp;$G$1))</f>
        <v>32.15</v>
      </c>
      <c r="G41" s="1291"/>
      <c r="H41" s="121"/>
      <c r="I41" s="1304"/>
      <c r="J41" s="1305"/>
      <c r="K41" s="2330"/>
      <c r="L41" s="121"/>
      <c r="M41" s="121"/>
    </row>
    <row r="42" spans="1:18" ht="18" customHeight="1">
      <c r="A42" s="300"/>
      <c r="B42" s="301"/>
      <c r="C42" s="302"/>
      <c r="D42" s="319"/>
      <c r="E42" s="294" t="s">
        <v>764</v>
      </c>
      <c r="F42" s="304">
        <f ca="1">INDIRECT("'数据-取费表'!v"&amp;$G$1)</f>
        <v>0</v>
      </c>
      <c r="G42" s="1291"/>
      <c r="H42" s="121"/>
      <c r="I42" s="1304"/>
      <c r="J42" s="1305"/>
      <c r="K42" s="2330"/>
      <c r="L42" s="121"/>
      <c r="M42" s="121"/>
    </row>
    <row r="43" spans="1:18" ht="18" customHeight="1" thickBot="1">
      <c r="A43" s="325" t="s">
        <v>396</v>
      </c>
      <c r="B43" s="326" t="s">
        <v>774</v>
      </c>
      <c r="C43" s="327">
        <f ca="1">ROUND(C40*10000/F43,0)</f>
        <v>14329</v>
      </c>
      <c r="D43" s="328" t="s">
        <v>775</v>
      </c>
      <c r="E43" s="329" t="s">
        <v>776</v>
      </c>
      <c r="F43" s="330">
        <f ca="1">INDIRECT("'数据-取费表'!k"&amp;$G$1)</f>
        <v>66017.299999999916</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806</v>
      </c>
      <c r="P45" s="1365"/>
      <c r="Q45" s="1365"/>
      <c r="R45" s="1365"/>
    </row>
    <row r="46" spans="1:18" s="1291" customFormat="1" ht="13.5" thickBot="1">
      <c r="A46" s="1310" t="s">
        <v>807</v>
      </c>
      <c r="C46" s="1311">
        <f ca="1">C68-C40</f>
        <v>-100184</v>
      </c>
      <c r="D46" s="1312" t="str">
        <f>C2</f>
        <v>万元</v>
      </c>
      <c r="E46" s="1306"/>
      <c r="F46" s="1306"/>
      <c r="I46" s="1313" t="s">
        <v>808</v>
      </c>
      <c r="J46" s="1314"/>
      <c r="K46" s="1315"/>
      <c r="L46" s="1316">
        <f ca="1">IF(M47="住宅",0,IF(L48&gt;J51,L60,J60))</f>
        <v>2287</v>
      </c>
      <c r="O46" s="1317" t="s">
        <v>809</v>
      </c>
      <c r="P46" s="1318" t="s">
        <v>810</v>
      </c>
      <c r="Q46" s="1319" t="s">
        <v>811</v>
      </c>
      <c r="R46" s="1319" t="s">
        <v>812</v>
      </c>
    </row>
    <row r="47" spans="1:18" s="1291" customFormat="1" ht="13.5" thickBot="1">
      <c r="A47" s="892" t="s">
        <v>685</v>
      </c>
      <c r="B47" s="924" t="s">
        <v>686</v>
      </c>
      <c r="C47" s="1054" t="s">
        <v>687</v>
      </c>
      <c r="D47" s="924" t="s">
        <v>688</v>
      </c>
      <c r="E47" s="995" t="s">
        <v>689</v>
      </c>
      <c r="F47" s="996"/>
      <c r="G47" s="681"/>
      <c r="I47" s="1320" t="s">
        <v>813</v>
      </c>
      <c r="J47" s="1321" t="s">
        <v>4333</v>
      </c>
      <c r="K47" s="1322" t="s">
        <v>814</v>
      </c>
      <c r="L47" s="1323">
        <f ca="1">INDIRECT("'数据-取费表'!d"&amp;$G$1)</f>
        <v>40</v>
      </c>
      <c r="M47" s="1287" t="str">
        <f>IF(ISNUMBER(FIND("住宅",C1)),"住宅","非住宅")</f>
        <v>非住宅</v>
      </c>
      <c r="O47" s="1324" t="s">
        <v>403</v>
      </c>
      <c r="P47" s="1325" t="s">
        <v>815</v>
      </c>
      <c r="Q47" s="1326">
        <f ca="1">C40+J29</f>
        <v>94598</v>
      </c>
      <c r="R47" s="1326" t="s">
        <v>816</v>
      </c>
    </row>
    <row r="48" spans="1:18" s="1291" customFormat="1" ht="28.5" thickBot="1">
      <c r="A48" s="1047" t="s">
        <v>438</v>
      </c>
      <c r="B48" s="292" t="s">
        <v>690</v>
      </c>
      <c r="C48" s="1267">
        <f ca="1">C49+C53+C55</f>
        <v>0</v>
      </c>
      <c r="D48" s="1049"/>
      <c r="E48" s="1050"/>
      <c r="F48" s="908"/>
      <c r="G48" s="681"/>
      <c r="H48" s="682"/>
      <c r="I48" s="1327" t="s">
        <v>817</v>
      </c>
      <c r="J48" s="1328" t="s">
        <v>4334</v>
      </c>
      <c r="K48" s="1329" t="s">
        <v>818</v>
      </c>
      <c r="L48" s="1330">
        <f ca="1">INDIRECT("'数据-取费表'!f"&amp;$G$1)</f>
        <v>32.15</v>
      </c>
      <c r="O48" s="1324" t="s">
        <v>404</v>
      </c>
      <c r="P48" s="1325" t="s">
        <v>819</v>
      </c>
      <c r="Q48" s="1326">
        <f ca="1">J60</f>
        <v>2287</v>
      </c>
      <c r="R48" s="1326" t="s">
        <v>820</v>
      </c>
    </row>
    <row r="49" spans="1:18" s="1291" customFormat="1" ht="13.5" thickBot="1">
      <c r="A49" s="921" t="s">
        <v>439</v>
      </c>
      <c r="B49" s="1278" t="s">
        <v>777</v>
      </c>
      <c r="C49" s="1051">
        <f ca="1">ROUND(F49*F51*F50*(1-F52)/10000,0)</f>
        <v>0</v>
      </c>
      <c r="D49" s="992" t="s">
        <v>2104</v>
      </c>
      <c r="E49" s="1279" t="s">
        <v>778</v>
      </c>
      <c r="F49" s="997"/>
      <c r="H49" s="682"/>
      <c r="I49" s="1327" t="s">
        <v>821</v>
      </c>
      <c r="J49" s="1331">
        <f>'数据-取费表'!N18</f>
        <v>2021</v>
      </c>
      <c r="K49" s="1329" t="s">
        <v>822</v>
      </c>
      <c r="L49" s="1332"/>
      <c r="O49" s="1333" t="s">
        <v>405</v>
      </c>
      <c r="P49" s="1325" t="s">
        <v>823</v>
      </c>
      <c r="Q49" s="1326">
        <f ca="1">C29</f>
        <v>56496</v>
      </c>
      <c r="R49" s="1326" t="s">
        <v>816</v>
      </c>
    </row>
    <row r="50" spans="1:18" s="1291" customFormat="1" ht="13.5" thickBot="1">
      <c r="A50" s="922"/>
      <c r="B50" s="925"/>
      <c r="C50" s="1055"/>
      <c r="D50" s="899"/>
      <c r="E50" s="993" t="s">
        <v>695</v>
      </c>
      <c r="F50" s="994">
        <f ca="1">F7</f>
        <v>66017.299999999916</v>
      </c>
      <c r="H50" s="682"/>
      <c r="I50" s="1327" t="s">
        <v>824</v>
      </c>
      <c r="J50" s="1334">
        <f>SUMPRODUCT((I63:I65=J47)*(J62:L62=J48)*(J63:L65))</f>
        <v>60</v>
      </c>
      <c r="K50" s="1329" t="s">
        <v>825</v>
      </c>
      <c r="L50" s="1332"/>
      <c r="M50" s="1335"/>
      <c r="O50" s="1333" t="s">
        <v>406</v>
      </c>
      <c r="P50" s="1325" t="s">
        <v>826</v>
      </c>
      <c r="Q50" s="1336">
        <f ca="1">J58</f>
        <v>0.41399999999999998</v>
      </c>
      <c r="R50" s="1326"/>
    </row>
    <row r="51" spans="1:18" s="1291" customFormat="1" ht="13.5" thickBot="1">
      <c r="A51" s="923"/>
      <c r="B51" s="925"/>
      <c r="C51" s="926"/>
      <c r="D51" s="899"/>
      <c r="E51" s="927" t="s">
        <v>696</v>
      </c>
      <c r="F51" s="295">
        <f ca="1">F8</f>
        <v>365</v>
      </c>
      <c r="I51" s="1337" t="s">
        <v>827</v>
      </c>
      <c r="J51" s="1330">
        <f>IF(J49="",J50,J49+J50-YEAR('数据-取费表'!B2))</f>
        <v>57</v>
      </c>
      <c r="K51" s="1338" t="s">
        <v>828</v>
      </c>
      <c r="L51" s="1339">
        <f ca="1">ROUND(-PV(INDIRECT("'数据-取费表'!h"&amp;$G$1),J51,(C39-C13*C76),0),0)</f>
        <v>50291</v>
      </c>
      <c r="M51" s="1340"/>
      <c r="O51" s="1333" t="s">
        <v>407</v>
      </c>
      <c r="P51" s="1325" t="s">
        <v>829</v>
      </c>
      <c r="Q51" s="1336">
        <f>J52</f>
        <v>7.4999999999999997E-2</v>
      </c>
      <c r="R51" s="1326"/>
    </row>
    <row r="52" spans="1:18" s="1291" customFormat="1" ht="13.5" thickBot="1">
      <c r="A52" s="923"/>
      <c r="B52" s="925"/>
      <c r="C52" s="926"/>
      <c r="D52" s="899"/>
      <c r="E52" s="927" t="s">
        <v>697</v>
      </c>
      <c r="F52" s="991"/>
      <c r="I52" s="1341" t="s">
        <v>830</v>
      </c>
      <c r="J52" s="1342">
        <v>7.4999999999999997E-2</v>
      </c>
      <c r="K52" s="1341" t="s">
        <v>831</v>
      </c>
      <c r="L52" s="1342"/>
      <c r="O52" s="1333" t="s">
        <v>408</v>
      </c>
      <c r="P52" s="1325" t="s">
        <v>832</v>
      </c>
      <c r="Q52" s="1326">
        <f ca="1">J53</f>
        <v>32.15</v>
      </c>
      <c r="R52" s="1326" t="s">
        <v>833</v>
      </c>
    </row>
    <row r="53" spans="1:18" s="1291" customFormat="1" ht="24.75" thickBot="1">
      <c r="A53" s="1079" t="s">
        <v>440</v>
      </c>
      <c r="B53" s="1280" t="s">
        <v>698</v>
      </c>
      <c r="C53" s="308">
        <f ca="1">ROUND(IF(F53="押一",C49/12*F11,IF(F53="押二",C49/12*2*F11,IF(F53="押三",C49/12*3*F11,C54*F11))),0)</f>
        <v>0</v>
      </c>
      <c r="D53" s="150" t="s">
        <v>2110</v>
      </c>
      <c r="E53" s="305" t="s">
        <v>699</v>
      </c>
      <c r="F53" s="1053"/>
      <c r="I53" s="1343" t="s">
        <v>834</v>
      </c>
      <c r="J53" s="2005">
        <f ca="1">IF(M47="住宅",IF(D1="——",MAX(J51,L48),MAX(J51,L48-'数据-取费表'!B24)),IF(D1="——",MIN(J51,L48),MIN(J51,L48-'数据-取费表'!B24)))</f>
        <v>32.15</v>
      </c>
      <c r="K53" s="3451" t="s">
        <v>835</v>
      </c>
      <c r="L53" s="3452"/>
      <c r="O53" s="1324" t="s">
        <v>409</v>
      </c>
      <c r="P53" s="1325" t="s">
        <v>836</v>
      </c>
      <c r="Q53" s="1326">
        <f ca="1">Q47+Q48</f>
        <v>96885</v>
      </c>
      <c r="R53" s="1326" t="s">
        <v>410</v>
      </c>
    </row>
    <row r="54" spans="1:18" s="1291" customFormat="1" ht="13.5" thickBot="1">
      <c r="A54" s="1080"/>
      <c r="B54" s="1274" t="s">
        <v>677</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837</v>
      </c>
      <c r="P54" s="1288"/>
      <c r="Q54" s="1288"/>
      <c r="R54" s="1288"/>
    </row>
    <row r="55" spans="1:18" s="1291" customFormat="1" ht="13.5" thickBot="1">
      <c r="A55" s="1020" t="s">
        <v>437</v>
      </c>
      <c r="B55" s="1276" t="s">
        <v>701</v>
      </c>
      <c r="C55" s="1021"/>
      <c r="D55" s="150"/>
      <c r="E55" s="1281"/>
      <c r="F55" s="1344"/>
      <c r="I55" s="1347" t="s">
        <v>838</v>
      </c>
      <c r="J55" s="1348">
        <f ca="1">ROUND(IF(J47="钢混",J57/J50,1-(1-2%)*(J50-J57)/J50),3)</f>
        <v>0.41399999999999998</v>
      </c>
      <c r="K55" s="1349" t="s">
        <v>839</v>
      </c>
      <c r="L55" s="1350"/>
      <c r="O55" s="1317" t="s">
        <v>809</v>
      </c>
      <c r="P55" s="1318" t="s">
        <v>810</v>
      </c>
      <c r="Q55" s="1319" t="s">
        <v>811</v>
      </c>
      <c r="R55" s="1319" t="s">
        <v>812</v>
      </c>
    </row>
    <row r="56" spans="1:18" s="1291" customFormat="1" ht="25.5" thickTop="1" thickBot="1">
      <c r="A56" s="903">
        <v>2</v>
      </c>
      <c r="B56" s="904" t="s">
        <v>702</v>
      </c>
      <c r="C56" s="224">
        <f ca="1">C13</f>
        <v>53671</v>
      </c>
      <c r="D56" s="1351"/>
      <c r="E56" s="1352"/>
      <c r="F56" s="1344"/>
      <c r="I56" s="1353" t="s">
        <v>840</v>
      </c>
      <c r="J56" s="1354" t="s">
        <v>3390</v>
      </c>
      <c r="K56" s="1327" t="s">
        <v>841</v>
      </c>
      <c r="L56" s="1330" t="str">
        <f ca="1">IF(L48&lt;J51,"——",L48-J53)</f>
        <v>——</v>
      </c>
      <c r="O56" s="1324" t="s">
        <v>403</v>
      </c>
      <c r="P56" s="1325" t="s">
        <v>815</v>
      </c>
      <c r="Q56" s="1326">
        <f ca="1">C40+J29</f>
        <v>94598</v>
      </c>
      <c r="R56" s="1326" t="s">
        <v>816</v>
      </c>
    </row>
    <row r="57" spans="1:18" s="1291" customFormat="1" ht="24.75" thickBot="1">
      <c r="A57" s="1355"/>
      <c r="B57" s="896" t="s">
        <v>765</v>
      </c>
      <c r="C57" s="230">
        <f ca="1">C29</f>
        <v>56496</v>
      </c>
      <c r="D57" s="1356"/>
      <c r="E57" s="1357"/>
      <c r="F57" s="1358"/>
      <c r="I57" s="1359" t="s">
        <v>842</v>
      </c>
      <c r="J57" s="1360">
        <f ca="1">IF(OR(M47="住宅",J51&lt;L48,J56="是"),"——",J51-L48)</f>
        <v>24.85</v>
      </c>
      <c r="K57" s="1327" t="s">
        <v>843</v>
      </c>
      <c r="L57" s="1330" t="str">
        <f ca="1">IF(L48&lt;J51,"——",IF(L55="比较法",L49,IF(L55="基准地价",L50,L51)))</f>
        <v>——</v>
      </c>
      <c r="O57" s="1324" t="s">
        <v>404</v>
      </c>
      <c r="P57" s="1325" t="s">
        <v>844</v>
      </c>
      <c r="Q57" s="1326">
        <f ca="1">L60</f>
        <v>0</v>
      </c>
      <c r="R57" s="1326" t="s">
        <v>845</v>
      </c>
    </row>
    <row r="58" spans="1:18" s="1291" customFormat="1" ht="24.75" thickBot="1">
      <c r="A58" s="307" t="s">
        <v>393</v>
      </c>
      <c r="B58" s="904" t="s">
        <v>712</v>
      </c>
      <c r="C58" s="308">
        <f ca="1">ROUND(C59+C64+C65+C66,0)</f>
        <v>396</v>
      </c>
      <c r="D58" s="906" t="s">
        <v>713</v>
      </c>
      <c r="E58" s="907"/>
      <c r="F58" s="908"/>
      <c r="I58" s="1359" t="s">
        <v>846</v>
      </c>
      <c r="J58" s="1361">
        <f ca="1">IF(J55&lt;0.4,0.4,J55)</f>
        <v>0.41399999999999998</v>
      </c>
      <c r="K58" s="1338" t="s">
        <v>847</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8" t="s">
        <v>398</v>
      </c>
      <c r="B59" s="896" t="s">
        <v>717</v>
      </c>
      <c r="C59" s="2139">
        <f ca="1">ROUND(IF(AND(项目基本情况!B11="自然人",项目基本情况!B10="北京市"),C49*F59/(1+'数据-取费表'!C42),C60+C61+C62),0)</f>
        <v>3</v>
      </c>
      <c r="D59" s="909" t="s">
        <v>718</v>
      </c>
      <c r="E59" s="910" t="s">
        <v>719</v>
      </c>
      <c r="F59" s="2138" t="str">
        <f>IF(项目基本情况!B11="企业","——",IF('数据-取费表'!B10="住宅",IF(F49*F50*F51/12/(1+'数据-取费表'!F30)&gt;100000,4%,2.5%),IF(F49*F50*F51/12/(1+'数据-取费表'!F30)&gt;100000,12%,7%)))</f>
        <v>——</v>
      </c>
      <c r="I59" s="1359" t="s">
        <v>849</v>
      </c>
      <c r="J59" s="1360">
        <f ca="1">IF(OR(M47="住宅",J51&lt;L48,J56="是"),"——",ROUND(C29*J58,0))</f>
        <v>23389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850</v>
      </c>
      <c r="Q59" s="1336">
        <f>L52</f>
        <v>0</v>
      </c>
      <c r="R59" s="1326"/>
    </row>
    <row r="60" spans="1:18" s="1291" customFormat="1" ht="16.5" thickBot="1">
      <c r="A60" s="928" t="s">
        <v>397</v>
      </c>
      <c r="B60" s="896" t="s">
        <v>721</v>
      </c>
      <c r="C60" s="21">
        <f ca="1">IF(项目基本情况!B11="自然人","——",ROUND(C48*F60/(1+'数据-取费表'!C42),2))</f>
        <v>0</v>
      </c>
      <c r="D60" s="910" t="s">
        <v>722</v>
      </c>
      <c r="E60" s="896" t="s">
        <v>710</v>
      </c>
      <c r="F60" s="322">
        <f t="shared" ref="F60:F66" si="0">F32</f>
        <v>5.6000000000000001E-2</v>
      </c>
      <c r="I60" s="1362" t="s">
        <v>851</v>
      </c>
      <c r="J60" s="1363">
        <f ca="1">IF(OR(M47="住宅",J51&lt;L48,J56="是"),"0",ROUND(J59/(1+J52)^J53,0))</f>
        <v>2287</v>
      </c>
      <c r="K60" s="1364" t="s">
        <v>852</v>
      </c>
      <c r="L60" s="1363">
        <f ca="1">IF(OR(M47="住宅",L48&lt;J51),0,ROUND(L57*(L58/L59-1),0))</f>
        <v>0</v>
      </c>
      <c r="O60" s="1333" t="s">
        <v>407</v>
      </c>
      <c r="P60" s="1325" t="s">
        <v>853</v>
      </c>
      <c r="Q60" s="1326" t="e">
        <f ca="1">L58</f>
        <v>#DIV/0!</v>
      </c>
      <c r="R60" s="1326" t="s">
        <v>854</v>
      </c>
    </row>
    <row r="61" spans="1:18" s="1291" customFormat="1" ht="13.5" thickBot="1">
      <c r="A61" s="928" t="s">
        <v>779</v>
      </c>
      <c r="B61" s="896" t="s">
        <v>780</v>
      </c>
      <c r="C61" s="21">
        <f ca="1">IF(项目基本情况!B11="自然人","——",IF(D61="按租金收入计税",ROUND(C49*F61/(1+'数据-取费表'!C42),2),IF(D61="按房产原值计税",ROUND(C57*F61*0.7,2),INDIRECT("'数据-取费表'!Aj"&amp;$G$1))))</f>
        <v>0</v>
      </c>
      <c r="D61" s="1277" t="s">
        <v>3330</v>
      </c>
      <c r="E61" s="896" t="s">
        <v>781</v>
      </c>
      <c r="F61" s="314">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8" t="s">
        <v>782</v>
      </c>
      <c r="B62" s="895" t="s">
        <v>783</v>
      </c>
      <c r="C62" s="22">
        <f ca="1">IF(项目基本情况!B11="自然人","——",ROUND(F62*F63/10000,2))</f>
        <v>3.04</v>
      </c>
      <c r="D62" s="911" t="s">
        <v>784</v>
      </c>
      <c r="E62" s="896" t="s">
        <v>785</v>
      </c>
      <c r="F62" s="317">
        <f t="shared" si="0"/>
        <v>1.5</v>
      </c>
      <c r="I62" s="1366" t="s">
        <v>856</v>
      </c>
      <c r="J62" s="610" t="s">
        <v>857</v>
      </c>
      <c r="K62" s="610" t="s">
        <v>858</v>
      </c>
      <c r="L62" s="610" t="s">
        <v>859</v>
      </c>
      <c r="M62" s="1367" t="s">
        <v>860</v>
      </c>
      <c r="O62" s="1324" t="s">
        <v>409</v>
      </c>
      <c r="P62" s="1325" t="s">
        <v>861</v>
      </c>
      <c r="Q62" s="1326">
        <f ca="1">Q56+Q57</f>
        <v>94598</v>
      </c>
      <c r="R62" s="1326" t="s">
        <v>410</v>
      </c>
    </row>
    <row r="63" spans="1:18" s="1291" customFormat="1" ht="13.5" thickBot="1">
      <c r="A63" s="318"/>
      <c r="B63" s="902"/>
      <c r="C63" s="26"/>
      <c r="D63" s="912"/>
      <c r="E63" s="896" t="s">
        <v>786</v>
      </c>
      <c r="F63" s="295">
        <f t="shared" ca="1" si="0"/>
        <v>20242.14</v>
      </c>
      <c r="I63" s="1366" t="s">
        <v>862</v>
      </c>
      <c r="J63" s="610">
        <v>70</v>
      </c>
      <c r="K63" s="610">
        <v>50</v>
      </c>
      <c r="L63" s="610">
        <v>80</v>
      </c>
      <c r="M63" s="1368">
        <v>0.02</v>
      </c>
      <c r="O63" s="1309" t="s">
        <v>863</v>
      </c>
      <c r="P63" s="1288"/>
      <c r="Q63" s="1288"/>
      <c r="R63" s="1288"/>
    </row>
    <row r="64" spans="1:18" s="1291" customFormat="1" ht="13.5" thickBot="1">
      <c r="A64" s="928" t="s">
        <v>787</v>
      </c>
      <c r="B64" s="896" t="s">
        <v>788</v>
      </c>
      <c r="C64" s="21">
        <f ca="1">ROUND(C57*F64,2)</f>
        <v>338.98</v>
      </c>
      <c r="D64" s="910" t="s">
        <v>789</v>
      </c>
      <c r="E64" s="896" t="s">
        <v>781</v>
      </c>
      <c r="F64" s="320">
        <f t="shared" ca="1" si="0"/>
        <v>6.0000000000000001E-3</v>
      </c>
      <c r="I64" s="1366" t="s">
        <v>864</v>
      </c>
      <c r="J64" s="610">
        <v>50</v>
      </c>
      <c r="K64" s="610">
        <v>35</v>
      </c>
      <c r="L64" s="610">
        <v>60</v>
      </c>
      <c r="M64" s="1367">
        <v>0</v>
      </c>
      <c r="O64" s="1317" t="s">
        <v>809</v>
      </c>
      <c r="P64" s="1318" t="s">
        <v>810</v>
      </c>
      <c r="Q64" s="1319" t="s">
        <v>811</v>
      </c>
      <c r="R64" s="1319" t="s">
        <v>812</v>
      </c>
    </row>
    <row r="65" spans="1:18" s="1291" customFormat="1" ht="13.5" thickBot="1">
      <c r="A65" s="928" t="s">
        <v>790</v>
      </c>
      <c r="B65" s="896" t="s">
        <v>740</v>
      </c>
      <c r="C65" s="21">
        <f ca="1">ROUND(C56*F65,2)</f>
        <v>53.67</v>
      </c>
      <c r="D65" s="910" t="s">
        <v>741</v>
      </c>
      <c r="E65" s="896" t="s">
        <v>742</v>
      </c>
      <c r="F65" s="321">
        <f t="shared" ca="1" si="0"/>
        <v>1E-3</v>
      </c>
      <c r="I65" s="1366" t="s">
        <v>865</v>
      </c>
      <c r="J65" s="610">
        <v>40</v>
      </c>
      <c r="K65" s="610">
        <v>30</v>
      </c>
      <c r="L65" s="610">
        <v>50</v>
      </c>
      <c r="M65" s="1368">
        <v>0.02</v>
      </c>
      <c r="O65" s="1324" t="s">
        <v>403</v>
      </c>
      <c r="P65" s="1325" t="s">
        <v>866</v>
      </c>
      <c r="Q65" s="1326">
        <f ca="1">C40+J29</f>
        <v>94598</v>
      </c>
      <c r="R65" s="1326" t="s">
        <v>816</v>
      </c>
    </row>
    <row r="66" spans="1:18" s="1291" customFormat="1" ht="16.5" thickBot="1">
      <c r="A66" s="928" t="s">
        <v>791</v>
      </c>
      <c r="B66" s="896" t="s">
        <v>726</v>
      </c>
      <c r="C66" s="21">
        <f ca="1">ROUND(C48*F66,2)</f>
        <v>0</v>
      </c>
      <c r="D66" s="910" t="s">
        <v>792</v>
      </c>
      <c r="E66" s="896" t="s">
        <v>710</v>
      </c>
      <c r="F66" s="304">
        <f t="shared" ca="1" si="0"/>
        <v>1.4999999999999999E-2</v>
      </c>
      <c r="O66" s="1324" t="s">
        <v>404</v>
      </c>
      <c r="P66" s="1325" t="s">
        <v>844</v>
      </c>
      <c r="Q66" s="1326">
        <f ca="1">L60</f>
        <v>0</v>
      </c>
      <c r="R66" s="1326" t="s">
        <v>867</v>
      </c>
    </row>
    <row r="67" spans="1:18" s="1291" customFormat="1" ht="16.5" thickBot="1">
      <c r="A67" s="903" t="s">
        <v>394</v>
      </c>
      <c r="B67" s="913" t="s">
        <v>750</v>
      </c>
      <c r="C67" s="308">
        <f ca="1">C48-C58</f>
        <v>-396</v>
      </c>
      <c r="D67" s="909" t="s">
        <v>751</v>
      </c>
      <c r="E67" s="914"/>
      <c r="F67" s="915"/>
      <c r="O67" s="1333" t="s">
        <v>405</v>
      </c>
      <c r="P67" s="1325" t="s">
        <v>848</v>
      </c>
      <c r="Q67" s="1369">
        <f ca="1">L51</f>
        <v>50291</v>
      </c>
      <c r="R67" s="1326" t="s">
        <v>868</v>
      </c>
    </row>
    <row r="68" spans="1:18" s="1291" customFormat="1" ht="16.5" thickBot="1">
      <c r="A68" s="893" t="s">
        <v>395</v>
      </c>
      <c r="B68" s="894" t="s">
        <v>772</v>
      </c>
      <c r="C68" s="293">
        <f ca="1">ROUND(C67*(1-((1+F70)/(1+F68))^F69)/(F68-F70),0)</f>
        <v>-5586</v>
      </c>
      <c r="D68" s="911" t="s">
        <v>756</v>
      </c>
      <c r="E68" s="896" t="s">
        <v>757</v>
      </c>
      <c r="F68" s="304">
        <f ca="1">F40</f>
        <v>0.06</v>
      </c>
      <c r="O68" s="1333" t="s">
        <v>406</v>
      </c>
      <c r="P68" s="1370" t="s">
        <v>869</v>
      </c>
      <c r="Q68" s="1326">
        <f ca="1">ROUND(Q69-Q70*Q71,0)</f>
        <v>2681</v>
      </c>
      <c r="R68" s="1326" t="s">
        <v>414</v>
      </c>
    </row>
    <row r="69" spans="1:18" s="1291" customFormat="1" ht="13.5" thickBot="1">
      <c r="A69" s="897"/>
      <c r="B69" s="898"/>
      <c r="C69" s="298"/>
      <c r="D69" s="916" t="s">
        <v>760</v>
      </c>
      <c r="E69" s="896" t="s">
        <v>761</v>
      </c>
      <c r="F69" s="324">
        <f ca="1">F41</f>
        <v>32.15</v>
      </c>
      <c r="O69" s="1333" t="s">
        <v>411</v>
      </c>
      <c r="P69" s="1370" t="s">
        <v>870</v>
      </c>
      <c r="Q69" s="1326">
        <f ca="1">C39</f>
        <v>6706</v>
      </c>
      <c r="R69" s="1326" t="s">
        <v>816</v>
      </c>
    </row>
    <row r="70" spans="1:18" s="1291" customFormat="1" ht="13.5" thickBot="1">
      <c r="A70" s="900"/>
      <c r="B70" s="901"/>
      <c r="C70" s="302"/>
      <c r="D70" s="912"/>
      <c r="E70" s="896" t="s">
        <v>764</v>
      </c>
      <c r="F70" s="991"/>
      <c r="O70" s="1333" t="s">
        <v>412</v>
      </c>
      <c r="P70" s="1370" t="s">
        <v>871</v>
      </c>
      <c r="Q70" s="1326">
        <f ca="1">C13</f>
        <v>53671</v>
      </c>
      <c r="R70" s="1326" t="s">
        <v>816</v>
      </c>
    </row>
    <row r="71" spans="1:18" s="1291" customFormat="1" ht="13.5" thickBot="1">
      <c r="A71" s="917" t="s">
        <v>396</v>
      </c>
      <c r="B71" s="918" t="s">
        <v>774</v>
      </c>
      <c r="C71" s="327">
        <f ca="1">ROUND(C68*10000/F71,0)</f>
        <v>-846</v>
      </c>
      <c r="D71" s="919" t="s">
        <v>775</v>
      </c>
      <c r="E71" s="920" t="s">
        <v>776</v>
      </c>
      <c r="F71" s="330">
        <f ca="1">F43</f>
        <v>66017.299999999916</v>
      </c>
      <c r="O71" s="1333" t="s">
        <v>413</v>
      </c>
      <c r="P71" s="1370" t="s">
        <v>872</v>
      </c>
      <c r="Q71" s="1336">
        <f ca="1">C76</f>
        <v>7.4999999999999997E-2</v>
      </c>
      <c r="R71" s="1326"/>
    </row>
    <row r="72" spans="1:18" s="1291" customFormat="1" ht="13.5" thickBot="1">
      <c r="B72" s="685"/>
      <c r="C72" s="685"/>
      <c r="O72" s="1333" t="s">
        <v>407</v>
      </c>
      <c r="P72" s="1325" t="s">
        <v>850</v>
      </c>
      <c r="Q72" s="1336">
        <f>L52</f>
        <v>0</v>
      </c>
      <c r="R72" s="1326"/>
    </row>
    <row r="73" spans="1:18" ht="16.5" thickBot="1">
      <c r="A73" s="1291"/>
      <c r="B73" s="685"/>
      <c r="C73" s="685"/>
      <c r="D73" s="1291"/>
      <c r="E73" s="1291"/>
      <c r="F73" s="1291"/>
      <c r="O73" s="1333" t="s">
        <v>408</v>
      </c>
      <c r="P73" s="1325" t="s">
        <v>853</v>
      </c>
      <c r="Q73" s="1326" t="e">
        <f ca="1">L58</f>
        <v>#DIV/0!</v>
      </c>
      <c r="R73" s="1326" t="s">
        <v>854</v>
      </c>
    </row>
    <row r="74" spans="1:18" ht="13.5" thickBot="1">
      <c r="A74" s="1291"/>
      <c r="B74" s="265"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1" t="s">
        <v>793</v>
      </c>
      <c r="C75" s="332">
        <f ca="1">ROUND(C13*C76,0)</f>
        <v>4025</v>
      </c>
      <c r="D75" s="1291"/>
      <c r="E75" s="1291"/>
      <c r="F75" s="1291"/>
      <c r="K75" s="1308"/>
      <c r="L75" s="1291"/>
      <c r="O75" s="1324" t="s">
        <v>409</v>
      </c>
      <c r="P75" s="1325" t="s">
        <v>836</v>
      </c>
      <c r="Q75" s="1326">
        <f ca="1">Q65+Q66</f>
        <v>94598</v>
      </c>
      <c r="R75" s="1326" t="s">
        <v>410</v>
      </c>
    </row>
    <row r="76" spans="1:18">
      <c r="B76" s="333" t="s">
        <v>794</v>
      </c>
      <c r="C76" s="334">
        <f ca="1">INDIRECT("'数据-取费表'!j"&amp;$G$1)</f>
        <v>7.4999999999999997E-2</v>
      </c>
      <c r="I76" s="1291"/>
      <c r="J76" s="1291"/>
      <c r="K76" s="1308"/>
      <c r="L76" s="1291"/>
    </row>
    <row r="77" spans="1:18">
      <c r="B77" s="335" t="s">
        <v>795</v>
      </c>
      <c r="C77" s="336"/>
      <c r="I77" s="1291"/>
      <c r="J77" s="1291"/>
      <c r="K77" s="1308"/>
      <c r="L77" s="1291"/>
    </row>
    <row r="78" spans="1:18">
      <c r="B78" s="262" t="s">
        <v>796</v>
      </c>
      <c r="C78" s="337"/>
    </row>
    <row r="79" spans="1:18">
      <c r="B79" s="331" t="s">
        <v>797</v>
      </c>
      <c r="C79" s="266">
        <f ca="1">1-C80</f>
        <v>0.4</v>
      </c>
    </row>
    <row r="80" spans="1:18">
      <c r="B80" s="331" t="s">
        <v>798</v>
      </c>
      <c r="C80" s="266">
        <f ca="1">ROUND(C75/C39,3)</f>
        <v>0.6</v>
      </c>
    </row>
    <row r="81" spans="2:3">
      <c r="B81" s="262" t="s">
        <v>799</v>
      </c>
      <c r="C81" s="230"/>
    </row>
    <row r="82" spans="2:3">
      <c r="B82" s="265" t="s">
        <v>800</v>
      </c>
      <c r="C82" s="267">
        <f ca="1">1-C83</f>
        <v>0.43300000000000005</v>
      </c>
    </row>
    <row r="83" spans="2:3">
      <c r="B83" s="265" t="s">
        <v>801</v>
      </c>
      <c r="C83" s="266">
        <f ca="1">ROUND(C13/C40,3)</f>
        <v>0.56699999999999995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896</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897</v>
      </c>
    </row>
    <row r="6" spans="1:1" ht="18.75">
      <c r="A6" s="1383" t="s">
        <v>898</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估价对象为北京市房地产，为所有。根据《国有土地使用证》[]，估价对象（分摊）出让国有建设用地使用权面积为20242.14平方米，建筑面积为66017.2999999999平方米。</v>
      </c>
    </row>
    <row r="8" spans="1:1" ht="57.75">
      <c r="A8" s="1384" t="s">
        <v>899</v>
      </c>
    </row>
    <row r="9" spans="1:1" ht="18.75">
      <c r="A9" s="1383" t="s">
        <v>900</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估价对象为北京市房地产,属开发建设的商业项目，该项目尚在开发建设中。根据《国有土地使用证》[]，估价对象（分摊）出让国有建设用地使用权面积为20242.14平方米，规划建筑面积为66017.2999999999平方米。</v>
      </c>
    </row>
    <row r="11" spans="1:1" ht="76.5">
      <c r="A11" s="1384" t="s">
        <v>901</v>
      </c>
    </row>
    <row r="12" spans="1:1" ht="18.75">
      <c r="A12" s="1382" t="s">
        <v>902</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903</v>
      </c>
    </row>
    <row r="15" spans="1:1" ht="18">
      <c r="A15" s="1385" t="str">
        <f>TEXT(项目基本情况!D3,"yyyy年m月d日;;")&amp;IF(项目基本情况!D3=项目基本情况!B3,"（评估专业人员实地查勘之日）","")</f>
        <v>2024年11月8日（评估专业人员实地查勘之日）</v>
      </c>
    </row>
    <row r="16" spans="1:1" ht="18.75">
      <c r="A16" s="1380" t="s">
        <v>904</v>
      </c>
    </row>
    <row r="17" spans="1:1" ht="75">
      <c r="A17" s="1381" t="s">
        <v>905</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894</v>
      </c>
    </row>
    <row r="24" spans="1:1" ht="18">
      <c r="A24" s="1386" t="str">
        <f>"本次评估采用的主估价方法为"&amp;结果表!K4&amp;"和"&amp;结果表!L4&amp;"。"</f>
        <v>本次评估采用的主估价方法为成本法和收益法。</v>
      </c>
    </row>
    <row r="25" spans="1:1" ht="18">
      <c r="A25" s="1386"/>
    </row>
    <row r="26" spans="1:1" ht="18.75">
      <c r="A26" s="1387"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875</v>
      </c>
      <c r="B1" s="663"/>
      <c r="C1" s="1286"/>
      <c r="D1" s="1270" t="s">
        <v>43</v>
      </c>
      <c r="E1" s="1271" t="s">
        <v>676</v>
      </c>
      <c r="F1" s="999">
        <f ca="1">J53</f>
        <v>0</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876</v>
      </c>
      <c r="B2" s="3122" t="e">
        <f ca="1">ROUND(D2/10000,4)</f>
        <v>#DIV/0!</v>
      </c>
      <c r="C2" s="1288" t="s">
        <v>877</v>
      </c>
      <c r="D2" s="1374" t="e">
        <f ca="1">C40+J29+L46</f>
        <v>#DIV/0!</v>
      </c>
      <c r="E2" s="1294" t="s">
        <v>878</v>
      </c>
      <c r="F2" s="1295"/>
      <c r="G2" s="2478"/>
      <c r="H2" s="2468"/>
      <c r="I2" s="2468"/>
      <c r="J2" s="2468"/>
      <c r="K2" s="2469"/>
      <c r="L2" s="2468"/>
      <c r="M2" s="2468"/>
    </row>
    <row r="3" spans="1:37" ht="18" customHeight="1" thickBot="1">
      <c r="A3" s="1296" t="s">
        <v>879</v>
      </c>
      <c r="B3" s="1297">
        <f ca="1">IF(ISERROR(D2/F43),0,ROUND(D2/F43,0))</f>
        <v>0</v>
      </c>
      <c r="C3" s="1288" t="s">
        <v>880</v>
      </c>
      <c r="D3" s="1288"/>
      <c r="E3" s="1294"/>
      <c r="F3" s="1295"/>
      <c r="G3" s="2478"/>
      <c r="H3" s="649" t="s">
        <v>874</v>
      </c>
      <c r="I3" s="1289"/>
      <c r="J3" s="1289"/>
      <c r="K3" s="1290"/>
      <c r="L3" s="1289"/>
      <c r="M3" s="1289"/>
    </row>
    <row r="4" spans="1:37" ht="18" customHeight="1">
      <c r="A4" s="287" t="s">
        <v>881</v>
      </c>
      <c r="B4" s="288" t="s">
        <v>882</v>
      </c>
      <c r="C4" s="288" t="s">
        <v>883</v>
      </c>
      <c r="D4" s="288" t="s">
        <v>884</v>
      </c>
      <c r="E4" s="289" t="s">
        <v>885</v>
      </c>
      <c r="F4" s="290"/>
      <c r="G4" s="1291"/>
      <c r="H4" s="287" t="s">
        <v>881</v>
      </c>
      <c r="I4" s="288" t="s">
        <v>882</v>
      </c>
      <c r="J4" s="288" t="s">
        <v>883</v>
      </c>
      <c r="K4" s="288" t="s">
        <v>884</v>
      </c>
      <c r="L4" s="289" t="s">
        <v>885</v>
      </c>
      <c r="M4" s="290"/>
    </row>
    <row r="5" spans="1:37" ht="18" customHeight="1">
      <c r="A5" s="291">
        <v>1</v>
      </c>
      <c r="B5" s="292" t="s">
        <v>886</v>
      </c>
      <c r="C5" s="1007">
        <f ca="1">C6+C10+C12</f>
        <v>0</v>
      </c>
      <c r="D5" s="1272" t="s">
        <v>887</v>
      </c>
      <c r="E5" s="1008"/>
      <c r="F5" s="1009"/>
      <c r="G5" s="1291"/>
      <c r="H5" s="291">
        <v>1</v>
      </c>
      <c r="I5" s="292" t="s">
        <v>886</v>
      </c>
      <c r="J5" s="1007">
        <f ca="1">J6+J10+J12</f>
        <v>0</v>
      </c>
      <c r="K5" s="1272" t="s">
        <v>887</v>
      </c>
      <c r="L5" s="1008"/>
      <c r="M5" s="1009"/>
    </row>
    <row r="6" spans="1:37" ht="18" customHeight="1">
      <c r="A6" s="1006" t="s">
        <v>398</v>
      </c>
      <c r="B6" s="3453" t="s">
        <v>692</v>
      </c>
      <c r="C6" s="1011">
        <f ca="1">ROUND(F6*F8*F7*(1-F9),0)</f>
        <v>0</v>
      </c>
      <c r="D6" s="147" t="s">
        <v>2100</v>
      </c>
      <c r="E6" s="294" t="s">
        <v>694</v>
      </c>
      <c r="F6" s="295">
        <f ca="1">INDIRECT("'数据-取费表'!u"&amp;$G$1)</f>
        <v>0</v>
      </c>
      <c r="G6" s="1291"/>
      <c r="H6" s="1006" t="s">
        <v>398</v>
      </c>
      <c r="I6" s="3453" t="s">
        <v>692</v>
      </c>
      <c r="J6" s="293">
        <f ca="1">ROUND(M6*M8*M7*(1-M9),0)</f>
        <v>0</v>
      </c>
      <c r="K6" s="1283" t="s">
        <v>2101</v>
      </c>
      <c r="L6" s="294" t="s">
        <v>694</v>
      </c>
      <c r="M6" s="295">
        <f ca="1">INDIRECT("'数据-取费表'!z"&amp;$G$1)</f>
        <v>0</v>
      </c>
    </row>
    <row r="7" spans="1:37" ht="18" customHeight="1">
      <c r="A7" s="1010"/>
      <c r="B7" s="3454"/>
      <c r="C7" s="1012"/>
      <c r="D7" s="299"/>
      <c r="E7" s="1013" t="s">
        <v>695</v>
      </c>
      <c r="F7" s="295">
        <f ca="1">IF(INDIRECT("'数据-取费表'!ah"&amp;$G$1)="",INDIRECT("'数据-取费表'!k"&amp;$G$1),INDIRECT("'数据-取费表'!ah"&amp;$G$1))</f>
        <v>0</v>
      </c>
      <c r="G7" s="1291"/>
      <c r="H7" s="296"/>
      <c r="I7" s="3454"/>
      <c r="J7" s="298"/>
      <c r="K7" s="299"/>
      <c r="L7" s="294" t="s">
        <v>695</v>
      </c>
      <c r="M7" s="295">
        <f ca="1">F7</f>
        <v>0</v>
      </c>
    </row>
    <row r="8" spans="1:37" ht="18" customHeight="1">
      <c r="A8" s="296"/>
      <c r="B8" s="3454"/>
      <c r="C8" s="298"/>
      <c r="D8" s="299"/>
      <c r="E8" s="294" t="s">
        <v>696</v>
      </c>
      <c r="F8" s="295">
        <f ca="1">INDIRECT("'数据-取费表'!ai"&amp;$G$1)</f>
        <v>0</v>
      </c>
      <c r="G8" s="1291"/>
      <c r="H8" s="296"/>
      <c r="I8" s="3454"/>
      <c r="J8" s="298"/>
      <c r="K8" s="299"/>
      <c r="L8" s="294" t="s">
        <v>696</v>
      </c>
      <c r="M8" s="295">
        <f ca="1">INDIRECT("'数据-取费表'!ai"&amp;$G$1)</f>
        <v>0</v>
      </c>
    </row>
    <row r="9" spans="1:37" ht="18" customHeight="1">
      <c r="A9" s="296"/>
      <c r="B9" s="3455"/>
      <c r="C9" s="298"/>
      <c r="D9" s="299"/>
      <c r="E9" s="294" t="s">
        <v>697</v>
      </c>
      <c r="F9" s="304">
        <f ca="1">INDIRECT("'数据-取费表'!w"&amp;$G$1)</f>
        <v>0</v>
      </c>
      <c r="G9" s="1291"/>
      <c r="H9" s="296"/>
      <c r="I9" s="3455"/>
      <c r="J9" s="298"/>
      <c r="K9" s="299"/>
      <c r="L9" s="305" t="s">
        <v>697</v>
      </c>
      <c r="M9" s="306">
        <f ca="1">INDIRECT("'数据-取费表'!ab"&amp;$G$1)</f>
        <v>0</v>
      </c>
    </row>
    <row r="10" spans="1:37" ht="18" customHeight="1">
      <c r="A10" s="1006" t="s">
        <v>402</v>
      </c>
      <c r="B10" s="1273" t="s">
        <v>698</v>
      </c>
      <c r="C10" s="308">
        <f ca="1">ROUND(IF(F10="押一",C6/12*F11,IF(F10="押二",C6/12*2*F11,IF(F10="押三",C6/12*3*F11,C11*F11))),0)</f>
        <v>0</v>
      </c>
      <c r="D10" s="150" t="s">
        <v>2110</v>
      </c>
      <c r="E10" s="305" t="s">
        <v>699</v>
      </c>
      <c r="F10" s="1053"/>
      <c r="G10" s="1291"/>
      <c r="H10" s="1006" t="s">
        <v>402</v>
      </c>
      <c r="I10" s="1273" t="s">
        <v>698</v>
      </c>
      <c r="J10" s="293">
        <f ca="1">ROUND(IF(M10="押一",J6/12*M11,IF(M10="押二",J6/12*2*M11,IF(M10="押三",J6/12*3*M11,J11*M11))),0)</f>
        <v>0</v>
      </c>
      <c r="K10" s="1284" t="s">
        <v>2112</v>
      </c>
      <c r="L10" s="305" t="s">
        <v>699</v>
      </c>
      <c r="M10" s="1053"/>
    </row>
    <row r="11" spans="1:37" ht="18" customHeight="1">
      <c r="A11" s="300"/>
      <c r="B11" s="1274" t="s">
        <v>888</v>
      </c>
      <c r="C11" s="905"/>
      <c r="D11" s="299"/>
      <c r="E11" s="305" t="s">
        <v>700</v>
      </c>
      <c r="F11" s="306">
        <f ca="1">'数据-取费表'!B39</f>
        <v>1.4999999999999999E-2</v>
      </c>
      <c r="G11" s="1291"/>
      <c r="H11" s="1014"/>
      <c r="I11" s="1274" t="s">
        <v>889</v>
      </c>
      <c r="J11" s="905"/>
      <c r="K11" s="646"/>
      <c r="L11" s="305" t="s">
        <v>700</v>
      </c>
      <c r="M11" s="809">
        <f ca="1">'数据-取费表'!B39</f>
        <v>1.4999999999999999E-2</v>
      </c>
    </row>
    <row r="12" spans="1:37" ht="18" customHeight="1" thickBot="1">
      <c r="A12" s="1020" t="s">
        <v>437</v>
      </c>
      <c r="B12" s="1276" t="s">
        <v>701</v>
      </c>
      <c r="C12" s="1021"/>
      <c r="D12" s="1022"/>
      <c r="E12" s="1027"/>
      <c r="F12" s="1023"/>
      <c r="G12" s="1291"/>
      <c r="H12" s="1020" t="s">
        <v>437</v>
      </c>
      <c r="I12" s="1276" t="s">
        <v>701</v>
      </c>
      <c r="J12" s="1021"/>
      <c r="K12" s="1035"/>
      <c r="L12" s="1027"/>
      <c r="M12" s="1036"/>
    </row>
    <row r="13" spans="1:37" ht="18" customHeight="1" thickTop="1">
      <c r="A13" s="1016">
        <v>2</v>
      </c>
      <c r="B13" s="1017" t="s">
        <v>702</v>
      </c>
      <c r="C13" s="302">
        <f ca="1">ROUND(C29*F13,0)</f>
        <v>0</v>
      </c>
      <c r="D13" s="1018" t="s">
        <v>703</v>
      </c>
      <c r="E13" s="1018" t="s">
        <v>704</v>
      </c>
      <c r="F13" s="1019">
        <f ca="1">INDIRECT("'数据-取费表'!y"&amp;$G$1)</f>
        <v>0</v>
      </c>
      <c r="G13" s="1291"/>
      <c r="H13" s="1016">
        <v>2</v>
      </c>
      <c r="I13" s="1017" t="s">
        <v>702</v>
      </c>
      <c r="J13" s="1005">
        <f ca="1">ROUND(J14*J15,0)</f>
        <v>0</v>
      </c>
      <c r="K13" s="1024" t="s">
        <v>703</v>
      </c>
      <c r="L13" s="1298"/>
      <c r="M13" s="1299"/>
    </row>
    <row r="14" spans="1:37" ht="18" customHeight="1">
      <c r="A14" s="928" t="s">
        <v>397</v>
      </c>
      <c r="B14" s="294" t="s">
        <v>705</v>
      </c>
      <c r="C14" s="310">
        <f ca="1">ROUND(INDIRECT("'数据-取费表'!l"&amp;$G$1)*F43+'数据-取费表'!L14*INDIRECT("'数据-取费表'!S"&amp;$G$1),0)</f>
        <v>0</v>
      </c>
      <c r="D14" s="1256" t="s">
        <v>706</v>
      </c>
      <c r="E14" s="1254"/>
      <c r="F14" s="311"/>
      <c r="G14" s="1291"/>
      <c r="H14" s="928" t="s">
        <v>398</v>
      </c>
      <c r="I14" s="294" t="s">
        <v>707</v>
      </c>
      <c r="J14" s="21">
        <f ca="1">C29</f>
        <v>0</v>
      </c>
      <c r="K14" s="12"/>
      <c r="L14" s="759"/>
      <c r="M14" s="760"/>
    </row>
    <row r="15" spans="1:37" s="1303" customFormat="1" ht="18" customHeight="1" thickBot="1">
      <c r="A15" s="928" t="s">
        <v>399</v>
      </c>
      <c r="B15" s="294" t="s">
        <v>708</v>
      </c>
      <c r="C15" s="21">
        <f ca="1">ROUND(C14*F15,0)</f>
        <v>0</v>
      </c>
      <c r="D15" s="312" t="s">
        <v>709</v>
      </c>
      <c r="E15" s="312" t="s">
        <v>710</v>
      </c>
      <c r="F15" s="313">
        <f>'数据-取费表'!B33</f>
        <v>0.05</v>
      </c>
      <c r="G15" s="1302"/>
      <c r="H15" s="1026" t="s">
        <v>402</v>
      </c>
      <c r="I15" s="1027" t="s">
        <v>704</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678</v>
      </c>
      <c r="B16" s="294" t="s">
        <v>711</v>
      </c>
      <c r="C16" s="21">
        <f ca="1">ROUND(INDIRECT("'数据-取费表'!l"&amp;$G$1)*F43*F16,0)</f>
        <v>0</v>
      </c>
      <c r="D16" s="294" t="s">
        <v>709</v>
      </c>
      <c r="E16" s="294" t="s">
        <v>710</v>
      </c>
      <c r="F16" s="314">
        <f ca="1">IF(INDIRECT("'数据-取费表'!c"&amp;$G$1)="住宅",'数据-取费表'!B34,0)</f>
        <v>0</v>
      </c>
      <c r="G16" s="1291"/>
      <c r="H16" s="1016" t="s">
        <v>393</v>
      </c>
      <c r="I16" s="1017" t="s">
        <v>712</v>
      </c>
      <c r="J16" s="302">
        <f ca="1">ROUND(J17+J22+J23+J24,0)</f>
        <v>0</v>
      </c>
      <c r="K16" s="1024" t="s">
        <v>713</v>
      </c>
      <c r="L16" s="1025"/>
      <c r="M16" s="1009"/>
    </row>
    <row r="17" spans="1:37" s="1303" customFormat="1" ht="18" customHeight="1">
      <c r="A17" s="928" t="s">
        <v>679</v>
      </c>
      <c r="B17" s="294" t="s">
        <v>714</v>
      </c>
      <c r="C17" s="21">
        <f ca="1">ROUND(F17*(F43+INDIRECT("'数据-取费表'!S"&amp;$G$1)),0)</f>
        <v>0</v>
      </c>
      <c r="D17" s="294" t="s">
        <v>715</v>
      </c>
      <c r="E17" s="294" t="s">
        <v>716</v>
      </c>
      <c r="F17" s="23">
        <f>'数据-取费表'!B35</f>
        <v>200</v>
      </c>
      <c r="G17" s="1302"/>
      <c r="H17" s="928" t="s">
        <v>398</v>
      </c>
      <c r="I17" s="294" t="s">
        <v>717</v>
      </c>
      <c r="J17" s="2139">
        <f ca="1">ROUND(IF(AND(项目基本情况!B11="自然人",项目基本情况!B10="北京市"),J6*M17/(1+'数据-取费表'!C42),J18+J19+J20),0)</f>
        <v>0</v>
      </c>
      <c r="K17" s="1256" t="s">
        <v>718</v>
      </c>
      <c r="L17" s="1255" t="s">
        <v>719</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680</v>
      </c>
      <c r="B18" s="294" t="s">
        <v>720</v>
      </c>
      <c r="C18" s="21">
        <f ca="1">ROUND(C14*F18,0)</f>
        <v>0</v>
      </c>
      <c r="D18" s="294" t="s">
        <v>709</v>
      </c>
      <c r="E18" s="294" t="s">
        <v>710</v>
      </c>
      <c r="F18" s="314">
        <f>'数据-取费表'!B36</f>
        <v>0.03</v>
      </c>
      <c r="G18" s="1302"/>
      <c r="H18" s="928" t="s">
        <v>397</v>
      </c>
      <c r="I18" s="294" t="s">
        <v>721</v>
      </c>
      <c r="J18" s="21">
        <f ca="1">ROUND(J6*M18/(1+'数据-取费表'!C42),0)</f>
        <v>0</v>
      </c>
      <c r="K18" s="1255" t="s">
        <v>722</v>
      </c>
      <c r="L18" s="294" t="s">
        <v>710</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723</v>
      </c>
      <c r="C19" s="21">
        <f ca="1">SUM(C14:C18)</f>
        <v>0</v>
      </c>
      <c r="D19" s="123" t="s">
        <v>724</v>
      </c>
      <c r="E19" s="1268"/>
      <c r="F19" s="23"/>
      <c r="G19" s="1291"/>
      <c r="H19" s="928" t="s">
        <v>399</v>
      </c>
      <c r="I19" s="294" t="s">
        <v>725</v>
      </c>
      <c r="J19" s="21">
        <f ca="1">IF(K19="按租金收入计税",ROUND(J6*M19/(1+'数据-取费表'!C42),0),ROUND(C29*M19*0.7,0))</f>
        <v>0</v>
      </c>
      <c r="K19" s="1277" t="s">
        <v>3330</v>
      </c>
      <c r="L19" s="294" t="s">
        <v>710</v>
      </c>
      <c r="M19" s="314">
        <f>IF(K19="按租金收入计税",'数据-取费表'!B51,'数据-取费表'!B50)</f>
        <v>0.12</v>
      </c>
    </row>
    <row r="20" spans="1:37" s="1303" customFormat="1" ht="18" customHeight="1">
      <c r="A20" s="928" t="s">
        <v>402</v>
      </c>
      <c r="B20" s="294" t="s">
        <v>726</v>
      </c>
      <c r="C20" s="21">
        <f ca="1">ROUND(C19*F20,0)</f>
        <v>0</v>
      </c>
      <c r="D20" s="315" t="s">
        <v>727</v>
      </c>
      <c r="E20" s="294" t="s">
        <v>710</v>
      </c>
      <c r="F20" s="314">
        <f>'数据-取费表'!B37</f>
        <v>0.03</v>
      </c>
      <c r="G20" s="1302"/>
      <c r="H20" s="928" t="s">
        <v>678</v>
      </c>
      <c r="I20" s="147" t="s">
        <v>728</v>
      </c>
      <c r="J20" s="22">
        <f ca="1">ROUND(M20*M21,0)</f>
        <v>0</v>
      </c>
      <c r="K20" s="316" t="s">
        <v>729</v>
      </c>
      <c r="L20" s="294" t="s">
        <v>730</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731</v>
      </c>
      <c r="C21" s="21" t="s">
        <v>0</v>
      </c>
      <c r="D21" s="315" t="s">
        <v>732</v>
      </c>
      <c r="E21" s="294" t="s">
        <v>733</v>
      </c>
      <c r="F21" s="314">
        <f>'数据-取费表'!B38</f>
        <v>0.03</v>
      </c>
      <c r="G21" s="1302"/>
      <c r="H21" s="318"/>
      <c r="I21" s="303"/>
      <c r="J21" s="26"/>
      <c r="K21" s="319"/>
      <c r="L21" s="294" t="s">
        <v>734</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681</v>
      </c>
      <c r="B22" s="294" t="s">
        <v>735</v>
      </c>
      <c r="C22" s="21"/>
      <c r="D22" s="123" t="str">
        <f>IF(F23&lt;=1,"单利计息。","复利计息。")&amp;"建造成本、管理费用、销售费用产生的利息。"</f>
        <v>复利计息。建造成本、管理费用、销售费用产生的利息。</v>
      </c>
      <c r="E22" s="1268"/>
      <c r="F22" s="23"/>
      <c r="G22" s="1291"/>
      <c r="H22" s="928" t="s">
        <v>402</v>
      </c>
      <c r="I22" s="294" t="s">
        <v>736</v>
      </c>
      <c r="J22" s="21">
        <f ca="1">ROUND(J14*M22,0)</f>
        <v>0</v>
      </c>
      <c r="K22" s="1255" t="s">
        <v>737</v>
      </c>
      <c r="L22" s="294" t="s">
        <v>710</v>
      </c>
      <c r="M22" s="320">
        <f ca="1">INDIRECT("'数据-取费表'!Ak"&amp;$G$1)</f>
        <v>0</v>
      </c>
    </row>
    <row r="23" spans="1:37" s="1303" customFormat="1" ht="18" customHeight="1">
      <c r="A23" s="928"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3</v>
      </c>
      <c r="G23" s="1302"/>
      <c r="H23" s="928" t="s">
        <v>437</v>
      </c>
      <c r="I23" s="294" t="s">
        <v>740</v>
      </c>
      <c r="J23" s="21">
        <f ca="1">ROUND(J13*M23,0)</f>
        <v>0</v>
      </c>
      <c r="K23" s="1255" t="s">
        <v>741</v>
      </c>
      <c r="L23" s="294" t="s">
        <v>742</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743</v>
      </c>
      <c r="B24" s="294" t="s">
        <v>744</v>
      </c>
      <c r="C24" s="21">
        <f ca="1">ROUND(IF('数据-取费表'!B22&lt;=1,F21*F24*F23/2,F21*(POWER((1+F24),F23/2)-1)),4)</f>
        <v>1.4E-3</v>
      </c>
      <c r="D24" s="138" t="str">
        <f>IF(F23&lt;=1,"销售费用×利率×(建设周期÷2)","销售费用×((1+利率)^(建设周期÷2)-1)")</f>
        <v>销售费用×((1+利率)^(建设周期÷2)-1)</v>
      </c>
      <c r="E24" s="294" t="s">
        <v>745</v>
      </c>
      <c r="F24" s="322">
        <f ca="1">'数据-取费表'!B40</f>
        <v>3.1E-2</v>
      </c>
      <c r="G24" s="1302"/>
      <c r="H24" s="1026" t="s">
        <v>682</v>
      </c>
      <c r="I24" s="1027" t="s">
        <v>726</v>
      </c>
      <c r="J24" s="1028">
        <f ca="1">ROUND(J5*M24,0)</f>
        <v>0</v>
      </c>
      <c r="K24" s="1029" t="s">
        <v>746</v>
      </c>
      <c r="L24" s="1027" t="s">
        <v>742</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747</v>
      </c>
      <c r="B25" s="294" t="s">
        <v>748</v>
      </c>
      <c r="C25" s="21"/>
      <c r="D25" s="123" t="s">
        <v>749</v>
      </c>
      <c r="E25" s="1268"/>
      <c r="F25" s="23"/>
      <c r="G25" s="1291"/>
      <c r="H25" s="1016" t="s">
        <v>394</v>
      </c>
      <c r="I25" s="1031" t="s">
        <v>750</v>
      </c>
      <c r="J25" s="302">
        <f ca="1">J5-J16</f>
        <v>0</v>
      </c>
      <c r="K25" s="1032" t="s">
        <v>751</v>
      </c>
      <c r="L25" s="1033"/>
      <c r="M25" s="1034"/>
    </row>
    <row r="26" spans="1:37" ht="18" customHeight="1">
      <c r="A26" s="928" t="s">
        <v>397</v>
      </c>
      <c r="B26" s="294" t="s">
        <v>752</v>
      </c>
      <c r="C26" s="21">
        <f ca="1">ROUND((C19+C20)*F26,0)</f>
        <v>0</v>
      </c>
      <c r="D26" s="315" t="s">
        <v>753</v>
      </c>
      <c r="E26" s="305" t="s">
        <v>754</v>
      </c>
      <c r="F26" s="304">
        <f ca="1">INDIRECT("'数据-取费表'!q"&amp;$G$1)</f>
        <v>0</v>
      </c>
      <c r="G26" s="1291"/>
      <c r="H26" s="291" t="s">
        <v>395</v>
      </c>
      <c r="I26" s="292" t="s">
        <v>755</v>
      </c>
      <c r="J26" s="293">
        <f ca="1">IF(J5&lt;&gt;0,ROUND(J25*(1-((1+M28)/(1+M26))^M27)/(M26-M28),0),0)</f>
        <v>0</v>
      </c>
      <c r="K26" s="316" t="s">
        <v>756</v>
      </c>
      <c r="L26" s="294" t="s">
        <v>757</v>
      </c>
      <c r="M26" s="304">
        <f ca="1">INDIRECT("'数据-取费表'!I"&amp;$G$1)</f>
        <v>0</v>
      </c>
    </row>
    <row r="27" spans="1:37" ht="18" customHeight="1">
      <c r="A27" s="928" t="s">
        <v>399</v>
      </c>
      <c r="B27" s="294" t="s">
        <v>758</v>
      </c>
      <c r="C27" s="21">
        <f ca="1">ROUND(F21*F26,4)</f>
        <v>0</v>
      </c>
      <c r="D27" s="315" t="s">
        <v>759</v>
      </c>
      <c r="E27" s="312"/>
      <c r="F27" s="313"/>
      <c r="G27" s="1291"/>
      <c r="H27" s="296"/>
      <c r="I27" s="297"/>
      <c r="J27" s="298"/>
      <c r="K27" s="323" t="s">
        <v>760</v>
      </c>
      <c r="L27" s="294" t="s">
        <v>761</v>
      </c>
      <c r="M27" s="324">
        <f ca="1">INDIRECT("'数据-取费表'!ag"&amp;$G$1)</f>
        <v>0</v>
      </c>
    </row>
    <row r="28" spans="1:37" s="1303" customFormat="1" ht="18" customHeight="1">
      <c r="A28" s="928" t="s">
        <v>400</v>
      </c>
      <c r="B28" s="294" t="s">
        <v>762</v>
      </c>
      <c r="C28" s="21">
        <f>ROUND(F28/(1+'数据-取费表'!C42),4)</f>
        <v>5.33E-2</v>
      </c>
      <c r="D28" s="315" t="s">
        <v>763</v>
      </c>
      <c r="E28" s="294" t="s">
        <v>710</v>
      </c>
      <c r="F28" s="314">
        <f>'数据-取费表'!B41</f>
        <v>5.6000000000000001E-2</v>
      </c>
      <c r="G28" s="1302"/>
      <c r="H28" s="300"/>
      <c r="I28" s="301"/>
      <c r="J28" s="302"/>
      <c r="K28" s="319"/>
      <c r="L28" s="294" t="s">
        <v>764</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765</v>
      </c>
      <c r="C29" s="1028">
        <f ca="1">ROUND((C19+C20+C23+C26)/(1-F21-C24-C27-C28),0)</f>
        <v>0</v>
      </c>
      <c r="D29" s="1029"/>
      <c r="E29" s="1027"/>
      <c r="F29" s="1030"/>
      <c r="G29" s="1302"/>
      <c r="H29" s="325" t="s">
        <v>396</v>
      </c>
      <c r="I29" s="326" t="s">
        <v>766</v>
      </c>
      <c r="J29" s="327">
        <f ca="1">ROUND(J26/(1+F40)^F41,0)</f>
        <v>0</v>
      </c>
      <c r="K29" s="328" t="s">
        <v>767</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712</v>
      </c>
      <c r="C30" s="302">
        <f ca="1">ROUND(C31+C36+C37+C38,0)</f>
        <v>0</v>
      </c>
      <c r="D30" s="1024" t="s">
        <v>713</v>
      </c>
      <c r="E30" s="1025"/>
      <c r="F30" s="1009"/>
      <c r="G30" s="1291"/>
      <c r="H30" s="2470"/>
      <c r="I30" s="1304"/>
      <c r="J30" s="1305"/>
      <c r="K30" s="121"/>
      <c r="L30" s="2471"/>
      <c r="M30" s="2472"/>
    </row>
    <row r="31" spans="1:37" ht="18" customHeight="1">
      <c r="A31" s="928" t="s">
        <v>398</v>
      </c>
      <c r="B31" s="294" t="s">
        <v>717</v>
      </c>
      <c r="C31" s="2139">
        <f ca="1">ROUND(IF(AND(项目基本情况!B11="自然人",项目基本情况!B10="北京市"),C6*F31/(1+'数据-取费表'!C42),C32+C33+C34),0)</f>
        <v>0</v>
      </c>
      <c r="D31" s="1256" t="s">
        <v>718</v>
      </c>
      <c r="E31" s="1255" t="s">
        <v>768</v>
      </c>
      <c r="F31" s="2138" t="str">
        <f>IF(项目基本情况!B11="企业","——",IF(M47="住宅",IF(F6*F7*F8/12/(1+'数据-取费表'!F30)&gt;100000,4%,2.5%),IF(F6*F7*F8/12/(1+'数据-取费表'!F30)&gt;100000,12%,7%)))</f>
        <v>——</v>
      </c>
      <c r="G31" s="1291"/>
      <c r="H31" s="2569" t="s">
        <v>2302</v>
      </c>
      <c r="I31" s="1304"/>
      <c r="J31" s="1305"/>
      <c r="K31" s="121"/>
      <c r="L31" s="2471"/>
      <c r="M31" s="2472"/>
    </row>
    <row r="32" spans="1:37" ht="18" customHeight="1">
      <c r="A32" s="928" t="s">
        <v>397</v>
      </c>
      <c r="B32" s="294" t="s">
        <v>721</v>
      </c>
      <c r="C32" s="21">
        <f ca="1">IF(项目基本情况!B11="自然人","——",ROUND(C6*F32/(1+'数据-取费表'!C42),0))</f>
        <v>0</v>
      </c>
      <c r="D32" s="1255" t="s">
        <v>722</v>
      </c>
      <c r="E32" s="294" t="s">
        <v>710</v>
      </c>
      <c r="F32" s="322">
        <f>'数据-取费表'!B41</f>
        <v>5.6000000000000001E-2</v>
      </c>
      <c r="G32" s="1291"/>
      <c r="H32" s="2470"/>
      <c r="I32" s="1304"/>
      <c r="J32" s="1305"/>
      <c r="K32" s="121"/>
      <c r="L32" s="2471"/>
      <c r="M32" s="2472"/>
    </row>
    <row r="33" spans="1:18" ht="18" customHeight="1">
      <c r="A33" s="928" t="s">
        <v>399</v>
      </c>
      <c r="B33" s="294" t="s">
        <v>725</v>
      </c>
      <c r="C33" s="21">
        <f ca="1">IF(项目基本情况!B11="自然人","——",IF(D33="按租金收入计税",ROUND(C6*F33/(1+'数据-取费表'!C42),0),IF(D33="按房产原值计税",ROUND(C29*F33*0.7,0),INDIRECT("'数据-取费表'!Aj"&amp;$G$1))))</f>
        <v>0</v>
      </c>
      <c r="D33" s="1277" t="s">
        <v>3330</v>
      </c>
      <c r="E33" s="294" t="s">
        <v>710</v>
      </c>
      <c r="F33" s="314">
        <f>IF(D33="按票据","——",IF(D33="按租金收入计税",'数据-取费表'!B51,'数据-取费表'!B50))</f>
        <v>0.12</v>
      </c>
      <c r="G33" s="1291"/>
      <c r="H33" s="2473"/>
      <c r="I33" s="1304"/>
      <c r="J33" s="1305"/>
      <c r="K33" s="2474"/>
      <c r="L33" s="2473"/>
      <c r="M33" s="2473"/>
    </row>
    <row r="34" spans="1:18" ht="18" customHeight="1">
      <c r="A34" s="1006" t="s">
        <v>678</v>
      </c>
      <c r="B34" s="147" t="s">
        <v>728</v>
      </c>
      <c r="C34" s="22">
        <f ca="1">IF(项目基本情况!B11="自然人","——",ROUND(F34*F35,0))</f>
        <v>0</v>
      </c>
      <c r="D34" s="316" t="s">
        <v>729</v>
      </c>
      <c r="E34" s="294" t="s">
        <v>730</v>
      </c>
      <c r="F34" s="317">
        <f>'数据-取费表'!B52</f>
        <v>1.5</v>
      </c>
      <c r="G34" s="1291"/>
      <c r="H34" s="2470"/>
      <c r="I34" s="1304"/>
      <c r="J34" s="1305"/>
      <c r="K34" s="2475"/>
      <c r="L34" s="2476"/>
      <c r="M34" s="2476"/>
    </row>
    <row r="35" spans="1:18" ht="18" customHeight="1">
      <c r="A35" s="1040"/>
      <c r="B35" s="1038"/>
      <c r="C35" s="26"/>
      <c r="D35" s="319"/>
      <c r="E35" s="294" t="s">
        <v>734</v>
      </c>
      <c r="F35" s="295">
        <f ca="1">INDIRECT("'数据-取费表'!r"&amp;$G$1)</f>
        <v>0</v>
      </c>
      <c r="G35" s="1291"/>
      <c r="H35" s="2470"/>
      <c r="I35" s="1304"/>
      <c r="J35" s="1305"/>
      <c r="K35" s="2474"/>
      <c r="L35" s="2473"/>
      <c r="M35" s="2473"/>
    </row>
    <row r="36" spans="1:18" ht="18" customHeight="1">
      <c r="A36" s="1039" t="s">
        <v>402</v>
      </c>
      <c r="B36" s="294" t="s">
        <v>736</v>
      </c>
      <c r="C36" s="21">
        <f ca="1">ROUND(C29*F36,0)</f>
        <v>0</v>
      </c>
      <c r="D36" s="1255" t="s">
        <v>769</v>
      </c>
      <c r="E36" s="294" t="s">
        <v>710</v>
      </c>
      <c r="F36" s="320">
        <f ca="1">INDIRECT("'数据-取费表'!Ak"&amp;$G$1)</f>
        <v>0</v>
      </c>
      <c r="G36" s="1291"/>
      <c r="H36" s="2473"/>
      <c r="I36" s="1304"/>
      <c r="J36" s="1305"/>
      <c r="K36" s="2330"/>
      <c r="L36" s="2473"/>
      <c r="M36" s="2473"/>
    </row>
    <row r="37" spans="1:18" ht="18" customHeight="1">
      <c r="A37" s="928" t="s">
        <v>437</v>
      </c>
      <c r="B37" s="294" t="s">
        <v>740</v>
      </c>
      <c r="C37" s="21">
        <f ca="1">ROUND(C13*F37,0)</f>
        <v>0</v>
      </c>
      <c r="D37" s="1255" t="s">
        <v>741</v>
      </c>
      <c r="E37" s="294" t="s">
        <v>742</v>
      </c>
      <c r="F37" s="321">
        <f ca="1">INDIRECT("'数据-取费表'!Al"&amp;$G$1)</f>
        <v>0</v>
      </c>
      <c r="G37" s="1291"/>
      <c r="H37" s="2473"/>
      <c r="I37" s="1304"/>
      <c r="J37" s="1305"/>
      <c r="K37" s="2330"/>
      <c r="L37" s="2473"/>
      <c r="M37" s="2473"/>
    </row>
    <row r="38" spans="1:18" ht="18" customHeight="1" thickBot="1">
      <c r="A38" s="1026" t="s">
        <v>682</v>
      </c>
      <c r="B38" s="1027" t="s">
        <v>726</v>
      </c>
      <c r="C38" s="1028">
        <f ca="1">ROUND(C5*F38,0)</f>
        <v>0</v>
      </c>
      <c r="D38" s="1029" t="s">
        <v>746</v>
      </c>
      <c r="E38" s="1027" t="s">
        <v>742</v>
      </c>
      <c r="F38" s="1023">
        <f ca="1">INDIRECT("'数据-取费表'!Am"&amp;$G$1)</f>
        <v>0</v>
      </c>
      <c r="G38" s="1291"/>
      <c r="H38" s="2473"/>
      <c r="I38" s="1304"/>
      <c r="J38" s="1305"/>
      <c r="K38" s="2471"/>
      <c r="L38" s="2473"/>
      <c r="M38" s="2473"/>
    </row>
    <row r="39" spans="1:18" ht="24.6" customHeight="1" thickTop="1">
      <c r="A39" s="1016" t="s">
        <v>394</v>
      </c>
      <c r="B39" s="1031" t="s">
        <v>770</v>
      </c>
      <c r="C39" s="302">
        <f ca="1">C5-C30</f>
        <v>0</v>
      </c>
      <c r="D39" s="1032" t="s">
        <v>771</v>
      </c>
      <c r="E39" s="1033"/>
      <c r="F39" s="1034"/>
      <c r="G39" s="1291"/>
      <c r="H39" s="2473"/>
      <c r="I39" s="1304"/>
      <c r="J39" s="1305"/>
      <c r="K39" s="2471"/>
      <c r="L39" s="2473"/>
      <c r="M39" s="2473"/>
    </row>
    <row r="40" spans="1:18" ht="18" customHeight="1">
      <c r="A40" s="291" t="s">
        <v>395</v>
      </c>
      <c r="B40" s="292" t="s">
        <v>772</v>
      </c>
      <c r="C40" s="293" t="e">
        <f ca="1">ROUND(C39*(1-((1+F42)/(1+F40))^F41)/(F40-F42),0)</f>
        <v>#DIV/0!</v>
      </c>
      <c r="D40" s="316" t="s">
        <v>756</v>
      </c>
      <c r="E40" s="294" t="s">
        <v>757</v>
      </c>
      <c r="F40" s="304">
        <f ca="1">INDIRECT("'数据-取费表'!I"&amp;$G$1)</f>
        <v>0</v>
      </c>
      <c r="G40" s="1291"/>
      <c r="H40" s="1365"/>
      <c r="I40" s="1304"/>
      <c r="J40" s="1305"/>
      <c r="K40" s="2471"/>
      <c r="L40" s="1365"/>
      <c r="M40" s="1365"/>
    </row>
    <row r="41" spans="1:18" ht="18" customHeight="1">
      <c r="A41" s="296"/>
      <c r="B41" s="297"/>
      <c r="C41" s="298"/>
      <c r="D41" s="323" t="s">
        <v>773</v>
      </c>
      <c r="E41" s="294" t="s">
        <v>761</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764</v>
      </c>
      <c r="F42" s="304">
        <f ca="1">INDIRECT("'数据-取费表'!v"&amp;$G$1)</f>
        <v>0</v>
      </c>
      <c r="G42" s="1291"/>
      <c r="H42" s="121"/>
      <c r="I42" s="1304"/>
      <c r="J42" s="1305"/>
      <c r="K42" s="2330"/>
      <c r="L42" s="121"/>
      <c r="M42" s="121"/>
    </row>
    <row r="43" spans="1:18" ht="18" customHeight="1" thickBot="1">
      <c r="A43" s="325" t="s">
        <v>396</v>
      </c>
      <c r="B43" s="326" t="s">
        <v>774</v>
      </c>
      <c r="C43" s="327" t="e">
        <f ca="1">ROUND(C40/F43,0)</f>
        <v>#DIV/0!</v>
      </c>
      <c r="D43" s="328" t="s">
        <v>775</v>
      </c>
      <c r="E43" s="329" t="s">
        <v>776</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3346</v>
      </c>
      <c r="B45" s="1306"/>
      <c r="C45" s="1375" t="e">
        <f ca="1">ROUND((C68-C40)/10000,4)</f>
        <v>#DIV/0!</v>
      </c>
      <c r="D45" s="3129" t="s">
        <v>3347</v>
      </c>
      <c r="E45" s="1306"/>
      <c r="F45" s="1306"/>
      <c r="O45" s="1309" t="s">
        <v>806</v>
      </c>
      <c r="P45" s="1365"/>
      <c r="Q45" s="1365"/>
      <c r="R45" s="1365"/>
    </row>
    <row r="46" spans="1:18" s="1291" customFormat="1" ht="13.5" thickBot="1">
      <c r="A46" s="1310" t="s">
        <v>807</v>
      </c>
      <c r="C46" s="1311" t="e">
        <f ca="1">ROUND(C45,0)</f>
        <v>#DIV/0!</v>
      </c>
      <c r="D46" s="1312" t="str">
        <f>C2</f>
        <v>万元</v>
      </c>
      <c r="I46" s="1313" t="s">
        <v>808</v>
      </c>
      <c r="J46" s="1314"/>
      <c r="K46" s="1315"/>
      <c r="L46" s="1316" t="e">
        <f ca="1">IF(M47="住宅",0,IF(L48&gt;J51,L60,J60))</f>
        <v>#DIV/0!</v>
      </c>
      <c r="O46" s="1317" t="s">
        <v>809</v>
      </c>
      <c r="P46" s="1318" t="s">
        <v>810</v>
      </c>
      <c r="Q46" s="1319" t="s">
        <v>811</v>
      </c>
      <c r="R46" s="1319" t="s">
        <v>812</v>
      </c>
    </row>
    <row r="47" spans="1:18" s="1291" customFormat="1" ht="13.5" thickBot="1">
      <c r="A47" s="892" t="s">
        <v>685</v>
      </c>
      <c r="B47" s="924" t="s">
        <v>686</v>
      </c>
      <c r="C47" s="924" t="s">
        <v>687</v>
      </c>
      <c r="D47" s="924" t="s">
        <v>688</v>
      </c>
      <c r="E47" s="995" t="s">
        <v>689</v>
      </c>
      <c r="F47" s="996"/>
      <c r="G47" s="681"/>
      <c r="I47" s="1320" t="s">
        <v>813</v>
      </c>
      <c r="J47" s="1321"/>
      <c r="K47" s="1322" t="s">
        <v>814</v>
      </c>
      <c r="L47" s="1323">
        <f ca="1">INDIRECT("'数据-取费表'!d"&amp;$G$1)</f>
        <v>0</v>
      </c>
      <c r="M47" s="1287" t="str">
        <f>IF(ISNUMBER(FIND("住宅",C1)),"住宅","非住宅")</f>
        <v>非住宅</v>
      </c>
      <c r="O47" s="1324" t="s">
        <v>403</v>
      </c>
      <c r="P47" s="1325" t="s">
        <v>815</v>
      </c>
      <c r="Q47" s="1326" t="e">
        <f ca="1">C40+J29</f>
        <v>#DIV/0!</v>
      </c>
      <c r="R47" s="1326" t="s">
        <v>816</v>
      </c>
    </row>
    <row r="48" spans="1:18" s="1291" customFormat="1" ht="28.5" thickBot="1">
      <c r="A48" s="1047" t="s">
        <v>438</v>
      </c>
      <c r="B48" s="292" t="s">
        <v>690</v>
      </c>
      <c r="C48" s="1267">
        <f ca="1">C49+C53+C55</f>
        <v>0</v>
      </c>
      <c r="D48" s="1049"/>
      <c r="E48" s="1050"/>
      <c r="F48" s="908"/>
      <c r="G48" s="681"/>
      <c r="H48" s="682"/>
      <c r="I48" s="1327" t="s">
        <v>817</v>
      </c>
      <c r="J48" s="1328"/>
      <c r="K48" s="1329" t="s">
        <v>818</v>
      </c>
      <c r="L48" s="1330">
        <f ca="1">INDIRECT("'数据-取费表'!f"&amp;$G$1)</f>
        <v>0</v>
      </c>
      <c r="O48" s="1324" t="s">
        <v>404</v>
      </c>
      <c r="P48" s="1325" t="s">
        <v>819</v>
      </c>
      <c r="Q48" s="1326" t="e">
        <f ca="1">J60</f>
        <v>#DIV/0!</v>
      </c>
      <c r="R48" s="1326" t="s">
        <v>820</v>
      </c>
    </row>
    <row r="49" spans="1:18" s="1291" customFormat="1" ht="13.5" thickBot="1">
      <c r="A49" s="921" t="s">
        <v>439</v>
      </c>
      <c r="B49" s="1278" t="s">
        <v>777</v>
      </c>
      <c r="C49" s="1051">
        <f ca="1">ROUND(F49*F51*F50*(1-F52),0)</f>
        <v>0</v>
      </c>
      <c r="D49" s="992" t="s">
        <v>693</v>
      </c>
      <c r="E49" s="1279" t="s">
        <v>778</v>
      </c>
      <c r="F49" s="997"/>
      <c r="H49" s="682"/>
      <c r="I49" s="1327" t="s">
        <v>821</v>
      </c>
      <c r="J49" s="1331"/>
      <c r="K49" s="1329" t="s">
        <v>822</v>
      </c>
      <c r="L49" s="1332"/>
      <c r="O49" s="1333" t="s">
        <v>405</v>
      </c>
      <c r="P49" s="1325" t="s">
        <v>823</v>
      </c>
      <c r="Q49" s="1326">
        <f ca="1">C29</f>
        <v>0</v>
      </c>
      <c r="R49" s="1326" t="s">
        <v>816</v>
      </c>
    </row>
    <row r="50" spans="1:18" s="1291" customFormat="1" ht="13.5" thickBot="1">
      <c r="A50" s="922"/>
      <c r="B50" s="925"/>
      <c r="C50" s="926"/>
      <c r="D50" s="899"/>
      <c r="E50" s="993" t="s">
        <v>695</v>
      </c>
      <c r="F50" s="994">
        <f ca="1">F7</f>
        <v>0</v>
      </c>
      <c r="H50" s="682"/>
      <c r="I50" s="1327" t="s">
        <v>824</v>
      </c>
      <c r="J50" s="1334">
        <f>SUMPRODUCT((I63:I65=J47)*(J62:L62=J48)*(J63:L65))</f>
        <v>0</v>
      </c>
      <c r="K50" s="1329" t="s">
        <v>825</v>
      </c>
      <c r="L50" s="1332"/>
      <c r="M50" s="1335"/>
      <c r="O50" s="1333" t="s">
        <v>406</v>
      </c>
      <c r="P50" s="1325" t="s">
        <v>826</v>
      </c>
      <c r="Q50" s="1336" t="e">
        <f ca="1">J58</f>
        <v>#DIV/0!</v>
      </c>
      <c r="R50" s="1326"/>
    </row>
    <row r="51" spans="1:18" s="1291" customFormat="1" ht="13.5" thickBot="1">
      <c r="A51" s="923"/>
      <c r="B51" s="925"/>
      <c r="C51" s="926"/>
      <c r="D51" s="899"/>
      <c r="E51" s="927" t="s">
        <v>696</v>
      </c>
      <c r="F51" s="295">
        <f ca="1">F8</f>
        <v>0</v>
      </c>
      <c r="I51" s="1337" t="s">
        <v>827</v>
      </c>
      <c r="J51" s="1330">
        <f>IF(J49="",J50,J49+J50-YEAR('数据-取费表'!B2))</f>
        <v>0</v>
      </c>
      <c r="K51" s="1338" t="s">
        <v>828</v>
      </c>
      <c r="L51" s="1339">
        <f ca="1">ROUND(-PV(INDIRECT("'数据-取费表'!h"&amp;$G$1),J51,(C39-C13*C76),0),0)</f>
        <v>0</v>
      </c>
      <c r="M51" s="1340"/>
      <c r="O51" s="1333" t="s">
        <v>407</v>
      </c>
      <c r="P51" s="1325" t="s">
        <v>829</v>
      </c>
      <c r="Q51" s="1336">
        <f>J52</f>
        <v>0</v>
      </c>
      <c r="R51" s="1326"/>
    </row>
    <row r="52" spans="1:18" s="1291" customFormat="1" ht="13.5" thickBot="1">
      <c r="A52" s="923"/>
      <c r="B52" s="925"/>
      <c r="C52" s="926"/>
      <c r="D52" s="899"/>
      <c r="E52" s="927" t="s">
        <v>697</v>
      </c>
      <c r="F52" s="991"/>
      <c r="I52" s="1341" t="s">
        <v>830</v>
      </c>
      <c r="J52" s="1342"/>
      <c r="K52" s="1341" t="s">
        <v>831</v>
      </c>
      <c r="L52" s="1342"/>
      <c r="O52" s="1333" t="s">
        <v>408</v>
      </c>
      <c r="P52" s="1325" t="s">
        <v>832</v>
      </c>
      <c r="Q52" s="1326">
        <f ca="1">J53</f>
        <v>0</v>
      </c>
      <c r="R52" s="1326" t="s">
        <v>833</v>
      </c>
    </row>
    <row r="53" spans="1:18" s="1291" customFormat="1" ht="30.75" customHeight="1" thickBot="1">
      <c r="A53" s="1048" t="s">
        <v>440</v>
      </c>
      <c r="B53" s="315" t="s">
        <v>698</v>
      </c>
      <c r="C53" s="308">
        <f ca="1">ROUND(IF(F53="押一",C49/12*F11,IF(F53="押二",C49/12*2*F11,IF(F53="押三",C49/12*3*F11,C54*F11))),0)</f>
        <v>0</v>
      </c>
      <c r="D53" s="150" t="s">
        <v>2113</v>
      </c>
      <c r="E53" s="305" t="s">
        <v>699</v>
      </c>
      <c r="F53" s="1053"/>
      <c r="I53" s="1343" t="s">
        <v>834</v>
      </c>
      <c r="J53" s="2005">
        <f ca="1">IF(M47="住宅",IF(D1="——",MAX(J51,L48),MAX(J51,L48-'数据-取费表'!B24)),IF(D1="——",MIN(J51,L48),MIN(J51,L48-'数据-取费表'!B24)))</f>
        <v>0</v>
      </c>
      <c r="K53" s="3451" t="s">
        <v>835</v>
      </c>
      <c r="L53" s="3452"/>
      <c r="O53" s="1324" t="s">
        <v>409</v>
      </c>
      <c r="P53" s="1325" t="s">
        <v>836</v>
      </c>
      <c r="Q53" s="1326" t="e">
        <f ca="1">Q47+Q48</f>
        <v>#DIV/0!</v>
      </c>
      <c r="R53" s="1326" t="s">
        <v>410</v>
      </c>
    </row>
    <row r="54" spans="1:18" s="1291" customFormat="1" ht="13.5" thickBot="1">
      <c r="A54" s="921"/>
      <c r="B54" s="1376" t="s">
        <v>889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837</v>
      </c>
      <c r="P54" s="1288"/>
      <c r="Q54" s="1288"/>
      <c r="R54" s="1288"/>
    </row>
    <row r="55" spans="1:18" s="1291" customFormat="1" ht="13.5" thickBot="1">
      <c r="A55" s="1020" t="s">
        <v>437</v>
      </c>
      <c r="B55" s="1276" t="s">
        <v>701</v>
      </c>
      <c r="C55" s="1021"/>
      <c r="D55" s="150"/>
      <c r="E55" s="1281"/>
      <c r="F55" s="1344"/>
      <c r="I55" s="1347" t="s">
        <v>838</v>
      </c>
      <c r="J55" s="1348" t="e">
        <f ca="1">ROUND(IF(J47="钢混",J57/J50,1-(1-2%)*(J50-J57)/J50),3)</f>
        <v>#DIV/0!</v>
      </c>
      <c r="K55" s="1349" t="s">
        <v>839</v>
      </c>
      <c r="L55" s="1350"/>
      <c r="O55" s="1317" t="s">
        <v>809</v>
      </c>
      <c r="P55" s="1318" t="s">
        <v>810</v>
      </c>
      <c r="Q55" s="1319" t="s">
        <v>811</v>
      </c>
      <c r="R55" s="1319" t="s">
        <v>812</v>
      </c>
    </row>
    <row r="56" spans="1:18" s="1291" customFormat="1" ht="36" customHeight="1" thickTop="1" thickBot="1">
      <c r="A56" s="903">
        <v>2</v>
      </c>
      <c r="B56" s="904" t="s">
        <v>702</v>
      </c>
      <c r="C56" s="224">
        <f ca="1">C13</f>
        <v>0</v>
      </c>
      <c r="D56" s="1351"/>
      <c r="E56" s="1352"/>
      <c r="F56" s="1344"/>
      <c r="I56" s="1353" t="s">
        <v>840</v>
      </c>
      <c r="J56" s="1354"/>
      <c r="K56" s="1327" t="s">
        <v>841</v>
      </c>
      <c r="L56" s="1330">
        <f ca="1">IF(L48&lt;J51,"——",L48-J51)</f>
        <v>0</v>
      </c>
      <c r="O56" s="1324" t="s">
        <v>403</v>
      </c>
      <c r="P56" s="1325" t="s">
        <v>815</v>
      </c>
      <c r="Q56" s="1326" t="e">
        <f ca="1">C40+J29</f>
        <v>#DIV/0!</v>
      </c>
      <c r="R56" s="1326" t="s">
        <v>816</v>
      </c>
    </row>
    <row r="57" spans="1:18" s="1291" customFormat="1" ht="24.75" thickBot="1">
      <c r="A57" s="1355"/>
      <c r="B57" s="896" t="s">
        <v>765</v>
      </c>
      <c r="C57" s="230">
        <f ca="1">C29</f>
        <v>0</v>
      </c>
      <c r="D57" s="1356"/>
      <c r="E57" s="1357"/>
      <c r="F57" s="1358"/>
      <c r="I57" s="1359" t="s">
        <v>842</v>
      </c>
      <c r="J57" s="1360">
        <f ca="1">IF(OR(M47="住宅",J51&lt;L48,J56="是"),"——",J51-L48)</f>
        <v>0</v>
      </c>
      <c r="K57" s="1327" t="s">
        <v>890</v>
      </c>
      <c r="L57" s="1330">
        <f ca="1">IF(L48&lt;J51,"——",IF(L55="比较法",L49,IF(L55="基准地价",L50,L51)))</f>
        <v>0</v>
      </c>
      <c r="O57" s="1324" t="s">
        <v>404</v>
      </c>
      <c r="P57" s="1325" t="s">
        <v>891</v>
      </c>
      <c r="Q57" s="1326" t="e">
        <f ca="1">L60</f>
        <v>#DIV/0!</v>
      </c>
      <c r="R57" s="1326" t="s">
        <v>892</v>
      </c>
    </row>
    <row r="58" spans="1:18" s="1291" customFormat="1" ht="24.75" thickBot="1">
      <c r="A58" s="307" t="s">
        <v>393</v>
      </c>
      <c r="B58" s="904" t="s">
        <v>712</v>
      </c>
      <c r="C58" s="308">
        <f ca="1">ROUND(C59+C64+C65+C66,0)</f>
        <v>0</v>
      </c>
      <c r="D58" s="906" t="s">
        <v>713</v>
      </c>
      <c r="E58" s="907"/>
      <c r="F58" s="908"/>
      <c r="I58" s="1359" t="s">
        <v>846</v>
      </c>
      <c r="J58" s="1361" t="e">
        <f ca="1">IF(J55&lt;0.4,0.4,J55)</f>
        <v>#DIV/0!</v>
      </c>
      <c r="K58" s="1338" t="s">
        <v>893</v>
      </c>
      <c r="L58" s="1330" t="e">
        <f ca="1">ROUND(POWER(1+L52,L47-L48)*(POWER(1+L52,L48)-1)/(POWER(1+L52,L47)-1),4)</f>
        <v>#DIV/0!</v>
      </c>
      <c r="O58" s="1333" t="s">
        <v>405</v>
      </c>
      <c r="P58" s="1325" t="s">
        <v>848</v>
      </c>
      <c r="Q58" s="1326">
        <f>IF(L55="比较法",L49,IF(L55="基准地价",L50,0))</f>
        <v>0</v>
      </c>
      <c r="R58" s="1326" t="s">
        <v>816</v>
      </c>
    </row>
    <row r="59" spans="1:18" s="1291" customFormat="1" ht="24.75" thickBot="1">
      <c r="A59" s="928" t="s">
        <v>398</v>
      </c>
      <c r="B59" s="896" t="s">
        <v>717</v>
      </c>
      <c r="C59" s="2139">
        <f ca="1">ROUND(IF(AND(项目基本情况!B11="自然人",项目基本情况!B10="北京市"),C49*F59/(1+'数据-取费表'!C42),C60+C61+C62),0)</f>
        <v>0</v>
      </c>
      <c r="D59" s="909" t="s">
        <v>718</v>
      </c>
      <c r="E59" s="910" t="s">
        <v>719</v>
      </c>
      <c r="F59" s="2138" t="str">
        <f>IF(项目基本情况!B11="企业","——",IF('数据-取费表'!B10="住宅",IF(F49*F50*F51/12/(1+'数据-取费表'!F30)&gt;100000,4%,2.5%),IF(F49*F50*F51/12/(1+'数据-取费表'!F30)&gt;100000,12%,7%)))</f>
        <v>——</v>
      </c>
      <c r="I59" s="1359" t="s">
        <v>849</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850</v>
      </c>
      <c r="Q59" s="1336">
        <f>L52</f>
        <v>0</v>
      </c>
      <c r="R59" s="1326"/>
    </row>
    <row r="60" spans="1:18" s="1291" customFormat="1" ht="16.5" thickBot="1">
      <c r="A60" s="928" t="s">
        <v>397</v>
      </c>
      <c r="B60" s="896" t="s">
        <v>721</v>
      </c>
      <c r="C60" s="21">
        <f ca="1">IF(项目基本情况!B11="自然人","——",ROUND(C48*F60/(1+'数据-取费表'!C42),0))</f>
        <v>0</v>
      </c>
      <c r="D60" s="910" t="s">
        <v>722</v>
      </c>
      <c r="E60" s="896" t="s">
        <v>710</v>
      </c>
      <c r="F60" s="322">
        <f t="shared" ref="F60:F66" si="0">F32</f>
        <v>5.6000000000000001E-2</v>
      </c>
      <c r="I60" s="1362" t="s">
        <v>851</v>
      </c>
      <c r="J60" s="1363" t="e">
        <f ca="1">IF(OR(M47="住宅",J51&lt;L48,J56="是"),"0",ROUND(J59/(1+J52)^J53,0))</f>
        <v>#DIV/0!</v>
      </c>
      <c r="K60" s="1364" t="s">
        <v>852</v>
      </c>
      <c r="L60" s="1363" t="e">
        <f ca="1">IF(OR(M47="住宅",L48&lt;J51),0,ROUND(L57*(L58/L59-1),0))</f>
        <v>#DIV/0!</v>
      </c>
      <c r="O60" s="1333" t="s">
        <v>407</v>
      </c>
      <c r="P60" s="1325" t="s">
        <v>853</v>
      </c>
      <c r="Q60" s="1326" t="e">
        <f ca="1">L58</f>
        <v>#DIV/0!</v>
      </c>
      <c r="R60" s="1326" t="s">
        <v>854</v>
      </c>
    </row>
    <row r="61" spans="1:18" s="1291" customFormat="1" ht="13.5" thickBot="1">
      <c r="A61" s="928" t="s">
        <v>779</v>
      </c>
      <c r="B61" s="896" t="s">
        <v>780</v>
      </c>
      <c r="C61" s="21">
        <f ca="1">IF(项目基本情况!B11="自然人","——",IF(D61="按租金收入计税",ROUND(C49*F61/(1+'数据-取费表'!C42),0),IF(D61="按房产原值计税",ROUND(C57*F61*0.7,0),INDIRECT("'数据-取费表'!Aj"&amp;$G$1))))</f>
        <v>0</v>
      </c>
      <c r="D61" s="1277" t="s">
        <v>3330</v>
      </c>
      <c r="E61" s="896" t="s">
        <v>781</v>
      </c>
      <c r="F61" s="314">
        <f t="shared" si="0"/>
        <v>0.12</v>
      </c>
      <c r="I61" s="1365"/>
      <c r="J61" s="1365"/>
      <c r="K61" s="1365"/>
      <c r="L61" s="1365"/>
      <c r="O61" s="1333" t="s">
        <v>408</v>
      </c>
      <c r="P61" s="1325" t="str">
        <f>K59</f>
        <v>建筑物剩余耐用年限下的土地年期修正系数Kn</v>
      </c>
      <c r="Q61" s="1326" t="e">
        <f ca="1">L59</f>
        <v>#DIV/0!</v>
      </c>
      <c r="R61" s="1326" t="s">
        <v>855</v>
      </c>
    </row>
    <row r="62" spans="1:18" s="1291" customFormat="1" ht="13.5" thickBot="1">
      <c r="A62" s="928" t="s">
        <v>782</v>
      </c>
      <c r="B62" s="895" t="s">
        <v>783</v>
      </c>
      <c r="C62" s="22">
        <f ca="1">IF(项目基本情况!B11="自然人","——",ROUND(F62*F63,0))</f>
        <v>0</v>
      </c>
      <c r="D62" s="911" t="s">
        <v>784</v>
      </c>
      <c r="E62" s="896" t="s">
        <v>785</v>
      </c>
      <c r="F62" s="317">
        <f t="shared" si="0"/>
        <v>1.5</v>
      </c>
      <c r="I62" s="1366" t="s">
        <v>856</v>
      </c>
      <c r="J62" s="610" t="s">
        <v>857</v>
      </c>
      <c r="K62" s="610" t="s">
        <v>858</v>
      </c>
      <c r="L62" s="610" t="s">
        <v>859</v>
      </c>
      <c r="M62" s="1367" t="s">
        <v>860</v>
      </c>
      <c r="O62" s="1324" t="s">
        <v>409</v>
      </c>
      <c r="P62" s="1325" t="s">
        <v>861</v>
      </c>
      <c r="Q62" s="1326" t="e">
        <f ca="1">Q56+Q57</f>
        <v>#DIV/0!</v>
      </c>
      <c r="R62" s="1326" t="s">
        <v>410</v>
      </c>
    </row>
    <row r="63" spans="1:18" s="1291" customFormat="1" ht="13.5" thickBot="1">
      <c r="A63" s="318"/>
      <c r="B63" s="902"/>
      <c r="C63" s="26"/>
      <c r="D63" s="912"/>
      <c r="E63" s="896" t="s">
        <v>786</v>
      </c>
      <c r="F63" s="295">
        <f t="shared" ca="1" si="0"/>
        <v>0</v>
      </c>
      <c r="I63" s="1366" t="s">
        <v>862</v>
      </c>
      <c r="J63" s="610">
        <v>70</v>
      </c>
      <c r="K63" s="610">
        <v>50</v>
      </c>
      <c r="L63" s="610">
        <v>80</v>
      </c>
      <c r="M63" s="1368">
        <v>0.02</v>
      </c>
      <c r="O63" s="1309" t="s">
        <v>863</v>
      </c>
      <c r="P63" s="1288"/>
      <c r="Q63" s="1288"/>
      <c r="R63" s="1288"/>
    </row>
    <row r="64" spans="1:18" s="1291" customFormat="1" ht="13.5" thickBot="1">
      <c r="A64" s="928" t="s">
        <v>787</v>
      </c>
      <c r="B64" s="896" t="s">
        <v>788</v>
      </c>
      <c r="C64" s="21">
        <f ca="1">ROUND(C57*F64,0)</f>
        <v>0</v>
      </c>
      <c r="D64" s="910" t="s">
        <v>789</v>
      </c>
      <c r="E64" s="896" t="s">
        <v>781</v>
      </c>
      <c r="F64" s="320">
        <f t="shared" ca="1" si="0"/>
        <v>0</v>
      </c>
      <c r="I64" s="1366" t="s">
        <v>864</v>
      </c>
      <c r="J64" s="610">
        <v>50</v>
      </c>
      <c r="K64" s="610">
        <v>35</v>
      </c>
      <c r="L64" s="610">
        <v>60</v>
      </c>
      <c r="M64" s="1367">
        <v>0</v>
      </c>
      <c r="O64" s="1317" t="s">
        <v>809</v>
      </c>
      <c r="P64" s="1318" t="s">
        <v>810</v>
      </c>
      <c r="Q64" s="1319" t="s">
        <v>811</v>
      </c>
      <c r="R64" s="1319" t="s">
        <v>812</v>
      </c>
    </row>
    <row r="65" spans="1:18" s="1291" customFormat="1" ht="13.5" thickBot="1">
      <c r="A65" s="928" t="s">
        <v>790</v>
      </c>
      <c r="B65" s="896" t="s">
        <v>740</v>
      </c>
      <c r="C65" s="21">
        <f ca="1">ROUND(C56*F65,0)</f>
        <v>0</v>
      </c>
      <c r="D65" s="910" t="s">
        <v>741</v>
      </c>
      <c r="E65" s="896" t="s">
        <v>742</v>
      </c>
      <c r="F65" s="321">
        <f t="shared" ca="1" si="0"/>
        <v>0</v>
      </c>
      <c r="I65" s="1366" t="s">
        <v>865</v>
      </c>
      <c r="J65" s="610">
        <v>40</v>
      </c>
      <c r="K65" s="610">
        <v>30</v>
      </c>
      <c r="L65" s="610">
        <v>50</v>
      </c>
      <c r="M65" s="1368">
        <v>0.02</v>
      </c>
      <c r="O65" s="1324" t="s">
        <v>403</v>
      </c>
      <c r="P65" s="1325" t="s">
        <v>866</v>
      </c>
      <c r="Q65" s="1326" t="e">
        <f ca="1">C40+J29</f>
        <v>#DIV/0!</v>
      </c>
      <c r="R65" s="1326" t="s">
        <v>816</v>
      </c>
    </row>
    <row r="66" spans="1:18" s="1291" customFormat="1" ht="16.5" thickBot="1">
      <c r="A66" s="928" t="s">
        <v>791</v>
      </c>
      <c r="B66" s="896" t="s">
        <v>726</v>
      </c>
      <c r="C66" s="21">
        <f ca="1">ROUND(C48*F66,0)</f>
        <v>0</v>
      </c>
      <c r="D66" s="910" t="s">
        <v>792</v>
      </c>
      <c r="E66" s="896" t="s">
        <v>710</v>
      </c>
      <c r="F66" s="304">
        <f t="shared" ca="1" si="0"/>
        <v>0</v>
      </c>
      <c r="O66" s="1324" t="s">
        <v>404</v>
      </c>
      <c r="P66" s="1325" t="s">
        <v>844</v>
      </c>
      <c r="Q66" s="1326" t="e">
        <f ca="1">L60</f>
        <v>#DIV/0!</v>
      </c>
      <c r="R66" s="1326" t="s">
        <v>867</v>
      </c>
    </row>
    <row r="67" spans="1:18" s="1291" customFormat="1" ht="16.5" thickBot="1">
      <c r="A67" s="903" t="s">
        <v>394</v>
      </c>
      <c r="B67" s="913" t="s">
        <v>750</v>
      </c>
      <c r="C67" s="308">
        <f ca="1">C48-C58</f>
        <v>0</v>
      </c>
      <c r="D67" s="909" t="s">
        <v>751</v>
      </c>
      <c r="E67" s="914"/>
      <c r="F67" s="915"/>
      <c r="O67" s="1333" t="s">
        <v>405</v>
      </c>
      <c r="P67" s="1325" t="s">
        <v>848</v>
      </c>
      <c r="Q67" s="1369">
        <f ca="1">L51</f>
        <v>0</v>
      </c>
      <c r="R67" s="1326" t="s">
        <v>868</v>
      </c>
    </row>
    <row r="68" spans="1:18" s="1291" customFormat="1" ht="16.5" thickBot="1">
      <c r="A68" s="893" t="s">
        <v>395</v>
      </c>
      <c r="B68" s="894" t="s">
        <v>772</v>
      </c>
      <c r="C68" s="293" t="e">
        <f ca="1">ROUND(C67*(1-((1+F70)/(1+F68))^F69)/(F68-F70),0)</f>
        <v>#DIV/0!</v>
      </c>
      <c r="D68" s="911" t="s">
        <v>756</v>
      </c>
      <c r="E68" s="896" t="s">
        <v>757</v>
      </c>
      <c r="F68" s="304">
        <f ca="1">F40</f>
        <v>0</v>
      </c>
      <c r="O68" s="1333" t="s">
        <v>406</v>
      </c>
      <c r="P68" s="1370" t="s">
        <v>869</v>
      </c>
      <c r="Q68" s="1326">
        <f ca="1">ROUND(Q69-Q70*Q71,0)</f>
        <v>0</v>
      </c>
      <c r="R68" s="1326" t="s">
        <v>414</v>
      </c>
    </row>
    <row r="69" spans="1:18" s="1291" customFormat="1" ht="13.5" thickBot="1">
      <c r="A69" s="897"/>
      <c r="B69" s="898"/>
      <c r="C69" s="298"/>
      <c r="D69" s="916" t="s">
        <v>760</v>
      </c>
      <c r="E69" s="896" t="s">
        <v>761</v>
      </c>
      <c r="F69" s="324">
        <f ca="1">F41</f>
        <v>0</v>
      </c>
      <c r="O69" s="1333" t="s">
        <v>411</v>
      </c>
      <c r="P69" s="1370" t="s">
        <v>870</v>
      </c>
      <c r="Q69" s="1326">
        <f ca="1">C39</f>
        <v>0</v>
      </c>
      <c r="R69" s="1326" t="s">
        <v>816</v>
      </c>
    </row>
    <row r="70" spans="1:18" s="1291" customFormat="1" ht="13.5" thickBot="1">
      <c r="A70" s="900"/>
      <c r="B70" s="901"/>
      <c r="C70" s="302"/>
      <c r="D70" s="912"/>
      <c r="E70" s="896" t="s">
        <v>764</v>
      </c>
      <c r="F70" s="991"/>
      <c r="O70" s="1333" t="s">
        <v>412</v>
      </c>
      <c r="P70" s="1370" t="s">
        <v>871</v>
      </c>
      <c r="Q70" s="1326">
        <f ca="1">C13</f>
        <v>0</v>
      </c>
      <c r="R70" s="1326" t="s">
        <v>816</v>
      </c>
    </row>
    <row r="71" spans="1:18" s="1291" customFormat="1" ht="13.5" thickBot="1">
      <c r="A71" s="917" t="s">
        <v>396</v>
      </c>
      <c r="B71" s="918" t="s">
        <v>774</v>
      </c>
      <c r="C71" s="327" t="e">
        <f ca="1">ROUND(C68/F71,0)</f>
        <v>#DIV/0!</v>
      </c>
      <c r="D71" s="919" t="s">
        <v>775</v>
      </c>
      <c r="E71" s="920" t="s">
        <v>776</v>
      </c>
      <c r="F71" s="330">
        <f ca="1">F43</f>
        <v>0</v>
      </c>
      <c r="O71" s="1333" t="s">
        <v>413</v>
      </c>
      <c r="P71" s="1370" t="s">
        <v>872</v>
      </c>
      <c r="Q71" s="1336">
        <f ca="1">C76</f>
        <v>0</v>
      </c>
      <c r="R71" s="1326"/>
    </row>
    <row r="72" spans="1:18" s="1291" customFormat="1" ht="13.5" thickBot="1">
      <c r="B72" s="685"/>
      <c r="C72" s="685"/>
      <c r="O72" s="1333" t="s">
        <v>407</v>
      </c>
      <c r="P72" s="1325" t="s">
        <v>850</v>
      </c>
      <c r="Q72" s="1336">
        <f>L52</f>
        <v>0</v>
      </c>
      <c r="R72" s="1326"/>
    </row>
    <row r="73" spans="1:18" ht="16.5" thickBot="1">
      <c r="A73" s="1291"/>
      <c r="B73" s="685"/>
      <c r="C73" s="685"/>
      <c r="D73" s="1291"/>
      <c r="E73" s="1291"/>
      <c r="F73" s="1291"/>
      <c r="O73" s="1333" t="s">
        <v>408</v>
      </c>
      <c r="P73" s="1325" t="s">
        <v>853</v>
      </c>
      <c r="Q73" s="1326" t="e">
        <f ca="1">L58</f>
        <v>#DIV/0!</v>
      </c>
      <c r="R73" s="1326" t="s">
        <v>854</v>
      </c>
    </row>
    <row r="74" spans="1:18" ht="13.5" thickBot="1">
      <c r="A74" s="1291"/>
      <c r="B74" s="265" t="s">
        <v>873</v>
      </c>
      <c r="C74" s="1372"/>
      <c r="D74" s="1291"/>
      <c r="E74" s="1291"/>
      <c r="F74" s="1291"/>
      <c r="O74" s="1333" t="s">
        <v>415</v>
      </c>
      <c r="P74" s="1325" t="str">
        <f>K59</f>
        <v>建筑物剩余耐用年限下的土地年期修正系数Kn</v>
      </c>
      <c r="Q74" s="1326" t="e">
        <f ca="1">L59</f>
        <v>#DIV/0!</v>
      </c>
      <c r="R74" s="1326" t="s">
        <v>855</v>
      </c>
    </row>
    <row r="75" spans="1:18" ht="13.5" thickBot="1">
      <c r="A75" s="1291"/>
      <c r="B75" s="331" t="s">
        <v>793</v>
      </c>
      <c r="C75" s="332">
        <f ca="1">ROUND(C13*C76,0)</f>
        <v>0</v>
      </c>
      <c r="D75" s="1291"/>
      <c r="E75" s="1291"/>
      <c r="F75" s="1291"/>
      <c r="K75" s="1308"/>
      <c r="L75" s="1291"/>
      <c r="O75" s="1324" t="s">
        <v>409</v>
      </c>
      <c r="P75" s="1325" t="s">
        <v>836</v>
      </c>
      <c r="Q75" s="1326" t="e">
        <f ca="1">Q65+Q66</f>
        <v>#DIV/0!</v>
      </c>
      <c r="R75" s="1326" t="s">
        <v>410</v>
      </c>
    </row>
    <row r="76" spans="1:18">
      <c r="B76" s="333" t="s">
        <v>794</v>
      </c>
      <c r="C76" s="334">
        <f ca="1">INDIRECT("'数据-取费表'!j"&amp;$G$1)</f>
        <v>0</v>
      </c>
      <c r="I76" s="1291"/>
      <c r="J76" s="1291"/>
      <c r="K76" s="1308"/>
      <c r="L76" s="1291"/>
    </row>
    <row r="77" spans="1:18">
      <c r="B77" s="335" t="s">
        <v>795</v>
      </c>
      <c r="C77" s="336"/>
      <c r="I77" s="1291"/>
      <c r="J77" s="1291"/>
      <c r="K77" s="1308"/>
      <c r="L77" s="1291"/>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2431</v>
      </c>
      <c r="B1" s="2583"/>
      <c r="C1" s="2595"/>
      <c r="D1" s="2595"/>
      <c r="E1" s="2584"/>
      <c r="F1" s="2585"/>
      <c r="G1" s="2586"/>
      <c r="J1" s="2589" t="s">
        <v>2310</v>
      </c>
      <c r="K1" s="2590"/>
      <c r="L1" s="2590"/>
      <c r="M1" s="2590"/>
      <c r="N1" s="2590"/>
      <c r="O1" s="2590"/>
      <c r="P1" s="2590"/>
      <c r="Q1" s="2590"/>
      <c r="R1" s="2591"/>
      <c r="S1" s="2592"/>
      <c r="T1" s="2592"/>
      <c r="U1" s="2592"/>
    </row>
    <row r="2" spans="1:22" s="2604" customFormat="1" ht="13.15" customHeight="1">
      <c r="A2" s="1292" t="s">
        <v>2311</v>
      </c>
      <c r="B2" s="2594" t="e">
        <f>IF(D2="——",C40,C40+E2)</f>
        <v>#DIV/0!</v>
      </c>
      <c r="C2" s="2595" t="s">
        <v>2312</v>
      </c>
      <c r="D2" s="3137" t="s">
        <v>3353</v>
      </c>
      <c r="E2" s="3138"/>
      <c r="F2" s="2597"/>
      <c r="G2" s="2598"/>
      <c r="H2" s="2599"/>
      <c r="I2" s="2600"/>
      <c r="J2" s="3456" t="s">
        <v>2313</v>
      </c>
      <c r="K2" s="3457"/>
      <c r="L2" s="2601" t="s">
        <v>2314</v>
      </c>
      <c r="M2" s="2601" t="s">
        <v>2315</v>
      </c>
      <c r="N2" s="2601" t="s">
        <v>2316</v>
      </c>
      <c r="O2" s="2601" t="s">
        <v>2317</v>
      </c>
      <c r="P2" s="2601" t="s">
        <v>2318</v>
      </c>
      <c r="Q2" s="2602" t="s">
        <v>2319</v>
      </c>
      <c r="R2" s="2603" t="s">
        <v>2320</v>
      </c>
      <c r="S2" s="2592"/>
      <c r="T2" s="2592"/>
      <c r="U2" s="2592"/>
      <c r="V2" s="2600"/>
    </row>
    <row r="3" spans="1:22" s="2604" customFormat="1" ht="13.15" customHeight="1">
      <c r="A3" s="2605" t="s">
        <v>2321</v>
      </c>
      <c r="B3" s="2606" t="e">
        <f>ROUND(B2*10000/B4,0)</f>
        <v>#DIV/0!</v>
      </c>
      <c r="C3" s="2595" t="s">
        <v>2322</v>
      </c>
      <c r="D3" s="2595"/>
      <c r="E3" s="2596"/>
      <c r="F3" s="2597"/>
      <c r="G3" s="2598"/>
      <c r="H3" s="2599"/>
      <c r="I3" s="2600"/>
      <c r="J3" s="3458" t="s">
        <v>2323</v>
      </c>
      <c r="K3" s="3459"/>
      <c r="L3" s="2607"/>
      <c r="M3" s="2607"/>
      <c r="N3" s="2607"/>
      <c r="O3" s="2607"/>
      <c r="P3" s="2607"/>
      <c r="Q3" s="2608"/>
      <c r="R3" s="2609">
        <f>SUM(L3:Q3)</f>
        <v>0</v>
      </c>
      <c r="S3" s="2592"/>
      <c r="T3" s="2592"/>
      <c r="U3" s="2592"/>
      <c r="V3" s="2600"/>
    </row>
    <row r="4" spans="1:22" s="2604" customFormat="1" ht="13.15" customHeight="1">
      <c r="A4" s="2610" t="s">
        <v>2324</v>
      </c>
      <c r="B4" s="2611"/>
      <c r="C4" s="2595"/>
      <c r="D4" s="2595"/>
      <c r="E4" s="2596"/>
      <c r="F4" s="2597"/>
      <c r="G4" s="2598"/>
      <c r="H4" s="2599"/>
      <c r="I4" s="2600"/>
      <c r="J4" s="3458" t="s">
        <v>2325</v>
      </c>
      <c r="K4" s="3459"/>
      <c r="L4" s="2612"/>
      <c r="M4" s="2612"/>
      <c r="N4" s="2612"/>
      <c r="O4" s="2612"/>
      <c r="P4" s="2612"/>
      <c r="Q4" s="2613"/>
      <c r="R4" s="2614">
        <f>SUM(L4:Q4)</f>
        <v>0</v>
      </c>
      <c r="S4" s="2592"/>
      <c r="T4" s="2592"/>
      <c r="U4" s="2592"/>
      <c r="V4" s="2600"/>
    </row>
    <row r="5" spans="1:22" s="2604" customFormat="1" ht="13.15" customHeight="1" thickBot="1">
      <c r="A5" s="2615" t="s">
        <v>2326</v>
      </c>
      <c r="B5" s="2616"/>
      <c r="C5" s="2595"/>
      <c r="D5" s="2617"/>
      <c r="E5" s="2597"/>
      <c r="F5" s="2597"/>
      <c r="G5" s="2598"/>
      <c r="H5" s="2599"/>
      <c r="I5" s="2600"/>
      <c r="J5" s="2618" t="s">
        <v>2327</v>
      </c>
      <c r="K5" s="2619"/>
      <c r="L5" s="2619"/>
      <c r="M5" s="2620"/>
      <c r="N5" s="2620"/>
      <c r="O5" s="2620"/>
      <c r="P5" s="2620"/>
      <c r="Q5" s="2620"/>
      <c r="R5" s="2603">
        <f>SUM(R14,R19,R24,R25,R27,R28)</f>
        <v>0</v>
      </c>
      <c r="S5" s="2592"/>
      <c r="T5" s="2592" t="s">
        <v>2328</v>
      </c>
      <c r="U5" s="2592" t="e">
        <f>ROUND(R5*10000/365/R3,1)</f>
        <v>#DIV/0!</v>
      </c>
      <c r="V5" s="2600"/>
    </row>
    <row r="6" spans="1:22" s="2604" customFormat="1" ht="13.15" customHeight="1" thickBot="1">
      <c r="A6" s="3460" t="s">
        <v>2329</v>
      </c>
      <c r="B6" s="3461"/>
      <c r="C6" s="3462"/>
      <c r="D6" s="2621"/>
      <c r="E6" s="2622"/>
      <c r="F6" s="2623"/>
      <c r="G6" s="2624"/>
      <c r="H6" s="2599"/>
      <c r="I6" s="2600"/>
      <c r="J6" s="3463">
        <v>1</v>
      </c>
      <c r="K6" s="3464" t="s">
        <v>2330</v>
      </c>
      <c r="L6" s="2625" t="s">
        <v>2331</v>
      </c>
      <c r="M6" s="2626" t="s">
        <v>2332</v>
      </c>
      <c r="N6" s="2626" t="s">
        <v>2333</v>
      </c>
      <c r="O6" s="2626" t="s">
        <v>2334</v>
      </c>
      <c r="P6" s="2626" t="s">
        <v>2335</v>
      </c>
      <c r="Q6" s="2626" t="s">
        <v>2336</v>
      </c>
      <c r="R6" s="2609" t="s">
        <v>2337</v>
      </c>
      <c r="S6" s="2592"/>
      <c r="T6" s="2592" t="s">
        <v>2338</v>
      </c>
      <c r="U6" s="2592"/>
      <c r="V6" s="2600"/>
    </row>
    <row r="7" spans="1:22" s="2604" customFormat="1" ht="13.15" customHeight="1">
      <c r="A7" s="2627" t="s">
        <v>2339</v>
      </c>
      <c r="B7" s="2628"/>
      <c r="C7" s="2629"/>
      <c r="D7" s="2630">
        <f>SUM(D9,D10,D11,D17,0)</f>
        <v>0</v>
      </c>
      <c r="E7" s="2631" t="e">
        <f>E9+E10+E11+E17</f>
        <v>#DIV/0!</v>
      </c>
      <c r="F7" s="2632"/>
      <c r="G7" s="2633"/>
      <c r="H7" s="2599"/>
      <c r="I7" s="2600"/>
      <c r="J7" s="3463"/>
      <c r="K7" s="3465"/>
      <c r="L7" s="2634" t="s">
        <v>2340</v>
      </c>
      <c r="M7" s="2635"/>
      <c r="N7" s="2611"/>
      <c r="O7" s="2636"/>
      <c r="P7" s="2636"/>
      <c r="Q7" s="2637">
        <v>365</v>
      </c>
      <c r="R7" s="2638">
        <f>ROUND(M7*N7*O7*P7*Q7/10000,0)</f>
        <v>0</v>
      </c>
      <c r="S7" s="2592"/>
      <c r="T7" s="2592" t="s">
        <v>2341</v>
      </c>
      <c r="U7" s="2592"/>
      <c r="V7" s="2600"/>
    </row>
    <row r="8" spans="1:22" s="2604" customFormat="1" ht="13.15" customHeight="1">
      <c r="A8" s="2639" t="s">
        <v>2342</v>
      </c>
      <c r="B8" s="3467" t="s">
        <v>2343</v>
      </c>
      <c r="C8" s="3468"/>
      <c r="D8" s="2640" t="s">
        <v>2344</v>
      </c>
      <c r="E8" s="2641" t="s">
        <v>2345</v>
      </c>
      <c r="F8" s="2642" t="s">
        <v>2346</v>
      </c>
      <c r="G8" s="2643"/>
      <c r="H8" s="2599"/>
      <c r="I8" s="2600"/>
      <c r="J8" s="3463"/>
      <c r="K8" s="3465"/>
      <c r="L8" s="2634" t="s">
        <v>2347</v>
      </c>
      <c r="M8" s="2635"/>
      <c r="N8" s="2611"/>
      <c r="O8" s="2636"/>
      <c r="P8" s="2636"/>
      <c r="Q8" s="2637">
        <v>365</v>
      </c>
      <c r="R8" s="2638">
        <f t="shared" ref="R8:R13" si="0">ROUND(M8*N8*O8*P8*Q8/10000,0)</f>
        <v>0</v>
      </c>
      <c r="S8" s="2592"/>
      <c r="T8" s="2592" t="s">
        <v>2348</v>
      </c>
      <c r="U8" s="2592"/>
      <c r="V8" s="2600"/>
    </row>
    <row r="9" spans="1:22" s="2604" customFormat="1" ht="13.15" customHeight="1">
      <c r="A9" s="2639">
        <v>1</v>
      </c>
      <c r="B9" s="3467" t="s">
        <v>2349</v>
      </c>
      <c r="C9" s="3468"/>
      <c r="D9" s="2640">
        <f>ROUND(D6*E9,0)</f>
        <v>0</v>
      </c>
      <c r="E9" s="2644"/>
      <c r="F9" s="2645" t="s">
        <v>2350</v>
      </c>
      <c r="G9" s="2624"/>
      <c r="H9" s="2599"/>
      <c r="I9" s="2600"/>
      <c r="J9" s="3463"/>
      <c r="K9" s="3465"/>
      <c r="L9" s="2634" t="s">
        <v>2351</v>
      </c>
      <c r="M9" s="2635"/>
      <c r="N9" s="2611"/>
      <c r="O9" s="2636"/>
      <c r="P9" s="2636"/>
      <c r="Q9" s="2637">
        <v>365</v>
      </c>
      <c r="R9" s="2638">
        <f t="shared" si="0"/>
        <v>0</v>
      </c>
      <c r="S9" s="2592"/>
      <c r="T9" s="2592"/>
      <c r="U9" s="2592"/>
      <c r="V9" s="2600"/>
    </row>
    <row r="10" spans="1:22" s="2604" customFormat="1" ht="13.15" customHeight="1">
      <c r="A10" s="2639">
        <v>2</v>
      </c>
      <c r="B10" s="3467" t="s">
        <v>2352</v>
      </c>
      <c r="C10" s="3468"/>
      <c r="D10" s="2640">
        <f>ROUND(D6*E10,0)</f>
        <v>0</v>
      </c>
      <c r="E10" s="2644"/>
      <c r="F10" s="2645" t="s">
        <v>2353</v>
      </c>
      <c r="G10" s="2624"/>
      <c r="H10" s="2599"/>
      <c r="I10" s="2600"/>
      <c r="J10" s="3463"/>
      <c r="K10" s="3465"/>
      <c r="L10" s="2634" t="s">
        <v>2354</v>
      </c>
      <c r="M10" s="2635"/>
      <c r="N10" s="2611"/>
      <c r="O10" s="2636"/>
      <c r="P10" s="2636"/>
      <c r="Q10" s="2637">
        <v>365</v>
      </c>
      <c r="R10" s="2638">
        <f t="shared" si="0"/>
        <v>0</v>
      </c>
      <c r="S10" s="2592"/>
      <c r="T10" s="2592"/>
      <c r="U10" s="2592"/>
      <c r="V10" s="2600"/>
    </row>
    <row r="11" spans="1:22" s="2604" customFormat="1" ht="13.15" customHeight="1">
      <c r="A11" s="2639">
        <v>3</v>
      </c>
      <c r="B11" s="3467" t="s">
        <v>2355</v>
      </c>
      <c r="C11" s="3468"/>
      <c r="D11" s="2640">
        <f>D12+D14+D15+D16</f>
        <v>0</v>
      </c>
      <c r="E11" s="2646" t="e">
        <f>D11/D6</f>
        <v>#DIV/0!</v>
      </c>
      <c r="F11" s="2642"/>
      <c r="G11" s="2643"/>
      <c r="H11" s="2599"/>
      <c r="I11" s="2600"/>
      <c r="J11" s="3463"/>
      <c r="K11" s="3465"/>
      <c r="L11" s="2634" t="s">
        <v>2356</v>
      </c>
      <c r="M11" s="2635"/>
      <c r="N11" s="2611"/>
      <c r="O11" s="2636"/>
      <c r="P11" s="2636"/>
      <c r="Q11" s="2637">
        <v>365</v>
      </c>
      <c r="R11" s="2638">
        <f t="shared" si="0"/>
        <v>0</v>
      </c>
      <c r="S11" s="2592"/>
      <c r="T11" s="2592"/>
      <c r="U11" s="2592"/>
      <c r="V11" s="2600"/>
    </row>
    <row r="12" spans="1:22" s="2604" customFormat="1" ht="13.15" customHeight="1">
      <c r="A12" s="2647" t="s">
        <v>2357</v>
      </c>
      <c r="B12" s="3469" t="s">
        <v>2358</v>
      </c>
      <c r="C12" s="3470"/>
      <c r="D12" s="2648">
        <f>ROUND(D13*1.2%*(1-30%),0)</f>
        <v>0</v>
      </c>
      <c r="E12" s="2649">
        <v>1.2E-2</v>
      </c>
      <c r="F12" s="2642" t="s">
        <v>2359</v>
      </c>
      <c r="G12" s="2643"/>
      <c r="H12" s="2599"/>
      <c r="I12" s="2600"/>
      <c r="J12" s="3463"/>
      <c r="K12" s="3465"/>
      <c r="L12" s="2634" t="s">
        <v>2360</v>
      </c>
      <c r="M12" s="2635"/>
      <c r="N12" s="2611"/>
      <c r="O12" s="2636"/>
      <c r="P12" s="2636"/>
      <c r="Q12" s="2637">
        <v>365</v>
      </c>
      <c r="R12" s="2638">
        <f t="shared" si="0"/>
        <v>0</v>
      </c>
      <c r="S12" s="2592"/>
      <c r="T12" s="2592"/>
      <c r="U12" s="2592"/>
      <c r="V12" s="2600"/>
    </row>
    <row r="13" spans="1:22" s="2604" customFormat="1" ht="13.15" customHeight="1">
      <c r="A13" s="2647"/>
      <c r="B13" s="2650"/>
      <c r="C13" s="2651" t="s">
        <v>2361</v>
      </c>
      <c r="D13" s="2652"/>
      <c r="E13" s="2653"/>
      <c r="F13" s="2642"/>
      <c r="G13" s="2643"/>
      <c r="H13" s="2599"/>
      <c r="I13" s="2600"/>
      <c r="J13" s="3463"/>
      <c r="K13" s="3465"/>
      <c r="L13" s="2634" t="s">
        <v>2362</v>
      </c>
      <c r="M13" s="2635"/>
      <c r="N13" s="2611"/>
      <c r="O13" s="2636"/>
      <c r="P13" s="2636"/>
      <c r="Q13" s="2637">
        <v>365</v>
      </c>
      <c r="R13" s="2638">
        <f t="shared" si="0"/>
        <v>0</v>
      </c>
      <c r="S13" s="2592"/>
      <c r="T13" s="2592"/>
      <c r="U13" s="2592"/>
      <c r="V13" s="2600"/>
    </row>
    <row r="14" spans="1:22" s="2604" customFormat="1" ht="13.15" customHeight="1">
      <c r="A14" s="2647" t="s">
        <v>2363</v>
      </c>
      <c r="B14" s="3469" t="s">
        <v>2364</v>
      </c>
      <c r="C14" s="3470"/>
      <c r="D14" s="2648">
        <f>ROUND(E14*B5/10000,0)</f>
        <v>0</v>
      </c>
      <c r="E14" s="2637"/>
      <c r="F14" s="2642" t="s">
        <v>2365</v>
      </c>
      <c r="G14" s="2643"/>
      <c r="H14" s="2599"/>
      <c r="I14" s="2600"/>
      <c r="J14" s="3463"/>
      <c r="K14" s="3466"/>
      <c r="L14" s="2654" t="s">
        <v>2366</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2367</v>
      </c>
      <c r="B15" s="3469" t="s">
        <v>2368</v>
      </c>
      <c r="C15" s="3470"/>
      <c r="D15" s="2648">
        <f>ROUND(D6*E15,0)</f>
        <v>0</v>
      </c>
      <c r="E15" s="2649">
        <v>5.5E-2</v>
      </c>
      <c r="F15" s="2642" t="s">
        <v>2369</v>
      </c>
      <c r="G15" s="2624"/>
      <c r="H15" s="2599"/>
      <c r="I15" s="2600"/>
      <c r="J15" s="3463">
        <v>2</v>
      </c>
      <c r="K15" s="3464" t="s">
        <v>2370</v>
      </c>
      <c r="L15" s="2634" t="s">
        <v>2371</v>
      </c>
      <c r="M15" s="2635" t="s">
        <v>2372</v>
      </c>
      <c r="N15" s="2635" t="s">
        <v>2373</v>
      </c>
      <c r="O15" s="2636" t="s">
        <v>2374</v>
      </c>
      <c r="P15" s="2636" t="s">
        <v>2336</v>
      </c>
      <c r="Q15" s="2611" t="s">
        <v>2375</v>
      </c>
      <c r="R15" s="2658" t="s">
        <v>2337</v>
      </c>
      <c r="S15" s="2592"/>
      <c r="T15" s="2592"/>
      <c r="U15" s="2592"/>
      <c r="V15" s="2600"/>
    </row>
    <row r="16" spans="1:22" s="2604" customFormat="1" ht="13.15" customHeight="1">
      <c r="A16" s="2647" t="s">
        <v>2376</v>
      </c>
      <c r="B16" s="3469" t="s">
        <v>2377</v>
      </c>
      <c r="C16" s="3470"/>
      <c r="D16" s="2659">
        <f>D6*E16</f>
        <v>0</v>
      </c>
      <c r="E16" s="2660"/>
      <c r="F16" s="2645" t="s">
        <v>2378</v>
      </c>
      <c r="G16" s="2624"/>
      <c r="H16" s="2599"/>
      <c r="I16" s="2600"/>
      <c r="J16" s="3463"/>
      <c r="K16" s="3465"/>
      <c r="L16" s="2634" t="s">
        <v>2379</v>
      </c>
      <c r="M16" s="2635"/>
      <c r="N16" s="2635"/>
      <c r="O16" s="2636"/>
      <c r="P16" s="2637">
        <v>365</v>
      </c>
      <c r="Q16" s="2611"/>
      <c r="R16" s="2658">
        <f>ROUND(M16*N16*O16*P16/10000,0)</f>
        <v>0</v>
      </c>
      <c r="S16" s="2592"/>
      <c r="T16" s="2592"/>
      <c r="U16" s="2592"/>
      <c r="V16" s="2600"/>
    </row>
    <row r="17" spans="1:22" s="2604" customFormat="1" ht="13.15" customHeight="1" thickBot="1">
      <c r="A17" s="2661">
        <v>4</v>
      </c>
      <c r="B17" s="3471" t="s">
        <v>2380</v>
      </c>
      <c r="C17" s="3472"/>
      <c r="D17" s="2662">
        <f>ROUND(D6*E17,0)</f>
        <v>0</v>
      </c>
      <c r="E17" s="2663"/>
      <c r="F17" s="2664" t="s">
        <v>2381</v>
      </c>
      <c r="G17" s="2624"/>
      <c r="H17" s="2599"/>
      <c r="I17" s="2600"/>
      <c r="J17" s="3463"/>
      <c r="K17" s="3465"/>
      <c r="L17" s="2634" t="s">
        <v>2382</v>
      </c>
      <c r="M17" s="2635"/>
      <c r="N17" s="2635"/>
      <c r="O17" s="2636"/>
      <c r="P17" s="2637">
        <v>365</v>
      </c>
      <c r="Q17" s="2611"/>
      <c r="R17" s="2658">
        <f>ROUND(M17*N17*O17*P17/10000,0)</f>
        <v>0</v>
      </c>
      <c r="S17" s="2592"/>
      <c r="T17" s="2592"/>
      <c r="U17" s="2592"/>
      <c r="V17" s="2600"/>
    </row>
    <row r="18" spans="1:22" s="2604" customFormat="1" ht="13.15" customHeight="1" thickBot="1">
      <c r="A18" s="2627" t="s">
        <v>2383</v>
      </c>
      <c r="B18" s="2628"/>
      <c r="C18" s="2628"/>
      <c r="D18" s="2665">
        <f>ROUND(D6*E18,0)</f>
        <v>0</v>
      </c>
      <c r="E18" s="2666"/>
      <c r="F18" s="2667" t="s">
        <v>2384</v>
      </c>
      <c r="G18" s="2624"/>
      <c r="H18" s="2599"/>
      <c r="I18" s="2600"/>
      <c r="J18" s="3463"/>
      <c r="K18" s="3465"/>
      <c r="L18" s="2634" t="s">
        <v>2385</v>
      </c>
      <c r="M18" s="2635"/>
      <c r="N18" s="2635"/>
      <c r="O18" s="2636"/>
      <c r="P18" s="2637">
        <v>365</v>
      </c>
      <c r="Q18" s="2611"/>
      <c r="R18" s="2658">
        <f>ROUND(M18*N18*O18*P18/10000,0)</f>
        <v>0</v>
      </c>
      <c r="S18" s="2592"/>
      <c r="T18" s="2592"/>
      <c r="U18" s="2592"/>
      <c r="V18" s="2600"/>
    </row>
    <row r="19" spans="1:22" s="2604" customFormat="1" ht="13.15" customHeight="1" thickBot="1">
      <c r="A19" s="2668" t="s">
        <v>2386</v>
      </c>
      <c r="B19" s="2622"/>
      <c r="C19" s="2622"/>
      <c r="D19" s="2622"/>
      <c r="E19" s="2622"/>
      <c r="F19" s="2623"/>
      <c r="G19" s="2643"/>
      <c r="H19" s="2599"/>
      <c r="I19" s="2600"/>
      <c r="J19" s="3463"/>
      <c r="K19" s="3466"/>
      <c r="L19" s="2654" t="s">
        <v>2366</v>
      </c>
      <c r="M19" s="2655"/>
      <c r="N19" s="2655">
        <f>SUM(N16:N18)</f>
        <v>0</v>
      </c>
      <c r="O19" s="2656"/>
      <c r="P19" s="2669" t="s">
        <v>2430</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63">
        <v>3</v>
      </c>
      <c r="K20" s="3464" t="s">
        <v>2387</v>
      </c>
      <c r="L20" s="2634" t="s">
        <v>2388</v>
      </c>
      <c r="M20" s="2635" t="s">
        <v>2389</v>
      </c>
      <c r="N20" s="2672" t="s">
        <v>2390</v>
      </c>
      <c r="O20" s="2636" t="s">
        <v>2391</v>
      </c>
      <c r="P20" s="2637" t="s">
        <v>2392</v>
      </c>
      <c r="Q20" s="2611" t="s">
        <v>2393</v>
      </c>
      <c r="R20" s="2658" t="s">
        <v>2394</v>
      </c>
      <c r="S20" s="2592"/>
      <c r="T20" s="2592"/>
      <c r="U20" s="2592"/>
      <c r="V20" s="2600"/>
    </row>
    <row r="21" spans="1:22" s="2604" customFormat="1" ht="13.15" customHeight="1">
      <c r="A21" s="2627"/>
      <c r="B21" s="2628"/>
      <c r="C21" s="2673" t="s">
        <v>2395</v>
      </c>
      <c r="D21" s="2674" t="s">
        <v>2396</v>
      </c>
      <c r="E21" s="2675" t="s">
        <v>2397</v>
      </c>
      <c r="F21" s="2671"/>
      <c r="G21" s="2643"/>
      <c r="H21" s="2599"/>
      <c r="I21" s="2600"/>
      <c r="J21" s="3463"/>
      <c r="K21" s="3465"/>
      <c r="L21" s="2634" t="s">
        <v>2398</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2399</v>
      </c>
      <c r="D22" s="2678" t="s">
        <v>2400</v>
      </c>
      <c r="E22" s="2679" t="s">
        <v>2401</v>
      </c>
      <c r="F22" s="2671"/>
      <c r="G22" s="2592"/>
      <c r="H22" s="2599"/>
      <c r="I22" s="2600"/>
      <c r="J22" s="3463"/>
      <c r="K22" s="3465"/>
      <c r="L22" s="2634" t="s">
        <v>2402</v>
      </c>
      <c r="M22" s="2635"/>
      <c r="N22" s="2635"/>
      <c r="O22" s="2636"/>
      <c r="P22" s="2637">
        <v>365</v>
      </c>
      <c r="Q22" s="2611"/>
      <c r="R22" s="2676">
        <f>ROUND(M22*N22*O22*P22/10000,0)</f>
        <v>0</v>
      </c>
      <c r="S22" s="2592"/>
      <c r="T22" s="2592"/>
      <c r="U22" s="2592"/>
      <c r="V22" s="2600"/>
    </row>
    <row r="23" spans="1:22" s="2604" customFormat="1" ht="13.15" customHeight="1">
      <c r="A23" s="2680">
        <v>1</v>
      </c>
      <c r="B23" s="2681" t="s">
        <v>2403</v>
      </c>
      <c r="C23" s="2682">
        <f>D6</f>
        <v>0</v>
      </c>
      <c r="D23" s="2683">
        <f>C23*(1+D24)</f>
        <v>0</v>
      </c>
      <c r="E23" s="2684">
        <f>D23*(1+E24)</f>
        <v>0</v>
      </c>
      <c r="F23" s="2685"/>
      <c r="G23" s="2686"/>
      <c r="H23" s="2599"/>
      <c r="I23" s="2600"/>
      <c r="J23" s="3463"/>
      <c r="K23" s="3465"/>
      <c r="L23" s="2634" t="s">
        <v>2404</v>
      </c>
      <c r="M23" s="2635"/>
      <c r="N23" s="2635"/>
      <c r="O23" s="2636"/>
      <c r="P23" s="2637">
        <v>365</v>
      </c>
      <c r="Q23" s="2611"/>
      <c r="R23" s="2676">
        <f>ROUND(M23*N23*O23*P23/10000,0)</f>
        <v>0</v>
      </c>
      <c r="S23" s="2592"/>
      <c r="T23" s="2592"/>
      <c r="U23" s="2592"/>
      <c r="V23" s="2600"/>
    </row>
    <row r="24" spans="1:22" s="2604" customFormat="1" ht="13.15" customHeight="1">
      <c r="A24" s="2687"/>
      <c r="B24" s="2688" t="s">
        <v>2405</v>
      </c>
      <c r="C24" s="2689"/>
      <c r="D24" s="2690"/>
      <c r="E24" s="2691"/>
      <c r="F24" s="2692"/>
      <c r="G24" s="2686"/>
      <c r="H24" s="2599"/>
      <c r="I24" s="2600"/>
      <c r="J24" s="3463"/>
      <c r="K24" s="3466"/>
      <c r="L24" s="2654" t="s">
        <v>2366</v>
      </c>
      <c r="M24" s="2655">
        <f>SUM(M21:M23)</f>
        <v>0</v>
      </c>
      <c r="N24" s="2655"/>
      <c r="O24" s="2656"/>
      <c r="P24" s="2669" t="s">
        <v>2430</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2406</v>
      </c>
      <c r="L25" s="2695"/>
      <c r="M25" s="2695"/>
      <c r="N25" s="2695"/>
      <c r="O25" s="2695"/>
      <c r="P25" s="2696"/>
      <c r="Q25" s="2697">
        <v>0</v>
      </c>
      <c r="R25" s="2670">
        <f>ROUND(R14*Q25,0)</f>
        <v>0</v>
      </c>
      <c r="S25" s="2592"/>
      <c r="T25" s="2592"/>
      <c r="U25" s="2592"/>
      <c r="V25" s="2698"/>
    </row>
    <row r="26" spans="1:22" s="2699" customFormat="1" ht="13.15" customHeight="1">
      <c r="A26" s="2680">
        <v>2</v>
      </c>
      <c r="B26" s="2681" t="s">
        <v>2407</v>
      </c>
      <c r="C26" s="2682">
        <f>D7</f>
        <v>0</v>
      </c>
      <c r="D26" s="2683">
        <f>D23*D27</f>
        <v>0</v>
      </c>
      <c r="E26" s="2684">
        <f>E23*E27</f>
        <v>0</v>
      </c>
      <c r="F26" s="2685"/>
      <c r="G26" s="2686"/>
      <c r="H26" s="2599"/>
      <c r="I26" s="2600"/>
      <c r="J26" s="3473">
        <v>5</v>
      </c>
      <c r="K26" s="2700" t="s">
        <v>2408</v>
      </c>
      <c r="L26" s="2701"/>
      <c r="M26" s="2702"/>
      <c r="N26" s="2703" t="s">
        <v>2409</v>
      </c>
      <c r="O26" s="2703" t="s">
        <v>2410</v>
      </c>
      <c r="P26" s="2704" t="s">
        <v>2411</v>
      </c>
      <c r="Q26" s="2704" t="s">
        <v>2412</v>
      </c>
      <c r="R26" s="2609" t="s">
        <v>2337</v>
      </c>
      <c r="S26" s="2643"/>
      <c r="T26" s="2643"/>
      <c r="U26" s="2643"/>
      <c r="V26" s="2698"/>
    </row>
    <row r="27" spans="1:22" s="2604" customFormat="1" ht="13.15" customHeight="1">
      <c r="A27" s="2687"/>
      <c r="B27" s="2688" t="s">
        <v>2413</v>
      </c>
      <c r="C27" s="2705" t="e">
        <f>E7</f>
        <v>#DIV/0!</v>
      </c>
      <c r="D27" s="2690"/>
      <c r="E27" s="2691"/>
      <c r="F27" s="2692"/>
      <c r="G27" s="2686"/>
      <c r="H27" s="2706"/>
      <c r="I27" s="2698"/>
      <c r="J27" s="347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2414</v>
      </c>
      <c r="F28" s="2692"/>
      <c r="G28" s="2592"/>
      <c r="H28" s="2706"/>
      <c r="I28" s="2698"/>
      <c r="J28" s="2712">
        <v>6</v>
      </c>
      <c r="K28" s="2713" t="s">
        <v>2415</v>
      </c>
      <c r="L28" s="2714" t="s">
        <v>2416</v>
      </c>
      <c r="M28" s="2715"/>
      <c r="N28" s="2714" t="s">
        <v>2417</v>
      </c>
      <c r="O28" s="2716"/>
      <c r="P28" s="2714" t="s">
        <v>2418</v>
      </c>
      <c r="Q28" s="2717">
        <v>1.4999999999999999E-2</v>
      </c>
      <c r="R28" s="2718"/>
      <c r="S28" s="2592"/>
      <c r="T28" s="2592"/>
      <c r="U28" s="2592"/>
      <c r="V28" s="2698"/>
    </row>
    <row r="29" spans="1:22" s="2699" customFormat="1" ht="13.15" customHeight="1">
      <c r="A29" s="2680">
        <v>3</v>
      </c>
      <c r="B29" s="2681" t="s">
        <v>2419</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2413</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2420</v>
      </c>
      <c r="K31" s="2590"/>
      <c r="L31" s="2590"/>
      <c r="M31" s="2590"/>
      <c r="N31" s="2590"/>
      <c r="O31" s="2590"/>
      <c r="P31" s="2590"/>
      <c r="Q31" s="2590"/>
      <c r="R31" s="2591"/>
      <c r="S31" s="2592"/>
      <c r="T31" s="2592"/>
      <c r="U31" s="2592"/>
      <c r="V31" s="2698"/>
    </row>
    <row r="32" spans="1:22" s="2699" customFormat="1" ht="13.15" customHeight="1">
      <c r="A32" s="2680">
        <v>4</v>
      </c>
      <c r="B32" s="2681" t="s">
        <v>2421</v>
      </c>
      <c r="C32" s="2682">
        <f>C23-C26-C29</f>
        <v>0</v>
      </c>
      <c r="D32" s="2683">
        <f>D23-D26-D29</f>
        <v>0</v>
      </c>
      <c r="E32" s="2684">
        <f>E23-E26-E29</f>
        <v>0</v>
      </c>
      <c r="F32" s="2685"/>
      <c r="G32" s="2592"/>
      <c r="H32" s="2599"/>
      <c r="I32" s="2600"/>
      <c r="J32" s="3456" t="s">
        <v>2313</v>
      </c>
      <c r="K32" s="3457"/>
      <c r="L32" s="2601" t="s">
        <v>2314</v>
      </c>
      <c r="M32" s="2601" t="s">
        <v>2315</v>
      </c>
      <c r="N32" s="2601" t="s">
        <v>2316</v>
      </c>
      <c r="O32" s="2601" t="s">
        <v>2317</v>
      </c>
      <c r="P32" s="2601" t="s">
        <v>2318</v>
      </c>
      <c r="Q32" s="2602" t="s">
        <v>2319</v>
      </c>
      <c r="R32" s="2721" t="s">
        <v>2320</v>
      </c>
      <c r="S32" s="2592"/>
      <c r="T32" s="2592"/>
      <c r="U32" s="2592"/>
      <c r="V32" s="2698"/>
    </row>
    <row r="33" spans="1:23" s="2604" customFormat="1" ht="13.15" customHeight="1">
      <c r="A33" s="2680"/>
      <c r="B33" s="2681"/>
      <c r="C33" s="2682"/>
      <c r="D33" s="2722"/>
      <c r="E33" s="2723"/>
      <c r="F33" s="2685"/>
      <c r="G33" s="2592"/>
      <c r="H33" s="2706"/>
      <c r="I33" s="2698"/>
      <c r="J33" s="3458" t="s">
        <v>2323</v>
      </c>
      <c r="K33" s="3459"/>
      <c r="L33" s="2607"/>
      <c r="M33" s="2607"/>
      <c r="N33" s="2607"/>
      <c r="O33" s="2607"/>
      <c r="P33" s="2607"/>
      <c r="Q33" s="2608"/>
      <c r="R33" s="2724">
        <f>SUM(L33:Q33)</f>
        <v>0</v>
      </c>
      <c r="S33" s="2592"/>
      <c r="T33" s="2592"/>
      <c r="U33" s="2592"/>
      <c r="V33" s="2600"/>
    </row>
    <row r="34" spans="1:23" s="2604" customFormat="1" ht="13.15" customHeight="1">
      <c r="A34" s="2680">
        <v>5</v>
      </c>
      <c r="B34" s="2681" t="s">
        <v>2422</v>
      </c>
      <c r="C34" s="2725"/>
      <c r="D34" s="2726"/>
      <c r="E34" s="2727"/>
      <c r="F34" s="2685"/>
      <c r="G34" s="2592"/>
      <c r="H34" s="2706"/>
      <c r="I34" s="2698"/>
      <c r="J34" s="3458" t="s">
        <v>2325</v>
      </c>
      <c r="K34" s="345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2423</v>
      </c>
      <c r="C35" s="2729"/>
      <c r="D35" s="2730"/>
      <c r="E35" s="2731"/>
      <c r="F35" s="2685"/>
      <c r="G35" s="2732"/>
      <c r="H35" s="2599"/>
      <c r="I35" s="2698"/>
      <c r="J35" s="2618" t="s">
        <v>2327</v>
      </c>
      <c r="K35" s="2619"/>
      <c r="L35" s="2619"/>
      <c r="M35" s="2620"/>
      <c r="N35" s="2620"/>
      <c r="O35" s="2620"/>
      <c r="P35" s="2620"/>
      <c r="Q35" s="2620"/>
      <c r="R35" s="2733">
        <f>R40+R41+R43</f>
        <v>0</v>
      </c>
      <c r="S35" s="2592"/>
      <c r="T35" s="2592" t="s">
        <v>2328</v>
      </c>
      <c r="U35" s="2592"/>
      <c r="V35" s="2600"/>
    </row>
    <row r="36" spans="1:23" s="2604" customFormat="1" ht="13.15" customHeight="1" thickBot="1">
      <c r="A36" s="2680">
        <v>7</v>
      </c>
      <c r="B36" s="2734" t="s">
        <v>2424</v>
      </c>
      <c r="C36" s="2735"/>
      <c r="D36" s="2736"/>
      <c r="E36" s="2737"/>
      <c r="F36" s="2738">
        <f>C36+D36+E36</f>
        <v>0</v>
      </c>
      <c r="G36" s="2592"/>
      <c r="H36" s="2599"/>
      <c r="I36" s="2600"/>
      <c r="J36" s="3463">
        <v>1</v>
      </c>
      <c r="K36" s="3464" t="s">
        <v>2425</v>
      </c>
      <c r="L36" s="2625"/>
      <c r="M36" s="2626"/>
      <c r="N36" s="2626"/>
      <c r="O36" s="2626"/>
      <c r="P36" s="2626"/>
      <c r="Q36" s="2626"/>
      <c r="R36" s="2609" t="s">
        <v>2337</v>
      </c>
      <c r="S36" s="2592"/>
      <c r="T36" s="2592" t="s">
        <v>2338</v>
      </c>
      <c r="U36" s="2592"/>
      <c r="V36" s="2600"/>
    </row>
    <row r="37" spans="1:23" s="2604" customFormat="1" ht="13.15" customHeight="1">
      <c r="A37" s="2680"/>
      <c r="B37" s="2681"/>
      <c r="C37" s="2681"/>
      <c r="D37" s="2681"/>
      <c r="E37" s="2681"/>
      <c r="F37" s="2685"/>
      <c r="G37" s="2592"/>
      <c r="H37" s="2599"/>
      <c r="I37" s="2600"/>
      <c r="J37" s="3463"/>
      <c r="K37" s="3465"/>
      <c r="L37" s="2634"/>
      <c r="M37" s="2635"/>
      <c r="N37" s="2611"/>
      <c r="O37" s="2636"/>
      <c r="P37" s="2636"/>
      <c r="Q37" s="2637"/>
      <c r="R37" s="2638"/>
      <c r="S37" s="2592"/>
      <c r="T37" s="2592" t="s">
        <v>2341</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63"/>
      <c r="K38" s="3465"/>
      <c r="L38" s="2634"/>
      <c r="M38" s="2635"/>
      <c r="N38" s="2611"/>
      <c r="O38" s="2636"/>
      <c r="P38" s="2636"/>
      <c r="Q38" s="2637"/>
      <c r="R38" s="2638"/>
      <c r="S38" s="2592"/>
      <c r="T38" s="2592" t="s">
        <v>2348</v>
      </c>
      <c r="U38" s="2592"/>
      <c r="V38" s="2600"/>
    </row>
    <row r="39" spans="1:23" s="2604" customFormat="1" ht="13.15" customHeight="1">
      <c r="A39" s="2680">
        <v>9</v>
      </c>
      <c r="B39" s="2681" t="s">
        <v>2426</v>
      </c>
      <c r="C39" s="2648" t="e">
        <f>C38</f>
        <v>#DIV/0!</v>
      </c>
      <c r="D39" s="2681">
        <f>D38/(1+D34)^C36</f>
        <v>0</v>
      </c>
      <c r="E39" s="2681">
        <f>E38/(1+E34)^(C36+D36)</f>
        <v>0</v>
      </c>
      <c r="F39" s="2685"/>
      <c r="G39" s="2600"/>
      <c r="H39" s="2599"/>
      <c r="I39" s="2600"/>
      <c r="J39" s="3463"/>
      <c r="K39" s="3465"/>
      <c r="L39" s="2634"/>
      <c r="M39" s="2635"/>
      <c r="N39" s="2611"/>
      <c r="O39" s="2636"/>
      <c r="P39" s="2636"/>
      <c r="Q39" s="2637"/>
      <c r="R39" s="2638"/>
      <c r="S39" s="2592"/>
      <c r="T39" s="2592"/>
      <c r="U39" s="2592"/>
      <c r="V39" s="2600"/>
    </row>
    <row r="40" spans="1:23" s="2604" customFormat="1" ht="13.15" customHeight="1">
      <c r="A40" s="2739">
        <v>10</v>
      </c>
      <c r="B40" s="2681" t="s">
        <v>2427</v>
      </c>
      <c r="C40" s="2740" t="e">
        <f>C39+D39+E39</f>
        <v>#DIV/0!</v>
      </c>
      <c r="D40" s="2741"/>
      <c r="E40" s="2741"/>
      <c r="F40" s="2742"/>
      <c r="G40" s="2592"/>
      <c r="H40" s="2599"/>
      <c r="I40" s="2600"/>
      <c r="J40" s="3463"/>
      <c r="K40" s="3466"/>
      <c r="L40" s="2654" t="s">
        <v>2366</v>
      </c>
      <c r="M40" s="2655"/>
      <c r="N40" s="2655"/>
      <c r="O40" s="2656"/>
      <c r="P40" s="2656"/>
      <c r="Q40" s="2657"/>
      <c r="R40" s="2603">
        <f>SUM(R37:R39)</f>
        <v>0</v>
      </c>
      <c r="S40" s="2592"/>
      <c r="T40" s="2592"/>
      <c r="U40" s="2592"/>
      <c r="V40" s="2600"/>
    </row>
    <row r="41" spans="1:23" s="2604" customFormat="1" ht="13.15" customHeight="1" thickBot="1">
      <c r="A41" s="2743">
        <v>11</v>
      </c>
      <c r="B41" s="2744" t="s">
        <v>2428</v>
      </c>
      <c r="C41" s="2744" t="e">
        <f>ROUND(C40*10000/B4,0)</f>
        <v>#DIV/0!</v>
      </c>
      <c r="D41" s="2745"/>
      <c r="E41" s="2745"/>
      <c r="F41" s="2746"/>
      <c r="G41" s="2599"/>
      <c r="H41" s="2599"/>
      <c r="I41" s="2600"/>
      <c r="J41" s="2693">
        <v>2</v>
      </c>
      <c r="K41" s="2694" t="s">
        <v>2406</v>
      </c>
      <c r="L41" s="2695"/>
      <c r="M41" s="2695"/>
      <c r="N41" s="2695"/>
      <c r="O41" s="2695"/>
      <c r="P41" s="2696"/>
      <c r="Q41" s="2697"/>
      <c r="R41" s="2670">
        <f>ROUND(R40*Q41,0)</f>
        <v>0</v>
      </c>
      <c r="S41" s="2592"/>
      <c r="T41" s="2592"/>
      <c r="U41" s="2643"/>
      <c r="V41" s="2600"/>
    </row>
    <row r="42" spans="1:23" s="2604" customFormat="1" ht="13.15" customHeight="1">
      <c r="G42" s="2599"/>
      <c r="H42" s="2599"/>
      <c r="I42" s="2600"/>
      <c r="J42" s="3473">
        <v>3</v>
      </c>
      <c r="K42" s="2700" t="s">
        <v>2408</v>
      </c>
      <c r="L42" s="2701"/>
      <c r="M42" s="2702"/>
      <c r="N42" s="2703" t="s">
        <v>2409</v>
      </c>
      <c r="O42" s="2703" t="s">
        <v>2410</v>
      </c>
      <c r="P42" s="2704" t="s">
        <v>2411</v>
      </c>
      <c r="Q42" s="2704" t="s">
        <v>2412</v>
      </c>
      <c r="R42" s="2609" t="s">
        <v>2337</v>
      </c>
      <c r="S42" s="2643"/>
      <c r="T42" s="2643"/>
      <c r="U42" s="2592"/>
      <c r="V42" s="2600"/>
    </row>
    <row r="43" spans="1:23" ht="13.15" customHeight="1">
      <c r="A43" s="2604"/>
      <c r="B43" s="2604"/>
      <c r="C43" s="2604"/>
      <c r="D43" s="2604"/>
      <c r="E43" s="2604"/>
      <c r="F43" s="2604"/>
      <c r="I43" s="2587"/>
      <c r="J43" s="347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2415</v>
      </c>
      <c r="L44" s="2749" t="s">
        <v>2416</v>
      </c>
      <c r="M44" s="2715"/>
      <c r="N44" s="2749" t="s">
        <v>2417</v>
      </c>
      <c r="O44" s="2715"/>
      <c r="P44" s="2749" t="s">
        <v>2418</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1653</v>
      </c>
      <c r="B1" s="1725"/>
      <c r="C1" s="1725"/>
      <c r="D1" s="1725"/>
      <c r="E1" s="1726"/>
      <c r="F1" s="2479"/>
      <c r="G1" s="459"/>
      <c r="H1" s="459"/>
      <c r="I1" s="459"/>
      <c r="J1" s="459"/>
      <c r="K1" s="459"/>
      <c r="L1" s="459"/>
      <c r="M1" s="459"/>
      <c r="N1" s="459"/>
      <c r="O1" s="459"/>
      <c r="P1" s="459"/>
      <c r="Q1" s="459"/>
      <c r="R1" s="459"/>
      <c r="S1" s="459"/>
    </row>
    <row r="2" spans="1:22" ht="15.75">
      <c r="A2" s="1727" t="s">
        <v>1457</v>
      </c>
      <c r="B2" s="811">
        <f ca="1">SUMIF(B6:B13,"&lt;&gt;#ref!",B6:B13)</f>
        <v>96885</v>
      </c>
      <c r="C2" s="1728" t="s">
        <v>1646</v>
      </c>
      <c r="D2" s="1729" t="s">
        <v>1647</v>
      </c>
      <c r="E2" s="2392">
        <f>SUM(E6:E13)</f>
        <v>66017.299999999916</v>
      </c>
      <c r="F2" s="2479"/>
      <c r="G2" s="459"/>
      <c r="H2" s="459"/>
      <c r="I2" s="459"/>
      <c r="J2" s="459"/>
      <c r="K2" s="459"/>
      <c r="L2" s="459"/>
      <c r="M2" s="459"/>
      <c r="N2" s="459"/>
      <c r="O2" s="459"/>
      <c r="P2" s="459"/>
      <c r="Q2" s="459"/>
      <c r="R2" s="459"/>
      <c r="S2" s="459"/>
    </row>
    <row r="3" spans="1:22" ht="15.75">
      <c r="A3" s="1727" t="s">
        <v>684</v>
      </c>
      <c r="B3" s="2386">
        <f ca="1">ROUND(B2*10000/E2,0)</f>
        <v>14676</v>
      </c>
      <c r="C3" s="1728" t="s">
        <v>1654</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1648</v>
      </c>
      <c r="B5" s="3475" t="s">
        <v>1649</v>
      </c>
      <c r="C5" s="3476"/>
      <c r="D5" s="2480"/>
      <c r="E5" s="1730" t="s">
        <v>1650</v>
      </c>
      <c r="F5" s="129" t="s">
        <v>1651</v>
      </c>
      <c r="G5" s="459"/>
      <c r="H5" s="459"/>
      <c r="I5" s="459"/>
      <c r="J5" s="459"/>
      <c r="K5" s="459"/>
      <c r="L5" s="459"/>
      <c r="M5" s="459"/>
      <c r="N5" s="459"/>
      <c r="O5" s="459"/>
      <c r="P5" s="459"/>
      <c r="Q5" s="459"/>
      <c r="R5" s="459"/>
      <c r="S5" s="459"/>
    </row>
    <row r="6" spans="1:22">
      <c r="A6" s="2389" t="str">
        <f>'数据-取费表'!AN6</f>
        <v>收益法</v>
      </c>
      <c r="B6" s="2387">
        <f ca="1">IF(F6="是",'数据-取费表'!AO6,0)</f>
        <v>96885</v>
      </c>
      <c r="C6" s="1728" t="s">
        <v>1646</v>
      </c>
      <c r="D6" s="2479"/>
      <c r="E6" s="2391">
        <f>IF(OR(A6=0,F6="否"),0,'数据-取费表'!K6+'数据-取费表'!S6)</f>
        <v>66017.299999999916</v>
      </c>
      <c r="F6" s="1731" t="s">
        <v>1652</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1646</v>
      </c>
      <c r="D7" s="2479"/>
      <c r="E7" s="2391">
        <f>IF(OR(A7=0,F7="否"),0,'数据-取费表'!K7+'数据-取费表'!S7)</f>
        <v>0</v>
      </c>
      <c r="F7" s="1731" t="s">
        <v>1652</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1646</v>
      </c>
      <c r="D8" s="2479"/>
      <c r="E8" s="2391">
        <f>IF(OR(A8=0,F8="否"),0,'数据-取费表'!K8+'数据-取费表'!S8)</f>
        <v>0</v>
      </c>
      <c r="F8" s="1731" t="s">
        <v>1652</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1646</v>
      </c>
      <c r="D9" s="2479"/>
      <c r="E9" s="2391">
        <f>IF(OR(A9=0,F9="否"),0,'数据-取费表'!K9+'数据-取费表'!S9)</f>
        <v>0</v>
      </c>
      <c r="F9" s="1731" t="s">
        <v>1652</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1646</v>
      </c>
      <c r="D10" s="2479"/>
      <c r="E10" s="2391">
        <f>IF(OR(A10=0,F10="否"),0,'数据-取费表'!K10+'数据-取费表'!S10)</f>
        <v>0</v>
      </c>
      <c r="F10" s="1731" t="s">
        <v>1652</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1646</v>
      </c>
      <c r="D11" s="2479"/>
      <c r="E11" s="2391">
        <f>IF(OR(A11=0,F11="否"),0,'数据-取费表'!K11+'数据-取费表'!S11)</f>
        <v>0</v>
      </c>
      <c r="F11" s="1731" t="s">
        <v>1652</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1646</v>
      </c>
      <c r="D12" s="2479"/>
      <c r="E12" s="2391">
        <f>IF(OR(A12=0,F12="否"),0,'数据-取费表'!K12+'数据-取费表'!S12)</f>
        <v>0</v>
      </c>
      <c r="F12" s="1731" t="s">
        <v>1652</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1646</v>
      </c>
      <c r="D13" s="2481"/>
      <c r="E13" s="2391">
        <f>IF(OR(A13=0,F13="否"),0,'数据-取费表'!K13+'数据-取费表'!S13)</f>
        <v>0</v>
      </c>
      <c r="F13" s="1731" t="s">
        <v>1652</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733" t="s">
        <v>1656</v>
      </c>
      <c r="C1" s="1154" t="s">
        <v>1657</v>
      </c>
      <c r="D1" s="1141"/>
      <c r="E1" s="3123"/>
      <c r="F1" s="1734"/>
      <c r="G1" s="1151" t="s">
        <v>1658</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683</v>
      </c>
      <c r="B2" s="312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1659</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684</v>
      </c>
      <c r="B3" s="343">
        <f>IF(C2="——",C49,ROUND(B2*10000/D3,0))</f>
        <v>0</v>
      </c>
      <c r="C3" s="344" t="s">
        <v>1660</v>
      </c>
      <c r="D3" s="343">
        <f>IF(D1="",'数据-汇总表'!E3,SUMIF('数据-汇总表'!$C19:$C33,D1,'数据-汇总表'!$E19:$E33))</f>
        <v>66017.299999999916</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1661</v>
      </c>
      <c r="B4" s="346"/>
      <c r="C4" s="3427" t="s">
        <v>1662</v>
      </c>
      <c r="D4" s="3428"/>
      <c r="E4" s="3429" t="s">
        <v>1663</v>
      </c>
      <c r="F4" s="3430"/>
      <c r="G4" s="3427" t="s">
        <v>1664</v>
      </c>
      <c r="H4" s="3428"/>
      <c r="I4" s="3427" t="s">
        <v>1665</v>
      </c>
      <c r="J4" s="3428"/>
      <c r="K4" s="1743" t="s">
        <v>1666</v>
      </c>
      <c r="L4" s="2486"/>
      <c r="M4" s="2487"/>
      <c r="N4" s="2487"/>
      <c r="O4" s="2487"/>
      <c r="P4" s="3431" t="s">
        <v>1667</v>
      </c>
      <c r="Q4" s="3432"/>
      <c r="R4" s="3414" t="s">
        <v>1663</v>
      </c>
      <c r="S4" s="3415"/>
      <c r="T4" s="3414" t="s">
        <v>1664</v>
      </c>
      <c r="U4" s="3415"/>
      <c r="V4" s="3439" t="s">
        <v>1665</v>
      </c>
      <c r="W4" s="3439"/>
      <c r="X4" s="1264"/>
      <c r="Y4" s="3414" t="s">
        <v>1667</v>
      </c>
      <c r="Z4" s="3415"/>
      <c r="AA4" s="3409" t="s">
        <v>1663</v>
      </c>
      <c r="AB4" s="3409" t="s">
        <v>1664</v>
      </c>
      <c r="AC4" s="3409" t="s">
        <v>1665</v>
      </c>
    </row>
    <row r="5" spans="1:29" ht="15">
      <c r="A5" s="348"/>
      <c r="B5" s="349"/>
      <c r="C5" s="3420" t="s">
        <v>1668</v>
      </c>
      <c r="D5" s="3421"/>
      <c r="E5" s="3418" t="s">
        <v>1669</v>
      </c>
      <c r="F5" s="3419"/>
      <c r="G5" s="3420" t="s">
        <v>1670</v>
      </c>
      <c r="H5" s="3421"/>
      <c r="I5" s="3420" t="s">
        <v>1671</v>
      </c>
      <c r="J5" s="3421"/>
      <c r="K5" s="1744"/>
      <c r="L5" s="2486"/>
      <c r="M5" s="2487"/>
      <c r="N5" s="2487"/>
      <c r="O5" s="2487"/>
      <c r="P5" s="3433"/>
      <c r="Q5" s="3434"/>
      <c r="R5" s="3416"/>
      <c r="S5" s="3417"/>
      <c r="T5" s="3416"/>
      <c r="U5" s="3417"/>
      <c r="V5" s="3439"/>
      <c r="W5" s="3439"/>
      <c r="X5" s="1264"/>
      <c r="Y5" s="3416"/>
      <c r="Z5" s="3417"/>
      <c r="AA5" s="3410"/>
      <c r="AB5" s="3410"/>
      <c r="AC5" s="3410"/>
    </row>
    <row r="6" spans="1:29" ht="15.75" thickBot="1">
      <c r="A6" s="350"/>
      <c r="B6" s="351"/>
      <c r="C6" s="3422" t="s">
        <v>1672</v>
      </c>
      <c r="D6" s="3423"/>
      <c r="E6" s="3424" t="s">
        <v>1672</v>
      </c>
      <c r="F6" s="3425"/>
      <c r="G6" s="3422" t="s">
        <v>1672</v>
      </c>
      <c r="H6" s="3423"/>
      <c r="I6" s="3422" t="s">
        <v>1672</v>
      </c>
      <c r="J6" s="3423"/>
      <c r="K6" s="1744" t="s">
        <v>1673</v>
      </c>
      <c r="L6" s="2486"/>
      <c r="M6" s="2487"/>
      <c r="N6" s="2487"/>
      <c r="O6" s="2487"/>
      <c r="P6" s="3435"/>
      <c r="Q6" s="3436"/>
      <c r="R6" s="3416"/>
      <c r="S6" s="3417"/>
      <c r="T6" s="3437"/>
      <c r="U6" s="3438"/>
      <c r="V6" s="3439"/>
      <c r="W6" s="3439"/>
      <c r="X6" s="1264"/>
      <c r="Y6" s="3437"/>
      <c r="Z6" s="3438"/>
      <c r="AA6" s="3411"/>
      <c r="AB6" s="3411"/>
      <c r="AC6" s="3411"/>
    </row>
    <row r="7" spans="1:29" s="102" customFormat="1" ht="15.75" thickBot="1">
      <c r="A7" s="352" t="s">
        <v>1674</v>
      </c>
      <c r="B7" s="353"/>
      <c r="C7" s="354">
        <f>'数据-取费表'!B2</f>
        <v>45604</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12" t="s">
        <v>1675</v>
      </c>
      <c r="Q7" s="3440"/>
      <c r="R7" s="664" t="s">
        <v>20</v>
      </c>
      <c r="S7" s="665">
        <f t="shared" ref="S7:S15" si="0">F7</f>
        <v>0</v>
      </c>
      <c r="T7" s="664" t="s">
        <v>20</v>
      </c>
      <c r="U7" s="665">
        <f t="shared" ref="U7:U15" si="1">H7</f>
        <v>0</v>
      </c>
      <c r="V7" s="664" t="s">
        <v>20</v>
      </c>
      <c r="W7" s="665">
        <f t="shared" ref="W7:W15" si="2">J7</f>
        <v>0</v>
      </c>
      <c r="X7" s="666"/>
      <c r="Y7" s="3412" t="s">
        <v>1675</v>
      </c>
      <c r="Z7" s="3413"/>
      <c r="AA7" s="50" t="e">
        <f>D7/F7</f>
        <v>#DIV/0!</v>
      </c>
      <c r="AB7" s="50" t="e">
        <f>D7/H7</f>
        <v>#DIV/0!</v>
      </c>
      <c r="AC7" s="50" t="e">
        <f>D7/J7</f>
        <v>#DIV/0!</v>
      </c>
    </row>
    <row r="8" spans="1:29" s="102" customFormat="1" ht="15.75" thickBot="1">
      <c r="A8" s="352" t="s">
        <v>1676</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12" t="s">
        <v>1678</v>
      </c>
      <c r="Q8" s="3413"/>
      <c r="R8" s="664" t="s">
        <v>20</v>
      </c>
      <c r="S8" s="665">
        <f t="shared" si="0"/>
        <v>100</v>
      </c>
      <c r="T8" s="664" t="s">
        <v>20</v>
      </c>
      <c r="U8" s="665">
        <f t="shared" si="1"/>
        <v>100</v>
      </c>
      <c r="V8" s="664" t="s">
        <v>20</v>
      </c>
      <c r="W8" s="665">
        <f t="shared" si="2"/>
        <v>100</v>
      </c>
      <c r="X8" s="666"/>
      <c r="Y8" s="3412" t="s">
        <v>1678</v>
      </c>
      <c r="Z8" s="3413"/>
      <c r="AA8" s="50">
        <f t="shared" ref="AA8:AA19" si="3">D8/F8</f>
        <v>1</v>
      </c>
      <c r="AB8" s="50">
        <f t="shared" ref="AB8:AB19" si="4">D8/H8</f>
        <v>1</v>
      </c>
      <c r="AC8" s="50">
        <f t="shared" ref="AC8:AC19" si="5">D8/J8</f>
        <v>1</v>
      </c>
    </row>
    <row r="9" spans="1:29" s="102" customFormat="1">
      <c r="A9" s="359" t="s">
        <v>1679</v>
      </c>
      <c r="B9" s="60" t="s">
        <v>1680</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50" t="s">
        <v>1681</v>
      </c>
      <c r="Q9" s="530" t="str">
        <f t="shared" ref="Q9:Q15" si="6">B9</f>
        <v>用途</v>
      </c>
      <c r="R9" s="664" t="s">
        <v>14</v>
      </c>
      <c r="S9" s="665">
        <f t="shared" si="0"/>
        <v>100</v>
      </c>
      <c r="T9" s="664" t="s">
        <v>14</v>
      </c>
      <c r="U9" s="665">
        <f t="shared" si="1"/>
        <v>100</v>
      </c>
      <c r="V9" s="664" t="s">
        <v>14</v>
      </c>
      <c r="W9" s="665">
        <f t="shared" si="2"/>
        <v>100</v>
      </c>
      <c r="X9" s="666"/>
      <c r="Y9" s="3382" t="s">
        <v>1682</v>
      </c>
      <c r="Z9" s="50" t="str">
        <f t="shared" ref="Z9:Z15" si="7">Q9</f>
        <v>用途</v>
      </c>
      <c r="AA9" s="50">
        <f t="shared" si="3"/>
        <v>1</v>
      </c>
      <c r="AB9" s="50">
        <f t="shared" si="4"/>
        <v>1</v>
      </c>
      <c r="AC9" s="50">
        <f t="shared" si="5"/>
        <v>1</v>
      </c>
    </row>
    <row r="10" spans="1:29" s="366" customFormat="1" ht="27">
      <c r="A10" s="363"/>
      <c r="B10" s="364" t="s">
        <v>1683</v>
      </c>
      <c r="C10" s="3131"/>
      <c r="D10" s="119">
        <v>100</v>
      </c>
      <c r="E10" s="3132"/>
      <c r="F10" s="364">
        <f>SUMIF(65:65,E10,66:66)-SUMIF(65:65,C10,66:66)+100</f>
        <v>100</v>
      </c>
      <c r="G10" s="3131"/>
      <c r="H10" s="119">
        <f>SUMIF(65:65,G10,66:66)-SUMIF(65:65,C10,66:66)+100</f>
        <v>100</v>
      </c>
      <c r="I10" s="3131"/>
      <c r="J10" s="119">
        <f>SUMIF(65:65,I10,66:66)-SUMIF(65:65,C10,66:66)+100</f>
        <v>100</v>
      </c>
      <c r="K10" s="1745"/>
      <c r="L10" s="2489"/>
      <c r="M10" s="2490"/>
      <c r="N10" s="2490"/>
      <c r="O10" s="2490"/>
      <c r="P10" s="3450"/>
      <c r="Q10" s="530" t="str">
        <f t="shared" si="6"/>
        <v>土地使用年限（年）</v>
      </c>
      <c r="R10" s="664" t="s">
        <v>14</v>
      </c>
      <c r="S10" s="665">
        <f t="shared" si="0"/>
        <v>100</v>
      </c>
      <c r="T10" s="664" t="s">
        <v>14</v>
      </c>
      <c r="U10" s="665">
        <f t="shared" si="1"/>
        <v>100</v>
      </c>
      <c r="V10" s="664" t="s">
        <v>14</v>
      </c>
      <c r="W10" s="665">
        <f t="shared" si="2"/>
        <v>100</v>
      </c>
      <c r="X10" s="666"/>
      <c r="Y10" s="3382"/>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50"/>
      <c r="Q11" s="530" t="str">
        <f t="shared" si="6"/>
        <v>容积率</v>
      </c>
      <c r="R11" s="664" t="s">
        <v>18</v>
      </c>
      <c r="S11" s="665" t="e">
        <f t="shared" si="0"/>
        <v>#N/A</v>
      </c>
      <c r="T11" s="664" t="s">
        <v>18</v>
      </c>
      <c r="U11" s="665" t="e">
        <f t="shared" si="1"/>
        <v>#N/A</v>
      </c>
      <c r="V11" s="664" t="s">
        <v>18</v>
      </c>
      <c r="W11" s="665" t="e">
        <f t="shared" si="2"/>
        <v>#N/A</v>
      </c>
      <c r="X11" s="666"/>
      <c r="Y11" s="338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50"/>
      <c r="Q12" s="530">
        <f t="shared" si="6"/>
        <v>111</v>
      </c>
      <c r="R12" s="664" t="s">
        <v>18</v>
      </c>
      <c r="S12" s="665">
        <f t="shared" si="0"/>
        <v>100</v>
      </c>
      <c r="T12" s="664" t="s">
        <v>18</v>
      </c>
      <c r="U12" s="665">
        <f t="shared" si="1"/>
        <v>100</v>
      </c>
      <c r="V12" s="664" t="s">
        <v>18</v>
      </c>
      <c r="W12" s="665">
        <f t="shared" si="2"/>
        <v>100</v>
      </c>
      <c r="X12" s="666"/>
      <c r="Y12" s="338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50"/>
      <c r="Q13" s="530">
        <f t="shared" si="6"/>
        <v>111</v>
      </c>
      <c r="R13" s="664" t="s">
        <v>18</v>
      </c>
      <c r="S13" s="665">
        <f t="shared" si="0"/>
        <v>100</v>
      </c>
      <c r="T13" s="664" t="s">
        <v>18</v>
      </c>
      <c r="U13" s="665">
        <f t="shared" si="1"/>
        <v>100</v>
      </c>
      <c r="V13" s="664" t="s">
        <v>18</v>
      </c>
      <c r="W13" s="665">
        <f t="shared" si="2"/>
        <v>100</v>
      </c>
      <c r="X13" s="666"/>
      <c r="Y13" s="338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50"/>
      <c r="Q14" s="530">
        <f t="shared" si="6"/>
        <v>111</v>
      </c>
      <c r="R14" s="664" t="s">
        <v>18</v>
      </c>
      <c r="S14" s="665">
        <f t="shared" si="0"/>
        <v>100</v>
      </c>
      <c r="T14" s="664" t="s">
        <v>18</v>
      </c>
      <c r="U14" s="665">
        <f t="shared" si="1"/>
        <v>100</v>
      </c>
      <c r="V14" s="664" t="s">
        <v>18</v>
      </c>
      <c r="W14" s="665">
        <f t="shared" si="2"/>
        <v>100</v>
      </c>
      <c r="X14" s="666"/>
      <c r="Y14" s="3382"/>
      <c r="Z14" s="50">
        <f t="shared" si="7"/>
        <v>111</v>
      </c>
      <c r="AA14" s="50">
        <f t="shared" si="3"/>
        <v>1</v>
      </c>
      <c r="AB14" s="50">
        <f t="shared" si="4"/>
        <v>1</v>
      </c>
      <c r="AC14" s="50">
        <f t="shared" si="5"/>
        <v>1</v>
      </c>
    </row>
    <row r="15" spans="1:29" ht="85.5">
      <c r="A15" s="379" t="s">
        <v>1685</v>
      </c>
      <c r="B15" s="58" t="s">
        <v>1255</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82" t="s">
        <v>1686</v>
      </c>
      <c r="Q15" s="1262" t="str">
        <f t="shared" si="6"/>
        <v>居住社区成熟度</v>
      </c>
      <c r="R15" s="667" t="s">
        <v>18</v>
      </c>
      <c r="S15" s="668">
        <f t="shared" si="0"/>
        <v>100</v>
      </c>
      <c r="T15" s="667" t="s">
        <v>18</v>
      </c>
      <c r="U15" s="668">
        <f t="shared" si="1"/>
        <v>100</v>
      </c>
      <c r="V15" s="667" t="s">
        <v>18</v>
      </c>
      <c r="W15" s="668">
        <f t="shared" si="2"/>
        <v>100</v>
      </c>
      <c r="X15" s="1264"/>
      <c r="Y15" s="3441" t="s">
        <v>1686</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83"/>
      <c r="Q16" s="1262"/>
      <c r="R16" s="667"/>
      <c r="S16" s="668"/>
      <c r="T16" s="667"/>
      <c r="U16" s="668"/>
      <c r="V16" s="667"/>
      <c r="W16" s="668"/>
      <c r="X16" s="1264"/>
      <c r="Y16" s="3442"/>
      <c r="Z16" s="1263"/>
      <c r="AA16" s="1263">
        <v>1</v>
      </c>
      <c r="AB16" s="1263">
        <v>1</v>
      </c>
      <c r="AC16" s="1263">
        <v>1</v>
      </c>
    </row>
    <row r="17" spans="1:29" ht="71.25">
      <c r="A17" s="367"/>
      <c r="B17" s="390" t="s">
        <v>1257</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83"/>
      <c r="Q17" s="1262" t="str">
        <f>B17</f>
        <v>交通便捷度</v>
      </c>
      <c r="R17" s="667" t="s">
        <v>18</v>
      </c>
      <c r="S17" s="668">
        <f>F17</f>
        <v>100</v>
      </c>
      <c r="T17" s="667" t="s">
        <v>18</v>
      </c>
      <c r="U17" s="668">
        <f>H17</f>
        <v>100</v>
      </c>
      <c r="V17" s="667" t="s">
        <v>18</v>
      </c>
      <c r="W17" s="668">
        <f>J17</f>
        <v>100</v>
      </c>
      <c r="X17" s="1264"/>
      <c r="Y17" s="344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83"/>
      <c r="Q18" s="1262"/>
      <c r="R18" s="667"/>
      <c r="S18" s="668"/>
      <c r="T18" s="667"/>
      <c r="U18" s="668"/>
      <c r="V18" s="667"/>
      <c r="W18" s="668"/>
      <c r="X18" s="1264"/>
      <c r="Y18" s="3442"/>
      <c r="Z18" s="1263"/>
      <c r="AA18" s="1263">
        <v>1</v>
      </c>
      <c r="AB18" s="1263">
        <v>1</v>
      </c>
      <c r="AC18" s="1263">
        <v>1</v>
      </c>
    </row>
    <row r="19" spans="1:29" ht="42.75">
      <c r="A19" s="367"/>
      <c r="B19" s="390" t="s">
        <v>1256</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83"/>
      <c r="Q19" s="1262" t="str">
        <f>B19</f>
        <v>公共配套设施</v>
      </c>
      <c r="R19" s="667" t="s">
        <v>18</v>
      </c>
      <c r="S19" s="668">
        <f>F19</f>
        <v>100</v>
      </c>
      <c r="T19" s="667" t="s">
        <v>18</v>
      </c>
      <c r="U19" s="668">
        <f>H19</f>
        <v>100</v>
      </c>
      <c r="V19" s="667" t="s">
        <v>18</v>
      </c>
      <c r="W19" s="668">
        <f>J19</f>
        <v>100</v>
      </c>
      <c r="X19" s="1264"/>
      <c r="Y19" s="344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83"/>
      <c r="Q20" s="1262"/>
      <c r="R20" s="667"/>
      <c r="S20" s="668"/>
      <c r="T20" s="667"/>
      <c r="U20" s="668"/>
      <c r="V20" s="667"/>
      <c r="W20" s="668"/>
      <c r="X20" s="1264"/>
      <c r="Y20" s="3442"/>
      <c r="Z20" s="1263"/>
      <c r="AA20" s="1263">
        <v>1</v>
      </c>
      <c r="AB20" s="1263">
        <v>1</v>
      </c>
      <c r="AC20" s="1263">
        <v>1</v>
      </c>
    </row>
    <row r="21" spans="1:29" ht="28.5">
      <c r="A21" s="367"/>
      <c r="B21" s="586" t="s">
        <v>1258</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83"/>
      <c r="Q21" s="1262" t="str">
        <f>B21</f>
        <v>基础设施水平</v>
      </c>
      <c r="R21" s="667" t="s">
        <v>14</v>
      </c>
      <c r="S21" s="668">
        <f>F21</f>
        <v>100</v>
      </c>
      <c r="T21" s="667" t="s">
        <v>14</v>
      </c>
      <c r="U21" s="668">
        <f>H21</f>
        <v>100</v>
      </c>
      <c r="V21" s="667" t="s">
        <v>14</v>
      </c>
      <c r="W21" s="668">
        <f>J21</f>
        <v>100</v>
      </c>
      <c r="X21" s="1264"/>
      <c r="Y21" s="344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83"/>
      <c r="Q22" s="1262"/>
      <c r="R22" s="667"/>
      <c r="S22" s="668"/>
      <c r="T22" s="667"/>
      <c r="U22" s="668"/>
      <c r="V22" s="667"/>
      <c r="W22" s="668"/>
      <c r="X22" s="1264"/>
      <c r="Y22" s="3442"/>
      <c r="Z22" s="1263"/>
      <c r="AA22" s="1263">
        <v>1</v>
      </c>
      <c r="AB22" s="1263">
        <v>1</v>
      </c>
      <c r="AC22" s="1263">
        <v>1</v>
      </c>
    </row>
    <row r="23" spans="1:29" ht="42.75">
      <c r="A23" s="367"/>
      <c r="B23" s="390" t="s">
        <v>1259</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83"/>
      <c r="Q23" s="1262" t="str">
        <f>B23</f>
        <v>自然及人文环境</v>
      </c>
      <c r="R23" s="667" t="s">
        <v>18</v>
      </c>
      <c r="S23" s="668">
        <f>F23</f>
        <v>100</v>
      </c>
      <c r="T23" s="667" t="s">
        <v>18</v>
      </c>
      <c r="U23" s="668">
        <f>H23</f>
        <v>100</v>
      </c>
      <c r="V23" s="667" t="s">
        <v>18</v>
      </c>
      <c r="W23" s="668">
        <f>J23</f>
        <v>100</v>
      </c>
      <c r="X23" s="1264"/>
      <c r="Y23" s="344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83"/>
      <c r="Q24" s="1262"/>
      <c r="R24" s="667"/>
      <c r="S24" s="668"/>
      <c r="T24" s="667"/>
      <c r="U24" s="668"/>
      <c r="V24" s="667"/>
      <c r="W24" s="668"/>
      <c r="X24" s="1264"/>
      <c r="Y24" s="3442"/>
      <c r="Z24" s="1263"/>
      <c r="AA24" s="1263">
        <v>1</v>
      </c>
      <c r="AB24" s="1263">
        <v>1</v>
      </c>
      <c r="AC24" s="1263">
        <v>1</v>
      </c>
    </row>
    <row r="25" spans="1:29" ht="15">
      <c r="A25" s="367"/>
      <c r="B25" s="364" t="s">
        <v>1687</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8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42"/>
      <c r="Z25" s="1263" t="str">
        <f>Q25</f>
        <v>楼层-1</v>
      </c>
      <c r="AA25" s="1263">
        <f t="shared" ref="AA25:AA46" si="15">D25/F25</f>
        <v>1</v>
      </c>
      <c r="AB25" s="1263">
        <f t="shared" ref="AB25:AB46" si="16">D25/H25</f>
        <v>1</v>
      </c>
      <c r="AC25" s="1263">
        <f t="shared" ref="AC25:AC46" si="17">D25/J25</f>
        <v>1</v>
      </c>
    </row>
    <row r="26" spans="1:29" ht="15">
      <c r="A26" s="367"/>
      <c r="B26" s="364" t="s">
        <v>1688</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83"/>
      <c r="Q26" s="1262" t="str">
        <f t="shared" si="11"/>
        <v>朝向</v>
      </c>
      <c r="R26" s="667" t="s">
        <v>18</v>
      </c>
      <c r="S26" s="668">
        <f t="shared" si="12"/>
        <v>100</v>
      </c>
      <c r="T26" s="667" t="s">
        <v>18</v>
      </c>
      <c r="U26" s="668">
        <f t="shared" si="13"/>
        <v>100</v>
      </c>
      <c r="V26" s="667" t="s">
        <v>18</v>
      </c>
      <c r="W26" s="668">
        <f t="shared" si="14"/>
        <v>100</v>
      </c>
      <c r="X26" s="1264"/>
      <c r="Y26" s="3442"/>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83"/>
      <c r="Q27" s="530">
        <f t="shared" si="11"/>
        <v>111</v>
      </c>
      <c r="R27" s="664" t="s">
        <v>18</v>
      </c>
      <c r="S27" s="665">
        <f t="shared" si="12"/>
        <v>100</v>
      </c>
      <c r="T27" s="664" t="s">
        <v>18</v>
      </c>
      <c r="U27" s="665">
        <f t="shared" si="13"/>
        <v>100</v>
      </c>
      <c r="V27" s="664" t="s">
        <v>18</v>
      </c>
      <c r="W27" s="665">
        <f t="shared" si="14"/>
        <v>100</v>
      </c>
      <c r="X27" s="666"/>
      <c r="Y27" s="3442"/>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83"/>
      <c r="Q28" s="1262">
        <f t="shared" si="11"/>
        <v>111</v>
      </c>
      <c r="R28" s="667" t="s">
        <v>18</v>
      </c>
      <c r="S28" s="668">
        <f t="shared" si="12"/>
        <v>100</v>
      </c>
      <c r="T28" s="667" t="s">
        <v>18</v>
      </c>
      <c r="U28" s="668">
        <f t="shared" si="13"/>
        <v>100</v>
      </c>
      <c r="V28" s="667" t="s">
        <v>18</v>
      </c>
      <c r="W28" s="668">
        <f t="shared" si="14"/>
        <v>100</v>
      </c>
      <c r="X28" s="1264"/>
      <c r="Y28" s="3442"/>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83"/>
      <c r="Q29" s="1262">
        <f t="shared" si="11"/>
        <v>111</v>
      </c>
      <c r="R29" s="667" t="s">
        <v>18</v>
      </c>
      <c r="S29" s="668">
        <f t="shared" si="12"/>
        <v>100</v>
      </c>
      <c r="T29" s="667" t="s">
        <v>18</v>
      </c>
      <c r="U29" s="668">
        <f t="shared" si="13"/>
        <v>100</v>
      </c>
      <c r="V29" s="667" t="s">
        <v>18</v>
      </c>
      <c r="W29" s="668">
        <f t="shared" si="14"/>
        <v>100</v>
      </c>
      <c r="X29" s="1264"/>
      <c r="Y29" s="3442"/>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83"/>
      <c r="Q30" s="1262">
        <f t="shared" si="11"/>
        <v>111</v>
      </c>
      <c r="R30" s="667" t="s">
        <v>18</v>
      </c>
      <c r="S30" s="668">
        <f t="shared" si="12"/>
        <v>100</v>
      </c>
      <c r="T30" s="667" t="s">
        <v>18</v>
      </c>
      <c r="U30" s="668">
        <f t="shared" si="13"/>
        <v>100</v>
      </c>
      <c r="V30" s="667" t="s">
        <v>18</v>
      </c>
      <c r="W30" s="668">
        <f t="shared" si="14"/>
        <v>100</v>
      </c>
      <c r="X30" s="1264"/>
      <c r="Y30" s="3442"/>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83"/>
      <c r="Q31" s="1262">
        <f t="shared" si="11"/>
        <v>111</v>
      </c>
      <c r="R31" s="667" t="s">
        <v>18</v>
      </c>
      <c r="S31" s="668">
        <f t="shared" si="12"/>
        <v>100</v>
      </c>
      <c r="T31" s="667" t="s">
        <v>18</v>
      </c>
      <c r="U31" s="668">
        <f t="shared" si="13"/>
        <v>100</v>
      </c>
      <c r="V31" s="667" t="s">
        <v>18</v>
      </c>
      <c r="W31" s="668">
        <f t="shared" si="14"/>
        <v>100</v>
      </c>
      <c r="X31" s="1264"/>
      <c r="Y31" s="3442"/>
      <c r="Z31" s="1263">
        <f t="shared" si="18"/>
        <v>111</v>
      </c>
      <c r="AA31" s="1263">
        <f t="shared" si="15"/>
        <v>1</v>
      </c>
      <c r="AB31" s="1263">
        <f t="shared" si="16"/>
        <v>1</v>
      </c>
      <c r="AC31" s="1263">
        <f t="shared" si="17"/>
        <v>1</v>
      </c>
    </row>
    <row r="32" spans="1:29" ht="15">
      <c r="A32" s="379" t="s">
        <v>1689</v>
      </c>
      <c r="B32" s="60" t="s">
        <v>1690</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78" t="s">
        <v>1691</v>
      </c>
      <c r="Q32" s="1262" t="str">
        <f t="shared" si="11"/>
        <v>建筑类型</v>
      </c>
      <c r="R32" s="667" t="s">
        <v>18</v>
      </c>
      <c r="S32" s="668">
        <f t="shared" si="12"/>
        <v>100</v>
      </c>
      <c r="T32" s="667" t="s">
        <v>18</v>
      </c>
      <c r="U32" s="668">
        <f t="shared" si="13"/>
        <v>100</v>
      </c>
      <c r="V32" s="667" t="s">
        <v>18</v>
      </c>
      <c r="W32" s="668">
        <f t="shared" si="14"/>
        <v>100</v>
      </c>
      <c r="X32" s="1264"/>
      <c r="Y32" s="3444" t="s">
        <v>1691</v>
      </c>
      <c r="Z32" s="1263" t="str">
        <f t="shared" si="18"/>
        <v>建筑类型</v>
      </c>
      <c r="AA32" s="1263">
        <f t="shared" si="15"/>
        <v>1</v>
      </c>
      <c r="AB32" s="1263">
        <f t="shared" si="16"/>
        <v>1</v>
      </c>
      <c r="AC32" s="1263">
        <f t="shared" si="17"/>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79"/>
      <c r="Q33" s="531" t="str">
        <f t="shared" si="11"/>
        <v>项目建筑规模</v>
      </c>
      <c r="R33" s="669" t="s">
        <v>18</v>
      </c>
      <c r="S33" s="670" t="e">
        <f t="shared" si="12"/>
        <v>#N/A</v>
      </c>
      <c r="T33" s="669" t="s">
        <v>18</v>
      </c>
      <c r="U33" s="670" t="e">
        <f t="shared" si="13"/>
        <v>#N/A</v>
      </c>
      <c r="V33" s="669" t="s">
        <v>18</v>
      </c>
      <c r="W33" s="670" t="e">
        <f t="shared" si="14"/>
        <v>#N/A</v>
      </c>
      <c r="X33" s="671"/>
      <c r="Y33" s="3444"/>
      <c r="Z33" s="672" t="str">
        <f t="shared" si="18"/>
        <v>项目建筑规模</v>
      </c>
      <c r="AA33" s="1263" t="e">
        <f t="shared" si="15"/>
        <v>#N/A</v>
      </c>
      <c r="AB33" s="1263" t="e">
        <f t="shared" si="16"/>
        <v>#N/A</v>
      </c>
      <c r="AC33" s="1263" t="e">
        <f t="shared" si="17"/>
        <v>#N/A</v>
      </c>
    </row>
    <row r="34" spans="1:29" ht="15">
      <c r="A34" s="409"/>
      <c r="B34" s="364" t="s">
        <v>1693</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79"/>
      <c r="Q34" s="1262" t="str">
        <f t="shared" si="11"/>
        <v>建筑结构</v>
      </c>
      <c r="R34" s="667" t="s">
        <v>18</v>
      </c>
      <c r="S34" s="668">
        <f t="shared" si="12"/>
        <v>100</v>
      </c>
      <c r="T34" s="667" t="s">
        <v>18</v>
      </c>
      <c r="U34" s="668">
        <f t="shared" si="13"/>
        <v>100</v>
      </c>
      <c r="V34" s="667" t="s">
        <v>18</v>
      </c>
      <c r="W34" s="668">
        <f t="shared" si="14"/>
        <v>100</v>
      </c>
      <c r="X34" s="1264"/>
      <c r="Y34" s="3444"/>
      <c r="Z34" s="1263" t="str">
        <f t="shared" si="18"/>
        <v>建筑结构</v>
      </c>
      <c r="AA34" s="1263">
        <f t="shared" si="15"/>
        <v>1</v>
      </c>
      <c r="AB34" s="1263">
        <f t="shared" si="16"/>
        <v>1</v>
      </c>
      <c r="AC34" s="1263">
        <f t="shared" si="17"/>
        <v>1</v>
      </c>
    </row>
    <row r="35" spans="1:29" ht="15">
      <c r="A35" s="409"/>
      <c r="B35" s="364" t="s">
        <v>1694</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79"/>
      <c r="Q35" s="1262" t="str">
        <f t="shared" si="11"/>
        <v>建筑品质</v>
      </c>
      <c r="R35" s="667" t="s">
        <v>18</v>
      </c>
      <c r="S35" s="668">
        <f t="shared" si="12"/>
        <v>100</v>
      </c>
      <c r="T35" s="667" t="s">
        <v>18</v>
      </c>
      <c r="U35" s="668">
        <f t="shared" si="13"/>
        <v>100</v>
      </c>
      <c r="V35" s="667" t="s">
        <v>18</v>
      </c>
      <c r="W35" s="668">
        <f t="shared" si="14"/>
        <v>100</v>
      </c>
      <c r="X35" s="1264"/>
      <c r="Y35" s="3444"/>
      <c r="Z35" s="1263" t="str">
        <f t="shared" si="18"/>
        <v>建筑品质</v>
      </c>
      <c r="AA35" s="1263">
        <f t="shared" si="15"/>
        <v>1</v>
      </c>
      <c r="AB35" s="1263">
        <f t="shared" si="16"/>
        <v>1</v>
      </c>
      <c r="AC35" s="1263">
        <f t="shared" si="17"/>
        <v>1</v>
      </c>
    </row>
    <row r="36" spans="1:29" ht="15">
      <c r="A36" s="409"/>
      <c r="B36" s="364" t="s">
        <v>1695</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79"/>
      <c r="Q36" s="1262" t="str">
        <f t="shared" si="11"/>
        <v>公共部分装修</v>
      </c>
      <c r="R36" s="667" t="s">
        <v>18</v>
      </c>
      <c r="S36" s="668">
        <f t="shared" si="12"/>
        <v>100</v>
      </c>
      <c r="T36" s="667" t="s">
        <v>18</v>
      </c>
      <c r="U36" s="668">
        <f t="shared" si="13"/>
        <v>100</v>
      </c>
      <c r="V36" s="667" t="s">
        <v>18</v>
      </c>
      <c r="W36" s="668">
        <f t="shared" si="14"/>
        <v>100</v>
      </c>
      <c r="X36" s="1264"/>
      <c r="Y36" s="3444"/>
      <c r="Z36" s="1263" t="str">
        <f t="shared" si="18"/>
        <v>公共部分装修</v>
      </c>
      <c r="AA36" s="1263">
        <f t="shared" si="15"/>
        <v>1</v>
      </c>
      <c r="AB36" s="1263">
        <f t="shared" si="16"/>
        <v>1</v>
      </c>
      <c r="AC36" s="1263">
        <f t="shared" si="17"/>
        <v>1</v>
      </c>
    </row>
    <row r="37" spans="1:29" s="102" customFormat="1" ht="15">
      <c r="A37" s="410"/>
      <c r="B37" s="364" t="s">
        <v>1696</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79"/>
      <c r="Q37" s="530" t="str">
        <f t="shared" si="11"/>
        <v>成新度</v>
      </c>
      <c r="R37" s="664" t="s">
        <v>18</v>
      </c>
      <c r="S37" s="665" t="e">
        <f t="shared" si="12"/>
        <v>#N/A</v>
      </c>
      <c r="T37" s="664" t="s">
        <v>18</v>
      </c>
      <c r="U37" s="665" t="e">
        <f t="shared" si="13"/>
        <v>#N/A</v>
      </c>
      <c r="V37" s="664" t="s">
        <v>18</v>
      </c>
      <c r="W37" s="665" t="e">
        <f t="shared" si="14"/>
        <v>#N/A</v>
      </c>
      <c r="X37" s="666"/>
      <c r="Y37" s="3444"/>
      <c r="Z37" s="50" t="str">
        <f t="shared" si="18"/>
        <v>成新度</v>
      </c>
      <c r="AA37" s="50" t="e">
        <f t="shared" si="15"/>
        <v>#N/A</v>
      </c>
      <c r="AB37" s="50" t="e">
        <f t="shared" si="16"/>
        <v>#N/A</v>
      </c>
      <c r="AC37" s="50" t="e">
        <f t="shared" si="17"/>
        <v>#N/A</v>
      </c>
    </row>
    <row r="38" spans="1:29" ht="15">
      <c r="A38" s="409"/>
      <c r="B38" s="364" t="s">
        <v>1697</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79" t="s">
        <v>1691</v>
      </c>
      <c r="Q38" s="1262" t="str">
        <f t="shared" si="11"/>
        <v>物业管理</v>
      </c>
      <c r="R38" s="667" t="s">
        <v>18</v>
      </c>
      <c r="S38" s="668">
        <f t="shared" si="12"/>
        <v>100</v>
      </c>
      <c r="T38" s="667" t="s">
        <v>18</v>
      </c>
      <c r="U38" s="668">
        <f t="shared" si="13"/>
        <v>100</v>
      </c>
      <c r="V38" s="667" t="s">
        <v>18</v>
      </c>
      <c r="W38" s="668">
        <f t="shared" si="14"/>
        <v>100</v>
      </c>
      <c r="X38" s="1264"/>
      <c r="Y38" s="3444" t="s">
        <v>1691</v>
      </c>
      <c r="Z38" s="1263" t="str">
        <f t="shared" si="18"/>
        <v>物业管理</v>
      </c>
      <c r="AA38" s="1263">
        <f t="shared" si="15"/>
        <v>1</v>
      </c>
      <c r="AB38" s="1263">
        <f t="shared" si="16"/>
        <v>1</v>
      </c>
      <c r="AC38" s="1263">
        <f t="shared" si="17"/>
        <v>1</v>
      </c>
    </row>
    <row r="39" spans="1:29" ht="15">
      <c r="A39" s="409"/>
      <c r="B39" s="364" t="s">
        <v>1698</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79"/>
      <c r="Q39" s="1262" t="str">
        <f t="shared" si="11"/>
        <v>市政基础设施</v>
      </c>
      <c r="R39" s="667" t="s">
        <v>18</v>
      </c>
      <c r="S39" s="668">
        <f t="shared" si="12"/>
        <v>100</v>
      </c>
      <c r="T39" s="667" t="s">
        <v>18</v>
      </c>
      <c r="U39" s="668">
        <f t="shared" si="13"/>
        <v>100</v>
      </c>
      <c r="V39" s="667" t="s">
        <v>18</v>
      </c>
      <c r="W39" s="668">
        <f t="shared" si="14"/>
        <v>100</v>
      </c>
      <c r="X39" s="1264"/>
      <c r="Y39" s="3444"/>
      <c r="Z39" s="1263" t="str">
        <f t="shared" si="18"/>
        <v>市政基础设施</v>
      </c>
      <c r="AA39" s="1263">
        <f t="shared" si="15"/>
        <v>1</v>
      </c>
      <c r="AB39" s="1263">
        <f t="shared" si="16"/>
        <v>1</v>
      </c>
      <c r="AC39" s="1263">
        <f t="shared" si="17"/>
        <v>1</v>
      </c>
    </row>
    <row r="40" spans="1:29" ht="15">
      <c r="A40" s="409"/>
      <c r="B40" s="364" t="s">
        <v>1699</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79"/>
      <c r="Q40" s="1262" t="str">
        <f t="shared" si="11"/>
        <v>房型</v>
      </c>
      <c r="R40" s="667" t="s">
        <v>18</v>
      </c>
      <c r="S40" s="668">
        <f t="shared" si="12"/>
        <v>100</v>
      </c>
      <c r="T40" s="667" t="s">
        <v>18</v>
      </c>
      <c r="U40" s="668">
        <f t="shared" si="13"/>
        <v>100</v>
      </c>
      <c r="V40" s="667" t="s">
        <v>18</v>
      </c>
      <c r="W40" s="668">
        <f t="shared" si="14"/>
        <v>100</v>
      </c>
      <c r="X40" s="1264"/>
      <c r="Y40" s="3444"/>
      <c r="Z40" s="1263" t="str">
        <f t="shared" si="18"/>
        <v>房型</v>
      </c>
      <c r="AA40" s="1263">
        <f t="shared" si="15"/>
        <v>1</v>
      </c>
      <c r="AB40" s="1263">
        <f t="shared" si="16"/>
        <v>1</v>
      </c>
      <c r="AC40" s="1263">
        <f t="shared" si="17"/>
        <v>1</v>
      </c>
    </row>
    <row r="41" spans="1:29" s="408" customFormat="1" ht="28.5">
      <c r="A41" s="406"/>
      <c r="B41" s="364" t="s">
        <v>1700</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79"/>
      <c r="Q41" s="531" t="str">
        <f t="shared" si="11"/>
        <v>单套/主力户型建筑面积</v>
      </c>
      <c r="R41" s="669" t="s">
        <v>18</v>
      </c>
      <c r="S41" s="670">
        <f t="shared" si="12"/>
        <v>100</v>
      </c>
      <c r="T41" s="669" t="s">
        <v>18</v>
      </c>
      <c r="U41" s="670">
        <f t="shared" si="13"/>
        <v>100</v>
      </c>
      <c r="V41" s="669" t="s">
        <v>18</v>
      </c>
      <c r="W41" s="670">
        <f t="shared" si="14"/>
        <v>100</v>
      </c>
      <c r="X41" s="671"/>
      <c r="Y41" s="3444"/>
      <c r="Z41" s="672" t="str">
        <f t="shared" si="18"/>
        <v>单套/主力户型建筑面积</v>
      </c>
      <c r="AA41" s="1263">
        <f t="shared" si="15"/>
        <v>1</v>
      </c>
      <c r="AB41" s="1263">
        <f t="shared" si="16"/>
        <v>1</v>
      </c>
      <c r="AC41" s="1263">
        <f t="shared" si="17"/>
        <v>1</v>
      </c>
    </row>
    <row r="42" spans="1:29" ht="15">
      <c r="A42" s="409"/>
      <c r="B42" s="364" t="s">
        <v>1701</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79"/>
      <c r="Q42" s="1262" t="str">
        <f t="shared" si="11"/>
        <v>内部装修</v>
      </c>
      <c r="R42" s="667" t="s">
        <v>18</v>
      </c>
      <c r="S42" s="668">
        <f t="shared" si="12"/>
        <v>100</v>
      </c>
      <c r="T42" s="667" t="s">
        <v>18</v>
      </c>
      <c r="U42" s="668">
        <f t="shared" si="13"/>
        <v>100</v>
      </c>
      <c r="V42" s="667" t="s">
        <v>18</v>
      </c>
      <c r="W42" s="668">
        <f t="shared" si="14"/>
        <v>100</v>
      </c>
      <c r="X42" s="1264"/>
      <c r="Y42" s="3444"/>
      <c r="Z42" s="1263" t="str">
        <f t="shared" si="18"/>
        <v>内部装修</v>
      </c>
      <c r="AA42" s="1263">
        <f t="shared" si="15"/>
        <v>1</v>
      </c>
      <c r="AB42" s="1263">
        <f t="shared" si="16"/>
        <v>1</v>
      </c>
      <c r="AC42" s="1263">
        <f t="shared" si="17"/>
        <v>1</v>
      </c>
    </row>
    <row r="43" spans="1:29" ht="15">
      <c r="A43" s="409"/>
      <c r="B43" s="364" t="s">
        <v>1702</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79"/>
      <c r="Q43" s="1262" t="str">
        <f t="shared" si="11"/>
        <v>内部装修维护情况</v>
      </c>
      <c r="R43" s="667" t="s">
        <v>18</v>
      </c>
      <c r="S43" s="668">
        <f t="shared" si="12"/>
        <v>100</v>
      </c>
      <c r="T43" s="667" t="s">
        <v>18</v>
      </c>
      <c r="U43" s="668">
        <f t="shared" si="13"/>
        <v>100</v>
      </c>
      <c r="V43" s="667" t="s">
        <v>18</v>
      </c>
      <c r="W43" s="668">
        <f t="shared" si="14"/>
        <v>100</v>
      </c>
      <c r="X43" s="1264"/>
      <c r="Y43" s="3444"/>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79"/>
      <c r="Q44" s="530">
        <f t="shared" si="11"/>
        <v>111</v>
      </c>
      <c r="R44" s="664" t="s">
        <v>18</v>
      </c>
      <c r="S44" s="665">
        <f t="shared" si="12"/>
        <v>100</v>
      </c>
      <c r="T44" s="664" t="s">
        <v>18</v>
      </c>
      <c r="U44" s="665">
        <f t="shared" si="13"/>
        <v>100</v>
      </c>
      <c r="V44" s="664" t="s">
        <v>18</v>
      </c>
      <c r="W44" s="665">
        <f t="shared" si="14"/>
        <v>100</v>
      </c>
      <c r="X44" s="666"/>
      <c r="Y44" s="344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79"/>
      <c r="Q45" s="1262">
        <f t="shared" si="11"/>
        <v>111</v>
      </c>
      <c r="R45" s="667" t="s">
        <v>18</v>
      </c>
      <c r="S45" s="668">
        <f t="shared" si="12"/>
        <v>100</v>
      </c>
      <c r="T45" s="667" t="s">
        <v>18</v>
      </c>
      <c r="U45" s="668">
        <f t="shared" si="13"/>
        <v>100</v>
      </c>
      <c r="V45" s="667" t="s">
        <v>18</v>
      </c>
      <c r="W45" s="668">
        <f t="shared" si="14"/>
        <v>100</v>
      </c>
      <c r="X45" s="1264"/>
      <c r="Y45" s="344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80"/>
      <c r="Q46" s="1262">
        <f t="shared" si="11"/>
        <v>111</v>
      </c>
      <c r="R46" s="667" t="s">
        <v>17</v>
      </c>
      <c r="S46" s="668">
        <f t="shared" si="12"/>
        <v>100</v>
      </c>
      <c r="T46" s="667" t="s">
        <v>17</v>
      </c>
      <c r="U46" s="668">
        <f t="shared" si="13"/>
        <v>100</v>
      </c>
      <c r="V46" s="667" t="s">
        <v>17</v>
      </c>
      <c r="W46" s="668">
        <f t="shared" si="14"/>
        <v>100</v>
      </c>
      <c r="X46" s="1264"/>
      <c r="Y46" s="3481"/>
      <c r="Z46" s="1263">
        <f t="shared" si="18"/>
        <v>111</v>
      </c>
      <c r="AA46" s="1263">
        <f t="shared" si="15"/>
        <v>1</v>
      </c>
      <c r="AB46" s="1263">
        <f t="shared" si="16"/>
        <v>1</v>
      </c>
      <c r="AC46" s="1263">
        <f t="shared" si="17"/>
        <v>1</v>
      </c>
    </row>
    <row r="47" spans="1:29" ht="15">
      <c r="A47" s="416" t="s">
        <v>1703</v>
      </c>
      <c r="B47" s="417"/>
      <c r="C47" s="1081" t="s">
        <v>16</v>
      </c>
      <c r="D47" s="418"/>
      <c r="E47" s="419"/>
      <c r="F47" s="420"/>
      <c r="G47" s="421"/>
      <c r="H47" s="422"/>
      <c r="I47" s="419"/>
      <c r="J47" s="422"/>
      <c r="K47" s="1766"/>
      <c r="L47" s="2494"/>
      <c r="M47" s="2487"/>
      <c r="N47" s="2487"/>
      <c r="O47" s="2487"/>
      <c r="P47" s="3426" t="str">
        <f>A47</f>
        <v>成交单价（元/平方米）</v>
      </c>
      <c r="Q47" s="3426"/>
      <c r="R47" s="3439">
        <f>E47</f>
        <v>0</v>
      </c>
      <c r="S47" s="3439"/>
      <c r="T47" s="3439">
        <f>G47</f>
        <v>0</v>
      </c>
      <c r="U47" s="3439"/>
      <c r="V47" s="3439">
        <f>I47</f>
        <v>0</v>
      </c>
      <c r="W47" s="3439"/>
      <c r="X47" s="385"/>
      <c r="Y47" s="673"/>
      <c r="Z47" s="385"/>
      <c r="AA47" s="385"/>
      <c r="AB47" s="385"/>
      <c r="AC47" s="385"/>
    </row>
    <row r="48" spans="1:29" ht="15.75" thickBot="1">
      <c r="A48" s="423" t="s">
        <v>1704</v>
      </c>
      <c r="B48" s="424"/>
      <c r="C48" s="1082" t="e">
        <f>R49</f>
        <v>#DIV/0!</v>
      </c>
      <c r="D48" s="2140" t="s">
        <v>2132</v>
      </c>
      <c r="E48" s="1083" t="e">
        <f>R48</f>
        <v>#DIV/0!</v>
      </c>
      <c r="F48" s="2141"/>
      <c r="G48" s="1082" t="e">
        <f>T48</f>
        <v>#DIV/0!</v>
      </c>
      <c r="H48" s="2141"/>
      <c r="I48" s="1083" t="e">
        <f>V48</f>
        <v>#DIV/0!</v>
      </c>
      <c r="J48" s="2141"/>
      <c r="K48" s="2142">
        <f>F48+H48+J48</f>
        <v>0</v>
      </c>
      <c r="L48" s="2494"/>
      <c r="M48" s="2487"/>
      <c r="N48" s="2487"/>
      <c r="O48" s="2487"/>
      <c r="P48" s="3426" t="str">
        <f>A48</f>
        <v>比较价值（元/平方米）</v>
      </c>
      <c r="Q48" s="3426"/>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5"/>
      <c r="Y48" s="385"/>
      <c r="Z48" s="385"/>
      <c r="AA48" s="385"/>
      <c r="AB48" s="385"/>
      <c r="AC48" s="385"/>
    </row>
    <row r="49" spans="1:29" ht="15.75" thickBot="1">
      <c r="A49" s="427" t="s">
        <v>1705</v>
      </c>
      <c r="B49" s="428"/>
      <c r="C49" s="1084" t="e">
        <f>R49</f>
        <v>#DIV/0!</v>
      </c>
      <c r="D49" s="351"/>
      <c r="E49" s="351"/>
      <c r="F49" s="351"/>
      <c r="G49" s="351"/>
      <c r="H49" s="351"/>
      <c r="I49" s="351"/>
      <c r="J49" s="351"/>
      <c r="K49" s="1767"/>
      <c r="L49" s="2494"/>
      <c r="M49" s="2487"/>
      <c r="N49" s="2487"/>
      <c r="O49" s="2487"/>
      <c r="P49" s="3446" t="str">
        <f>A49</f>
        <v>估价对象XX用房的比较价值（楼面单价，元/平方米）</v>
      </c>
      <c r="Q49" s="3447"/>
      <c r="R49" s="3477" t="e">
        <f>IF(F1="售价",ROUND(IF(D48="简单平均",AVERAGE(R48:V48),R48*F48+T48*H48+V48*J48),0),ROUND(IF(D48="简单平均",AVERAGE(R48:V48),R48*F48+T48*H48+V48*J48),1))</f>
        <v>#DIV/0!</v>
      </c>
      <c r="S49" s="3477"/>
      <c r="T49" s="3477"/>
      <c r="U49" s="3477"/>
      <c r="V49" s="3477"/>
      <c r="W49" s="347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1706</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1707</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1708</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1709</v>
      </c>
      <c r="B57" s="385"/>
      <c r="C57" s="659"/>
      <c r="D57" s="659"/>
      <c r="E57" s="659"/>
      <c r="F57" s="660"/>
      <c r="G57" s="660"/>
      <c r="H57" s="659"/>
      <c r="I57" s="659"/>
      <c r="J57" s="659"/>
      <c r="K57" s="887"/>
      <c r="L57" s="888"/>
      <c r="M57" s="886"/>
      <c r="N57" s="886"/>
      <c r="O57" s="886"/>
      <c r="P57" s="1770"/>
      <c r="Q57" s="439"/>
    </row>
    <row r="58" spans="1:29" s="442" customFormat="1" ht="15">
      <c r="A58" s="440" t="s">
        <v>1710</v>
      </c>
      <c r="B58" s="441"/>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1711</v>
      </c>
      <c r="B60" s="450"/>
      <c r="C60" s="451"/>
      <c r="D60" s="452"/>
      <c r="E60" s="452"/>
      <c r="F60" s="452"/>
      <c r="G60" s="452"/>
      <c r="H60" s="452"/>
      <c r="I60" s="452"/>
      <c r="J60" s="452"/>
      <c r="K60" s="452"/>
      <c r="L60" s="452"/>
      <c r="M60" s="453"/>
      <c r="N60" s="452"/>
      <c r="O60" s="453"/>
      <c r="P60" s="1772"/>
      <c r="Q60" s="439"/>
    </row>
    <row r="61" spans="1:29" s="102" customFormat="1" ht="15">
      <c r="A61" s="455" t="s">
        <v>1712</v>
      </c>
      <c r="B61" s="444"/>
      <c r="C61" s="456" t="s">
        <v>1713</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1714</v>
      </c>
      <c r="B63" s="460" t="s">
        <v>1680</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1683</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1684</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1685</v>
      </c>
      <c r="B76" s="460" t="s">
        <v>1715</v>
      </c>
      <c r="C76" s="504" t="s">
        <v>1716</v>
      </c>
      <c r="D76" s="504" t="s">
        <v>1717</v>
      </c>
      <c r="E76" s="504" t="s">
        <v>1718</v>
      </c>
      <c r="F76" s="504" t="s">
        <v>1719</v>
      </c>
      <c r="G76" s="504" t="s">
        <v>1720</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1721</v>
      </c>
      <c r="C78" s="509" t="s">
        <v>1716</v>
      </c>
      <c r="D78" s="509" t="s">
        <v>1717</v>
      </c>
      <c r="E78" s="509" t="s">
        <v>1718</v>
      </c>
      <c r="F78" s="509" t="s">
        <v>1719</v>
      </c>
      <c r="G78" s="509" t="s">
        <v>1720</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1722</v>
      </c>
      <c r="C80" s="509" t="s">
        <v>1716</v>
      </c>
      <c r="D80" s="509" t="s">
        <v>1717</v>
      </c>
      <c r="E80" s="509" t="s">
        <v>1718</v>
      </c>
      <c r="F80" s="509" t="s">
        <v>1719</v>
      </c>
      <c r="G80" s="509" t="s">
        <v>1720</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1258</v>
      </c>
      <c r="C82" s="470" t="s">
        <v>1723</v>
      </c>
      <c r="D82" s="470" t="s">
        <v>1724</v>
      </c>
      <c r="E82" s="470" t="s">
        <v>1725</v>
      </c>
      <c r="F82" s="470" t="s">
        <v>1726</v>
      </c>
      <c r="G82" s="470" t="s">
        <v>1727</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1728</v>
      </c>
      <c r="C84" s="509" t="s">
        <v>1716</v>
      </c>
      <c r="D84" s="509" t="s">
        <v>1717</v>
      </c>
      <c r="E84" s="509" t="s">
        <v>1718</v>
      </c>
      <c r="F84" s="509" t="s">
        <v>1719</v>
      </c>
      <c r="G84" s="509" t="s">
        <v>1720</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1729</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1730</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1689</v>
      </c>
      <c r="B100" s="460" t="s">
        <v>1731</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1732</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1733</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1734</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1735</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1736</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1737</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1738</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1700</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1739</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1740</v>
      </c>
      <c r="C124" s="509" t="s">
        <v>1716</v>
      </c>
      <c r="D124" s="509" t="s">
        <v>1717</v>
      </c>
      <c r="E124" s="509" t="s">
        <v>1718</v>
      </c>
      <c r="F124" s="509" t="s">
        <v>1719</v>
      </c>
      <c r="G124" s="509" t="s">
        <v>1720</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1741</v>
      </c>
    </row>
    <row r="137" spans="1:17" ht="15">
      <c r="B137" s="1781" t="s">
        <v>1742</v>
      </c>
      <c r="C137" s="1782"/>
      <c r="D137" s="1782"/>
      <c r="E137" s="1782"/>
      <c r="F137" s="1782"/>
      <c r="G137" s="1783"/>
      <c r="H137" s="1784"/>
      <c r="I137" s="1785" t="s">
        <v>1743</v>
      </c>
      <c r="J137" s="1782"/>
      <c r="K137" s="1786"/>
    </row>
    <row r="138" spans="1:17" ht="15">
      <c r="B138" s="1787"/>
      <c r="C138" s="129" t="s">
        <v>1744</v>
      </c>
      <c r="D138" s="129" t="s">
        <v>1745</v>
      </c>
      <c r="E138" s="1788" t="s">
        <v>1746</v>
      </c>
      <c r="F138" s="1789" t="s">
        <v>1747</v>
      </c>
      <c r="G138" s="129" t="s">
        <v>1745</v>
      </c>
      <c r="H138" s="130" t="s">
        <v>1746</v>
      </c>
      <c r="I138" s="1790"/>
      <c r="J138" s="129" t="s">
        <v>1748</v>
      </c>
      <c r="K138" s="130" t="s">
        <v>1749</v>
      </c>
    </row>
    <row r="139" spans="1:17" ht="15">
      <c r="B139" s="814">
        <v>6</v>
      </c>
      <c r="C139" s="815">
        <v>96</v>
      </c>
      <c r="D139" s="1791" t="s">
        <v>1750</v>
      </c>
      <c r="E139" s="816">
        <v>100</v>
      </c>
      <c r="F139" s="817">
        <v>102.5</v>
      </c>
      <c r="G139" s="1791" t="s">
        <v>1750</v>
      </c>
      <c r="H139" s="818">
        <v>105</v>
      </c>
      <c r="I139" s="1792" t="s">
        <v>1751</v>
      </c>
      <c r="J139" s="815">
        <v>20</v>
      </c>
      <c r="K139" s="819">
        <f>C145/(J139-2)</f>
        <v>4.0555555555555553E-3</v>
      </c>
    </row>
    <row r="140" spans="1:17" ht="15">
      <c r="B140" s="820">
        <v>5</v>
      </c>
      <c r="C140" s="821">
        <v>100</v>
      </c>
      <c r="D140" s="821"/>
      <c r="E140" s="822"/>
      <c r="F140" s="823">
        <v>102</v>
      </c>
      <c r="G140" s="821"/>
      <c r="H140" s="824"/>
      <c r="I140" s="1793" t="s">
        <v>1752</v>
      </c>
      <c r="J140" s="263">
        <f>ROUNDUP((J139-1)/2,0)</f>
        <v>10</v>
      </c>
      <c r="K140" s="825">
        <v>100</v>
      </c>
    </row>
    <row r="141" spans="1:17" ht="15">
      <c r="B141" s="820">
        <v>4</v>
      </c>
      <c r="C141" s="821">
        <v>102</v>
      </c>
      <c r="D141" s="821"/>
      <c r="E141" s="822"/>
      <c r="F141" s="823">
        <v>101.5</v>
      </c>
      <c r="G141" s="821"/>
      <c r="H141" s="824"/>
      <c r="I141" s="1793" t="s">
        <v>1753</v>
      </c>
      <c r="J141" s="263">
        <v>1</v>
      </c>
      <c r="K141" s="826">
        <f>ROUND(100+(J141-J140)*K139*100,1)</f>
        <v>96.4</v>
      </c>
    </row>
    <row r="142" spans="1:17" ht="15">
      <c r="B142" s="820">
        <v>3</v>
      </c>
      <c r="C142" s="821">
        <v>103</v>
      </c>
      <c r="D142" s="821"/>
      <c r="E142" s="822"/>
      <c r="F142" s="823">
        <v>101</v>
      </c>
      <c r="G142" s="821"/>
      <c r="H142" s="824"/>
      <c r="I142" s="1793" t="s">
        <v>1754</v>
      </c>
      <c r="J142" s="263">
        <f>J139</f>
        <v>20</v>
      </c>
      <c r="K142" s="827">
        <v>95</v>
      </c>
    </row>
    <row r="143" spans="1:17" ht="15">
      <c r="B143" s="820">
        <v>2</v>
      </c>
      <c r="C143" s="821">
        <v>100</v>
      </c>
      <c r="D143" s="821"/>
      <c r="E143" s="822"/>
      <c r="F143" s="823">
        <v>100.5</v>
      </c>
      <c r="G143" s="821"/>
      <c r="H143" s="824"/>
      <c r="I143" s="1793" t="s">
        <v>1755</v>
      </c>
      <c r="J143" s="821">
        <v>15</v>
      </c>
      <c r="K143" s="826">
        <f>ROUND(100+(J143-J140)*K139*100,1)</f>
        <v>102</v>
      </c>
    </row>
    <row r="144" spans="1:17" ht="15">
      <c r="B144" s="820">
        <v>1</v>
      </c>
      <c r="C144" s="821">
        <v>98</v>
      </c>
      <c r="D144" s="1794" t="s">
        <v>1756</v>
      </c>
      <c r="E144" s="822">
        <v>102</v>
      </c>
      <c r="F144" s="828">
        <v>100</v>
      </c>
      <c r="G144" s="1794" t="s">
        <v>1756</v>
      </c>
      <c r="H144" s="824">
        <v>105</v>
      </c>
      <c r="I144" s="1793" t="s">
        <v>1755</v>
      </c>
      <c r="J144" s="821">
        <v>18</v>
      </c>
      <c r="K144" s="826">
        <f>ROUND(100+(J144-J140)*K139*100,1)</f>
        <v>103.2</v>
      </c>
    </row>
    <row r="145" spans="2:11" ht="15.75" thickBot="1">
      <c r="B145" s="1795" t="s">
        <v>1757</v>
      </c>
      <c r="C145" s="829">
        <f>ROUND(MAX(C139:C144)/MIN(C139:C144)-1,3)</f>
        <v>7.2999999999999995E-2</v>
      </c>
      <c r="D145" s="830"/>
      <c r="E145" s="830"/>
      <c r="F145" s="1796" t="s">
        <v>1758</v>
      </c>
      <c r="G145" s="1797"/>
      <c r="H145" s="1798"/>
      <c r="I145" s="1799" t="s">
        <v>1755</v>
      </c>
      <c r="J145" s="831">
        <v>8</v>
      </c>
      <c r="K145" s="832">
        <f>ROUND(100+(J145-J140)*K139*100,1)</f>
        <v>99.2</v>
      </c>
    </row>
    <row r="147" spans="2:11">
      <c r="B147" s="1780" t="s">
        <v>1759</v>
      </c>
    </row>
    <row r="148" spans="2:11">
      <c r="B148" s="1780"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733" t="s">
        <v>1761</v>
      </c>
      <c r="C1" s="1154" t="s">
        <v>1657</v>
      </c>
      <c r="D1" s="1141"/>
      <c r="E1" s="3123"/>
      <c r="F1" s="1734"/>
      <c r="G1" s="1151" t="s">
        <v>1762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1457</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1458</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1459</v>
      </c>
      <c r="B3" s="536">
        <f>IF(C2="——",C49,ROUND(B2*10000/D3,0))</f>
        <v>0</v>
      </c>
      <c r="C3" s="344" t="s">
        <v>1763</v>
      </c>
      <c r="D3" s="343">
        <f>IF(D1="",'数据-汇总表'!E3,SUMIF('数据-汇总表'!$C19:$C33,D1,'数据-汇总表'!$E19:$E33))</f>
        <v>66017.299999999916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1764</v>
      </c>
      <c r="B4" s="346"/>
      <c r="C4" s="3427" t="s">
        <v>1765</v>
      </c>
      <c r="D4" s="3428"/>
      <c r="E4" s="3429" t="s">
        <v>1766</v>
      </c>
      <c r="F4" s="3430"/>
      <c r="G4" s="3427" t="s">
        <v>1767</v>
      </c>
      <c r="H4" s="3428"/>
      <c r="I4" s="3427" t="s">
        <v>1768</v>
      </c>
      <c r="J4" s="3428"/>
      <c r="K4" s="537" t="s">
        <v>1769</v>
      </c>
      <c r="L4" s="2486"/>
      <c r="M4" s="2487"/>
      <c r="N4" s="2487"/>
      <c r="O4" s="2487"/>
      <c r="P4" s="3431" t="s">
        <v>1770</v>
      </c>
      <c r="Q4" s="3432"/>
      <c r="R4" s="3414" t="s">
        <v>1766</v>
      </c>
      <c r="S4" s="3415"/>
      <c r="T4" s="3414" t="s">
        <v>1767</v>
      </c>
      <c r="U4" s="3415"/>
      <c r="V4" s="3439" t="s">
        <v>1768</v>
      </c>
      <c r="W4" s="3439"/>
      <c r="X4" s="1264"/>
      <c r="Y4" s="3414" t="s">
        <v>1770</v>
      </c>
      <c r="Z4" s="3415"/>
      <c r="AA4" s="3409" t="s">
        <v>1766</v>
      </c>
      <c r="AB4" s="3439" t="s">
        <v>1767</v>
      </c>
      <c r="AC4" s="3409" t="s">
        <v>1768</v>
      </c>
    </row>
    <row r="5" spans="1:29" ht="15">
      <c r="A5" s="348"/>
      <c r="B5" s="349"/>
      <c r="C5" s="3420" t="s">
        <v>1668</v>
      </c>
      <c r="D5" s="3421"/>
      <c r="E5" s="3418" t="s">
        <v>1669</v>
      </c>
      <c r="F5" s="3419"/>
      <c r="G5" s="3420" t="s">
        <v>1670</v>
      </c>
      <c r="H5" s="3421"/>
      <c r="I5" s="3420" t="s">
        <v>1671</v>
      </c>
      <c r="J5" s="3421"/>
      <c r="K5" s="537"/>
      <c r="L5" s="2486"/>
      <c r="M5" s="2487"/>
      <c r="N5" s="2487"/>
      <c r="O5" s="2487"/>
      <c r="P5" s="3433"/>
      <c r="Q5" s="3434"/>
      <c r="R5" s="3416"/>
      <c r="S5" s="3417"/>
      <c r="T5" s="3416"/>
      <c r="U5" s="3417"/>
      <c r="V5" s="3439"/>
      <c r="W5" s="3439"/>
      <c r="X5" s="1264"/>
      <c r="Y5" s="3416"/>
      <c r="Z5" s="3417"/>
      <c r="AA5" s="3410"/>
      <c r="AB5" s="3439"/>
      <c r="AC5" s="3410"/>
    </row>
    <row r="6" spans="1:29" ht="15.75" thickBot="1">
      <c r="A6" s="350"/>
      <c r="B6" s="351"/>
      <c r="C6" s="3422" t="s">
        <v>1672</v>
      </c>
      <c r="D6" s="3423"/>
      <c r="E6" s="3424" t="s">
        <v>1672</v>
      </c>
      <c r="F6" s="3425"/>
      <c r="G6" s="3422" t="s">
        <v>1672</v>
      </c>
      <c r="H6" s="3423"/>
      <c r="I6" s="3422" t="s">
        <v>1672</v>
      </c>
      <c r="J6" s="3423"/>
      <c r="K6" s="537" t="s">
        <v>1673</v>
      </c>
      <c r="L6" s="2486"/>
      <c r="M6" s="2487"/>
      <c r="N6" s="2487"/>
      <c r="O6" s="2487"/>
      <c r="P6" s="3435"/>
      <c r="Q6" s="3436"/>
      <c r="R6" s="3416"/>
      <c r="S6" s="3417"/>
      <c r="T6" s="3437"/>
      <c r="U6" s="3438"/>
      <c r="V6" s="3439"/>
      <c r="W6" s="3439"/>
      <c r="X6" s="1264"/>
      <c r="Y6" s="3437"/>
      <c r="Z6" s="3438"/>
      <c r="AA6" s="3411"/>
      <c r="AB6" s="3439"/>
      <c r="AC6" s="3411"/>
    </row>
    <row r="7" spans="1:29" s="102" customFormat="1" ht="15.75" thickBot="1">
      <c r="A7" s="352" t="s">
        <v>1674</v>
      </c>
      <c r="B7" s="353"/>
      <c r="C7" s="354">
        <f>'数据-取费表'!B2</f>
        <v>45604</v>
      </c>
      <c r="D7" s="355">
        <v>100</v>
      </c>
      <c r="E7" s="356"/>
      <c r="F7" s="357">
        <f>SUMIF(58:58,YEAR(E7)&amp;"-"&amp;MONTH(E7),59:59)</f>
        <v>0</v>
      </c>
      <c r="G7" s="356"/>
      <c r="H7" s="355">
        <f>SUMIF(58:58,YEAR(G7)&amp;"-"&amp;MONTH(G7),59:59)</f>
        <v>0</v>
      </c>
      <c r="I7" s="356"/>
      <c r="J7" s="355">
        <f>SUMIF(58:58,YEAR(I7)&amp;"-"&amp;MONTH(I7),59:59)</f>
        <v>0</v>
      </c>
      <c r="K7" s="38"/>
      <c r="L7" s="2488"/>
      <c r="M7" s="2439"/>
      <c r="N7" s="2439"/>
      <c r="O7" s="2439"/>
      <c r="P7" s="3412" t="s">
        <v>1675</v>
      </c>
      <c r="Q7" s="3440"/>
      <c r="R7" s="664" t="s">
        <v>14</v>
      </c>
      <c r="S7" s="665">
        <f t="shared" ref="S7:S15" si="0">F7</f>
        <v>0</v>
      </c>
      <c r="T7" s="664" t="s">
        <v>14</v>
      </c>
      <c r="U7" s="665">
        <f t="shared" ref="U7:U15" si="1">H7</f>
        <v>0</v>
      </c>
      <c r="V7" s="664" t="s">
        <v>14</v>
      </c>
      <c r="W7" s="665">
        <f t="shared" ref="W7:W15" si="2">J7</f>
        <v>0</v>
      </c>
      <c r="X7" s="666"/>
      <c r="Y7" s="3412" t="s">
        <v>1675</v>
      </c>
      <c r="Z7" s="3413"/>
      <c r="AA7" s="50" t="e">
        <f>D7/F7</f>
        <v>#DIV/0!</v>
      </c>
      <c r="AB7" s="50" t="e">
        <f>D7/H7</f>
        <v>#DIV/0!</v>
      </c>
      <c r="AC7" s="50" t="e">
        <f>D7/J7</f>
        <v>#DIV/0!</v>
      </c>
    </row>
    <row r="8" spans="1:29" s="102" customFormat="1" ht="15.75" thickBot="1">
      <c r="A8" s="352" t="s">
        <v>1676</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12" t="s">
        <v>1678</v>
      </c>
      <c r="Q8" s="3413"/>
      <c r="R8" s="664" t="s">
        <v>14</v>
      </c>
      <c r="S8" s="665">
        <f t="shared" si="0"/>
        <v>100</v>
      </c>
      <c r="T8" s="664" t="s">
        <v>14</v>
      </c>
      <c r="U8" s="665">
        <f t="shared" si="1"/>
        <v>100</v>
      </c>
      <c r="V8" s="664" t="s">
        <v>14</v>
      </c>
      <c r="W8" s="665">
        <f t="shared" si="2"/>
        <v>100</v>
      </c>
      <c r="X8" s="666"/>
      <c r="Y8" s="3412" t="s">
        <v>1678</v>
      </c>
      <c r="Z8" s="3413"/>
      <c r="AA8" s="50">
        <f t="shared" ref="AA8:AA46" si="3">D8/F8</f>
        <v>1</v>
      </c>
      <c r="AB8" s="50">
        <f t="shared" ref="AB8:AB46" si="4">D8/H8</f>
        <v>1</v>
      </c>
      <c r="AC8" s="50">
        <f t="shared" ref="AC8:AC46" si="5">D8/J8</f>
        <v>1</v>
      </c>
    </row>
    <row r="9" spans="1:29" s="102" customFormat="1">
      <c r="A9" s="359" t="s">
        <v>1679</v>
      </c>
      <c r="B9" s="60" t="s">
        <v>1680</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50" t="s">
        <v>1681</v>
      </c>
      <c r="Q9" s="530" t="str">
        <f t="shared" ref="Q9:Q15" si="6">B9</f>
        <v>用途</v>
      </c>
      <c r="R9" s="664" t="s">
        <v>14</v>
      </c>
      <c r="S9" s="665">
        <f t="shared" si="0"/>
        <v>100</v>
      </c>
      <c r="T9" s="664" t="s">
        <v>14</v>
      </c>
      <c r="U9" s="665">
        <f t="shared" si="1"/>
        <v>100</v>
      </c>
      <c r="V9" s="664" t="s">
        <v>14</v>
      </c>
      <c r="W9" s="665">
        <f t="shared" si="2"/>
        <v>100</v>
      </c>
      <c r="X9" s="666"/>
      <c r="Y9" s="3382" t="s">
        <v>1682</v>
      </c>
      <c r="Z9" s="50" t="str">
        <f t="shared" ref="Z9:Z15" si="7">Q9</f>
        <v>用途</v>
      </c>
      <c r="AA9" s="50">
        <f t="shared" si="3"/>
        <v>1</v>
      </c>
      <c r="AB9" s="50">
        <f t="shared" si="4"/>
        <v>1</v>
      </c>
      <c r="AC9" s="50">
        <f t="shared" si="5"/>
        <v>1</v>
      </c>
    </row>
    <row r="10" spans="1:29" s="366" customFormat="1" ht="27">
      <c r="A10" s="363"/>
      <c r="B10" s="364" t="s">
        <v>1683</v>
      </c>
      <c r="C10" s="3131"/>
      <c r="D10" s="119">
        <v>100</v>
      </c>
      <c r="E10" s="3132"/>
      <c r="F10" s="364">
        <f>SUMIF(65:65,E10,66:66)-SUMIF(65:65,C10,66:66)+100</f>
        <v>100</v>
      </c>
      <c r="G10" s="3131"/>
      <c r="H10" s="119">
        <f>SUMIF(65:65,G10,66:66)-SUMIF(65:65,C10,66:66)+100</f>
        <v>100</v>
      </c>
      <c r="I10" s="3131"/>
      <c r="J10" s="119">
        <f>SUMIF(65:65,I10,66:66)-SUMIF(65:65,C10,66:66)+100</f>
        <v>100</v>
      </c>
      <c r="K10" s="38"/>
      <c r="L10" s="2489"/>
      <c r="M10" s="2490"/>
      <c r="N10" s="2490"/>
      <c r="O10" s="2490"/>
      <c r="P10" s="3450"/>
      <c r="Q10" s="530" t="str">
        <f t="shared" si="6"/>
        <v>土地使用年限（年）</v>
      </c>
      <c r="R10" s="664" t="s">
        <v>14</v>
      </c>
      <c r="S10" s="665">
        <f t="shared" si="0"/>
        <v>100</v>
      </c>
      <c r="T10" s="664" t="s">
        <v>14</v>
      </c>
      <c r="U10" s="665">
        <f t="shared" si="1"/>
        <v>100</v>
      </c>
      <c r="V10" s="664" t="s">
        <v>14</v>
      </c>
      <c r="W10" s="665">
        <f t="shared" si="2"/>
        <v>100</v>
      </c>
      <c r="X10" s="666"/>
      <c r="Y10" s="3382"/>
      <c r="Z10" s="50" t="str">
        <f t="shared" si="7"/>
        <v>土地使用年限（年）</v>
      </c>
      <c r="AA10" s="50">
        <f t="shared" si="3"/>
        <v>1</v>
      </c>
      <c r="AB10" s="50">
        <f t="shared" si="4"/>
        <v>1</v>
      </c>
      <c r="AC10" s="50">
        <f t="shared" si="5"/>
        <v>1</v>
      </c>
    </row>
    <row r="11" spans="1:29" ht="15">
      <c r="A11" s="367"/>
      <c r="B11" s="364" t="s">
        <v>1684</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50"/>
      <c r="Q11" s="530" t="str">
        <f t="shared" si="6"/>
        <v>容积率</v>
      </c>
      <c r="R11" s="664" t="s">
        <v>14</v>
      </c>
      <c r="S11" s="665" t="e">
        <f t="shared" si="0"/>
        <v>#N/A</v>
      </c>
      <c r="T11" s="664" t="s">
        <v>14</v>
      </c>
      <c r="U11" s="665" t="e">
        <f t="shared" si="1"/>
        <v>#N/A</v>
      </c>
      <c r="V11" s="664" t="s">
        <v>14</v>
      </c>
      <c r="W11" s="665" t="e">
        <f t="shared" si="2"/>
        <v>#N/A</v>
      </c>
      <c r="X11" s="666"/>
      <c r="Y11" s="338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50"/>
      <c r="Q12" s="530">
        <f t="shared" si="6"/>
        <v>111</v>
      </c>
      <c r="R12" s="664" t="s">
        <v>14</v>
      </c>
      <c r="S12" s="665">
        <f t="shared" si="0"/>
        <v>100</v>
      </c>
      <c r="T12" s="664" t="s">
        <v>14</v>
      </c>
      <c r="U12" s="665">
        <f t="shared" si="1"/>
        <v>100</v>
      </c>
      <c r="V12" s="664" t="s">
        <v>14</v>
      </c>
      <c r="W12" s="665">
        <f t="shared" si="2"/>
        <v>100</v>
      </c>
      <c r="X12" s="666"/>
      <c r="Y12" s="338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50"/>
      <c r="Q13" s="530">
        <f t="shared" si="6"/>
        <v>111</v>
      </c>
      <c r="R13" s="664" t="s">
        <v>14</v>
      </c>
      <c r="S13" s="665">
        <f t="shared" si="0"/>
        <v>100</v>
      </c>
      <c r="T13" s="664" t="s">
        <v>14</v>
      </c>
      <c r="U13" s="665">
        <f t="shared" si="1"/>
        <v>100</v>
      </c>
      <c r="V13" s="664" t="s">
        <v>14</v>
      </c>
      <c r="W13" s="665">
        <f t="shared" si="2"/>
        <v>100</v>
      </c>
      <c r="X13" s="666"/>
      <c r="Y13" s="338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50"/>
      <c r="Q14" s="530">
        <f t="shared" si="6"/>
        <v>111</v>
      </c>
      <c r="R14" s="664" t="s">
        <v>14</v>
      </c>
      <c r="S14" s="665">
        <f t="shared" si="0"/>
        <v>100</v>
      </c>
      <c r="T14" s="664" t="s">
        <v>14</v>
      </c>
      <c r="U14" s="665">
        <f t="shared" si="1"/>
        <v>100</v>
      </c>
      <c r="V14" s="664" t="s">
        <v>14</v>
      </c>
      <c r="W14" s="665">
        <f t="shared" si="2"/>
        <v>100</v>
      </c>
      <c r="X14" s="666"/>
      <c r="Y14" s="3382"/>
      <c r="Z14" s="50">
        <f t="shared" si="7"/>
        <v>111</v>
      </c>
      <c r="AA14" s="50">
        <f t="shared" si="3"/>
        <v>1</v>
      </c>
      <c r="AB14" s="50">
        <f t="shared" si="4"/>
        <v>1</v>
      </c>
      <c r="AC14" s="50">
        <f t="shared" si="5"/>
        <v>1</v>
      </c>
    </row>
    <row r="15" spans="1:29" ht="71.25">
      <c r="A15" s="379" t="s">
        <v>1685</v>
      </c>
      <c r="B15" s="58" t="s">
        <v>1772</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82" t="s">
        <v>1686</v>
      </c>
      <c r="Q15" s="1262" t="str">
        <f t="shared" si="6"/>
        <v>商业繁华度</v>
      </c>
      <c r="R15" s="667" t="s">
        <v>14</v>
      </c>
      <c r="S15" s="668">
        <f t="shared" si="0"/>
        <v>100</v>
      </c>
      <c r="T15" s="667" t="s">
        <v>14</v>
      </c>
      <c r="U15" s="668">
        <f t="shared" si="1"/>
        <v>100</v>
      </c>
      <c r="V15" s="667" t="s">
        <v>14</v>
      </c>
      <c r="W15" s="668">
        <f t="shared" si="2"/>
        <v>100</v>
      </c>
      <c r="X15" s="1264"/>
      <c r="Y15" s="3441" t="s">
        <v>1686</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83"/>
      <c r="Q16" s="1262"/>
      <c r="R16" s="667"/>
      <c r="S16" s="668"/>
      <c r="T16" s="667"/>
      <c r="U16" s="668"/>
      <c r="V16" s="667"/>
      <c r="W16" s="668"/>
      <c r="X16" s="1264"/>
      <c r="Y16" s="3442"/>
      <c r="Z16" s="1263"/>
      <c r="AA16" s="1263">
        <v>1</v>
      </c>
      <c r="AB16" s="1263">
        <v>1</v>
      </c>
      <c r="AC16" s="1263">
        <v>1</v>
      </c>
    </row>
    <row r="17" spans="1:29" ht="85.5">
      <c r="A17" s="367"/>
      <c r="B17" s="390" t="s">
        <v>1257</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83"/>
      <c r="Q17" s="1262" t="str">
        <f>B17</f>
        <v>交通便捷度</v>
      </c>
      <c r="R17" s="667" t="s">
        <v>14</v>
      </c>
      <c r="S17" s="668">
        <f>F17</f>
        <v>100</v>
      </c>
      <c r="T17" s="667" t="s">
        <v>14</v>
      </c>
      <c r="U17" s="668">
        <f>H17</f>
        <v>100</v>
      </c>
      <c r="V17" s="667" t="s">
        <v>14</v>
      </c>
      <c r="W17" s="668">
        <f>J17</f>
        <v>100</v>
      </c>
      <c r="X17" s="1264"/>
      <c r="Y17" s="344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83"/>
      <c r="Q18" s="1262"/>
      <c r="R18" s="667"/>
      <c r="S18" s="668"/>
      <c r="T18" s="667"/>
      <c r="U18" s="668"/>
      <c r="V18" s="667"/>
      <c r="W18" s="668"/>
      <c r="X18" s="1264"/>
      <c r="Y18" s="3442"/>
      <c r="Z18" s="1263"/>
      <c r="AA18" s="1263">
        <v>1</v>
      </c>
      <c r="AB18" s="1263">
        <v>1</v>
      </c>
      <c r="AC18" s="1263">
        <v>1</v>
      </c>
    </row>
    <row r="19" spans="1:29" ht="42.75">
      <c r="A19" s="367"/>
      <c r="B19" s="390" t="s">
        <v>1773</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83"/>
      <c r="Q19" s="1262" t="str">
        <f>B19</f>
        <v>公共配套设施</v>
      </c>
      <c r="R19" s="667" t="s">
        <v>14</v>
      </c>
      <c r="S19" s="668">
        <f>F19</f>
        <v>100</v>
      </c>
      <c r="T19" s="667" t="s">
        <v>14</v>
      </c>
      <c r="U19" s="668">
        <f>H19</f>
        <v>100</v>
      </c>
      <c r="V19" s="667" t="s">
        <v>14</v>
      </c>
      <c r="W19" s="668">
        <f>J19</f>
        <v>100</v>
      </c>
      <c r="X19" s="1264"/>
      <c r="Y19" s="344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83"/>
      <c r="Q20" s="1262"/>
      <c r="R20" s="667"/>
      <c r="S20" s="668"/>
      <c r="T20" s="667"/>
      <c r="U20" s="668"/>
      <c r="V20" s="667"/>
      <c r="W20" s="668"/>
      <c r="X20" s="1264"/>
      <c r="Y20" s="3442"/>
      <c r="Z20" s="1263"/>
      <c r="AA20" s="1263">
        <v>1</v>
      </c>
      <c r="AB20" s="1263">
        <v>1</v>
      </c>
      <c r="AC20" s="1263">
        <v>1</v>
      </c>
    </row>
    <row r="21" spans="1:29" ht="28.5">
      <c r="A21" s="367"/>
      <c r="B21" s="586" t="s">
        <v>1774</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83"/>
      <c r="Q21" s="1262" t="str">
        <f>B21</f>
        <v>基础设施水平</v>
      </c>
      <c r="R21" s="667" t="s">
        <v>14</v>
      </c>
      <c r="S21" s="668">
        <f>F21</f>
        <v>100</v>
      </c>
      <c r="T21" s="667" t="s">
        <v>14</v>
      </c>
      <c r="U21" s="668">
        <f>H21</f>
        <v>100</v>
      </c>
      <c r="V21" s="667" t="s">
        <v>14</v>
      </c>
      <c r="W21" s="668">
        <f>J21</f>
        <v>100</v>
      </c>
      <c r="X21" s="1264"/>
      <c r="Y21" s="344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483"/>
      <c r="Q22" s="1262"/>
      <c r="R22" s="667"/>
      <c r="S22" s="668"/>
      <c r="T22" s="667"/>
      <c r="U22" s="668"/>
      <c r="V22" s="667"/>
      <c r="W22" s="668"/>
      <c r="X22" s="1264"/>
      <c r="Y22" s="3442"/>
      <c r="Z22" s="1263"/>
      <c r="AA22" s="1263">
        <v>1</v>
      </c>
      <c r="AB22" s="1263">
        <v>1</v>
      </c>
      <c r="AC22" s="1263">
        <v>1</v>
      </c>
    </row>
    <row r="23" spans="1:29" ht="57">
      <c r="A23" s="367"/>
      <c r="B23" s="390" t="s">
        <v>1259</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83"/>
      <c r="Q23" s="1262" t="str">
        <f>B23</f>
        <v>自然及人文环境</v>
      </c>
      <c r="R23" s="667" t="s">
        <v>14</v>
      </c>
      <c r="S23" s="668">
        <f>F23</f>
        <v>100</v>
      </c>
      <c r="T23" s="667" t="s">
        <v>14</v>
      </c>
      <c r="U23" s="668">
        <f>H23</f>
        <v>100</v>
      </c>
      <c r="V23" s="667" t="s">
        <v>14</v>
      </c>
      <c r="W23" s="668">
        <f>J23</f>
        <v>100</v>
      </c>
      <c r="X23" s="1264"/>
      <c r="Y23" s="3442"/>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83"/>
      <c r="Q24" s="1262"/>
      <c r="R24" s="667"/>
      <c r="S24" s="668"/>
      <c r="T24" s="667"/>
      <c r="U24" s="668"/>
      <c r="V24" s="667"/>
      <c r="W24" s="668"/>
      <c r="X24" s="1264"/>
      <c r="Y24" s="3442"/>
      <c r="Z24" s="1263"/>
      <c r="AA24" s="1263">
        <v>1</v>
      </c>
      <c r="AB24" s="1263">
        <v>1</v>
      </c>
      <c r="AC24" s="1263">
        <v>1</v>
      </c>
    </row>
    <row r="25" spans="1:29" ht="15">
      <c r="A25" s="367"/>
      <c r="B25" s="364" t="s">
        <v>1775</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83"/>
      <c r="Q25" s="1262" t="str">
        <f t="shared" ref="Q25:Q46" si="11">B25</f>
        <v>临街状况</v>
      </c>
      <c r="R25" s="667" t="s">
        <v>14</v>
      </c>
      <c r="S25" s="668">
        <f>F25</f>
        <v>100</v>
      </c>
      <c r="T25" s="667" t="s">
        <v>14</v>
      </c>
      <c r="U25" s="668">
        <f>H25</f>
        <v>100</v>
      </c>
      <c r="V25" s="667" t="s">
        <v>14</v>
      </c>
      <c r="W25" s="668">
        <f>J25</f>
        <v>100</v>
      </c>
      <c r="X25" s="1264"/>
      <c r="Y25" s="3442"/>
      <c r="Z25" s="1263" t="str">
        <f>Q25</f>
        <v>临街状况</v>
      </c>
      <c r="AA25" s="1263">
        <f t="shared" si="3"/>
        <v>1</v>
      </c>
      <c r="AB25" s="1263">
        <f t="shared" si="4"/>
        <v>1</v>
      </c>
      <c r="AC25" s="1263">
        <f t="shared" si="5"/>
        <v>1</v>
      </c>
    </row>
    <row r="26" spans="1:29" ht="15">
      <c r="A26" s="367"/>
      <c r="B26" s="1066" t="s">
        <v>1776</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83"/>
      <c r="Q26" s="1262" t="str">
        <f t="shared" si="11"/>
        <v>平面位置/可视性</v>
      </c>
      <c r="R26" s="667" t="s">
        <v>14</v>
      </c>
      <c r="S26" s="668">
        <f>F26</f>
        <v>100</v>
      </c>
      <c r="T26" s="667" t="s">
        <v>14</v>
      </c>
      <c r="U26" s="668">
        <f>H26</f>
        <v>100</v>
      </c>
      <c r="V26" s="667" t="s">
        <v>14</v>
      </c>
      <c r="W26" s="668">
        <f>J26</f>
        <v>100</v>
      </c>
      <c r="X26" s="1264"/>
      <c r="Y26" s="3442"/>
      <c r="Z26" s="1263" t="str">
        <f>Q26</f>
        <v>平面位置/可视性</v>
      </c>
      <c r="AA26" s="1263">
        <f t="shared" si="3"/>
        <v>1</v>
      </c>
      <c r="AB26" s="1263">
        <f t="shared" si="4"/>
        <v>1</v>
      </c>
      <c r="AC26" s="1263">
        <f t="shared" si="5"/>
        <v>1</v>
      </c>
    </row>
    <row r="27" spans="1:29" s="102" customFormat="1" ht="15">
      <c r="A27" s="370"/>
      <c r="B27" s="390" t="s">
        <v>1777</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83"/>
      <c r="Q27" s="530" t="str">
        <f t="shared" si="11"/>
        <v>人流量</v>
      </c>
      <c r="R27" s="664" t="s">
        <v>14</v>
      </c>
      <c r="S27" s="665">
        <f>F27</f>
        <v>100</v>
      </c>
      <c r="T27" s="664" t="s">
        <v>14</v>
      </c>
      <c r="U27" s="665">
        <f>H27</f>
        <v>100</v>
      </c>
      <c r="V27" s="664" t="s">
        <v>14</v>
      </c>
      <c r="W27" s="665">
        <f>J27</f>
        <v>100</v>
      </c>
      <c r="X27" s="666"/>
      <c r="Y27" s="3442"/>
      <c r="Z27" s="50" t="str">
        <f>Q27</f>
        <v>人流量</v>
      </c>
      <c r="AA27" s="1263">
        <f>D27/F27</f>
        <v>1</v>
      </c>
      <c r="AB27" s="1263">
        <f>D27/H27</f>
        <v>1</v>
      </c>
      <c r="AC27" s="1263">
        <f>D27/J27</f>
        <v>1</v>
      </c>
    </row>
    <row r="28" spans="1:29" ht="15">
      <c r="A28" s="367"/>
      <c r="B28" s="364" t="s">
        <v>1778</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8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42"/>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83"/>
      <c r="Q29" s="1262">
        <f t="shared" si="11"/>
        <v>111</v>
      </c>
      <c r="R29" s="667" t="s">
        <v>14</v>
      </c>
      <c r="S29" s="668">
        <f t="shared" si="12"/>
        <v>100</v>
      </c>
      <c r="T29" s="667" t="s">
        <v>14</v>
      </c>
      <c r="U29" s="668">
        <f t="shared" si="13"/>
        <v>100</v>
      </c>
      <c r="V29" s="667" t="s">
        <v>14</v>
      </c>
      <c r="W29" s="668">
        <f t="shared" si="14"/>
        <v>100</v>
      </c>
      <c r="X29" s="1264"/>
      <c r="Y29" s="3442"/>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83"/>
      <c r="Q30" s="1262">
        <f t="shared" si="11"/>
        <v>111</v>
      </c>
      <c r="R30" s="667" t="s">
        <v>14</v>
      </c>
      <c r="S30" s="668">
        <f t="shared" si="12"/>
        <v>100</v>
      </c>
      <c r="T30" s="667" t="s">
        <v>14</v>
      </c>
      <c r="U30" s="668">
        <f t="shared" si="13"/>
        <v>100</v>
      </c>
      <c r="V30" s="667" t="s">
        <v>14</v>
      </c>
      <c r="W30" s="668">
        <f t="shared" si="14"/>
        <v>100</v>
      </c>
      <c r="X30" s="1264"/>
      <c r="Y30" s="3442"/>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83"/>
      <c r="Q31" s="1262">
        <f t="shared" si="11"/>
        <v>111</v>
      </c>
      <c r="R31" s="667" t="s">
        <v>14</v>
      </c>
      <c r="S31" s="668">
        <f t="shared" si="12"/>
        <v>100</v>
      </c>
      <c r="T31" s="667" t="s">
        <v>14</v>
      </c>
      <c r="U31" s="668">
        <f t="shared" si="13"/>
        <v>100</v>
      </c>
      <c r="V31" s="667" t="s">
        <v>14</v>
      </c>
      <c r="W31" s="668">
        <f t="shared" si="14"/>
        <v>100</v>
      </c>
      <c r="X31" s="1264"/>
      <c r="Y31" s="3442"/>
      <c r="Z31" s="1263">
        <f t="shared" si="15"/>
        <v>111</v>
      </c>
      <c r="AA31" s="1263">
        <f t="shared" si="3"/>
        <v>1</v>
      </c>
      <c r="AB31" s="1263">
        <f t="shared" si="4"/>
        <v>1</v>
      </c>
      <c r="AC31" s="1263">
        <f t="shared" si="5"/>
        <v>1</v>
      </c>
    </row>
    <row r="32" spans="1:29" ht="15">
      <c r="A32" s="379" t="s">
        <v>1689</v>
      </c>
      <c r="B32" s="60" t="s">
        <v>1779</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78" t="s">
        <v>1691</v>
      </c>
      <c r="Q32" s="1262" t="str">
        <f t="shared" si="11"/>
        <v>商业类型</v>
      </c>
      <c r="R32" s="667" t="s">
        <v>14</v>
      </c>
      <c r="S32" s="668">
        <f t="shared" si="12"/>
        <v>100</v>
      </c>
      <c r="T32" s="667" t="s">
        <v>14</v>
      </c>
      <c r="U32" s="668">
        <f t="shared" si="13"/>
        <v>100</v>
      </c>
      <c r="V32" s="667" t="s">
        <v>14</v>
      </c>
      <c r="W32" s="668">
        <f t="shared" si="14"/>
        <v>100</v>
      </c>
      <c r="X32" s="1264"/>
      <c r="Y32" s="3444" t="s">
        <v>1691</v>
      </c>
      <c r="Z32" s="1263" t="str">
        <f t="shared" si="15"/>
        <v>商业类型</v>
      </c>
      <c r="AA32" s="1263">
        <f t="shared" si="3"/>
        <v>1</v>
      </c>
      <c r="AB32" s="1263">
        <f t="shared" si="4"/>
        <v>1</v>
      </c>
      <c r="AC32" s="1263">
        <f t="shared" si="5"/>
        <v>1</v>
      </c>
    </row>
    <row r="33" spans="1:29" s="408" customFormat="1" ht="15">
      <c r="A33" s="406"/>
      <c r="B33" s="364" t="s">
        <v>1692</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79"/>
      <c r="Q33" s="531" t="str">
        <f t="shared" si="11"/>
        <v>项目建筑规模</v>
      </c>
      <c r="R33" s="669" t="s">
        <v>14</v>
      </c>
      <c r="S33" s="670" t="e">
        <f t="shared" si="12"/>
        <v>#N/A</v>
      </c>
      <c r="T33" s="669" t="s">
        <v>14</v>
      </c>
      <c r="U33" s="670" t="e">
        <f t="shared" si="13"/>
        <v>#N/A</v>
      </c>
      <c r="V33" s="669" t="s">
        <v>14</v>
      </c>
      <c r="W33" s="670" t="e">
        <f t="shared" si="14"/>
        <v>#N/A</v>
      </c>
      <c r="X33" s="671"/>
      <c r="Y33" s="3444"/>
      <c r="Z33" s="672" t="str">
        <f t="shared" si="15"/>
        <v>项目建筑规模</v>
      </c>
      <c r="AA33" s="1263" t="e">
        <f t="shared" si="3"/>
        <v>#N/A</v>
      </c>
      <c r="AB33" s="1263" t="e">
        <f t="shared" si="4"/>
        <v>#N/A</v>
      </c>
      <c r="AC33" s="1263" t="e">
        <f t="shared" si="5"/>
        <v>#N/A</v>
      </c>
    </row>
    <row r="34" spans="1:29" ht="15">
      <c r="A34" s="409"/>
      <c r="B34" s="364" t="s">
        <v>1693</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79"/>
      <c r="Q34" s="1262" t="str">
        <f t="shared" si="11"/>
        <v>建筑结构</v>
      </c>
      <c r="R34" s="667" t="s">
        <v>14</v>
      </c>
      <c r="S34" s="668">
        <f t="shared" si="12"/>
        <v>100</v>
      </c>
      <c r="T34" s="667" t="s">
        <v>14</v>
      </c>
      <c r="U34" s="668">
        <f t="shared" si="13"/>
        <v>100</v>
      </c>
      <c r="V34" s="667" t="s">
        <v>14</v>
      </c>
      <c r="W34" s="668">
        <f t="shared" si="14"/>
        <v>100</v>
      </c>
      <c r="X34" s="1264"/>
      <c r="Y34" s="3444"/>
      <c r="Z34" s="1263" t="str">
        <f t="shared" si="15"/>
        <v>建筑结构</v>
      </c>
      <c r="AA34" s="1263">
        <f t="shared" si="3"/>
        <v>1</v>
      </c>
      <c r="AB34" s="1263">
        <f t="shared" si="4"/>
        <v>1</v>
      </c>
      <c r="AC34" s="1263">
        <f t="shared" si="5"/>
        <v>1</v>
      </c>
    </row>
    <row r="35" spans="1:29" ht="15">
      <c r="A35" s="409"/>
      <c r="B35" s="364" t="s">
        <v>1780</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79"/>
      <c r="Q35" s="1262" t="str">
        <f t="shared" si="11"/>
        <v>公共部分装修</v>
      </c>
      <c r="R35" s="667" t="s">
        <v>14</v>
      </c>
      <c r="S35" s="668">
        <f t="shared" si="12"/>
        <v>100</v>
      </c>
      <c r="T35" s="667" t="s">
        <v>14</v>
      </c>
      <c r="U35" s="668">
        <f t="shared" si="13"/>
        <v>100</v>
      </c>
      <c r="V35" s="667" t="s">
        <v>14</v>
      </c>
      <c r="W35" s="668">
        <f t="shared" si="14"/>
        <v>100</v>
      </c>
      <c r="X35" s="1264"/>
      <c r="Y35" s="3444"/>
      <c r="Z35" s="1263" t="str">
        <f t="shared" si="15"/>
        <v>公共部分装修</v>
      </c>
      <c r="AA35" s="1263">
        <f t="shared" si="3"/>
        <v>1</v>
      </c>
      <c r="AB35" s="1263">
        <f t="shared" si="4"/>
        <v>1</v>
      </c>
      <c r="AC35" s="1263">
        <f t="shared" si="5"/>
        <v>1</v>
      </c>
    </row>
    <row r="36" spans="1:29" ht="15">
      <c r="A36" s="409"/>
      <c r="B36" s="364" t="s">
        <v>1781</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79"/>
      <c r="Q36" s="1262" t="str">
        <f t="shared" si="11"/>
        <v>成新度</v>
      </c>
      <c r="R36" s="667" t="s">
        <v>14</v>
      </c>
      <c r="S36" s="668" t="e">
        <f t="shared" si="12"/>
        <v>#N/A</v>
      </c>
      <c r="T36" s="667" t="s">
        <v>14</v>
      </c>
      <c r="U36" s="668" t="e">
        <f t="shared" si="13"/>
        <v>#N/A</v>
      </c>
      <c r="V36" s="667" t="s">
        <v>14</v>
      </c>
      <c r="W36" s="668" t="e">
        <f t="shared" si="14"/>
        <v>#N/A</v>
      </c>
      <c r="X36" s="1264"/>
      <c r="Y36" s="3444"/>
      <c r="Z36" s="1263" t="str">
        <f t="shared" si="15"/>
        <v>成新度</v>
      </c>
      <c r="AA36" s="1263" t="e">
        <f t="shared" si="3"/>
        <v>#N/A</v>
      </c>
      <c r="AB36" s="1263" t="e">
        <f t="shared" si="4"/>
        <v>#N/A</v>
      </c>
      <c r="AC36" s="1263" t="e">
        <f t="shared" si="5"/>
        <v>#N/A</v>
      </c>
    </row>
    <row r="37" spans="1:29" s="102" customFormat="1" ht="15">
      <c r="A37" s="410"/>
      <c r="B37" s="364" t="s">
        <v>1782</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79"/>
      <c r="Q37" s="530" t="str">
        <f t="shared" si="11"/>
        <v>市政基础设施</v>
      </c>
      <c r="R37" s="664" t="s">
        <v>14</v>
      </c>
      <c r="S37" s="665">
        <f t="shared" si="12"/>
        <v>100</v>
      </c>
      <c r="T37" s="664" t="s">
        <v>14</v>
      </c>
      <c r="U37" s="665">
        <f t="shared" si="13"/>
        <v>100</v>
      </c>
      <c r="V37" s="664" t="s">
        <v>14</v>
      </c>
      <c r="W37" s="665">
        <f t="shared" si="14"/>
        <v>100</v>
      </c>
      <c r="X37" s="666"/>
      <c r="Y37" s="3444"/>
      <c r="Z37" s="50" t="str">
        <f t="shared" si="15"/>
        <v>市政基础设施</v>
      </c>
      <c r="AA37" s="50">
        <f t="shared" si="3"/>
        <v>1</v>
      </c>
      <c r="AB37" s="50">
        <f t="shared" si="4"/>
        <v>1</v>
      </c>
      <c r="AC37" s="50">
        <f t="shared" si="5"/>
        <v>1</v>
      </c>
    </row>
    <row r="38" spans="1:29" ht="15">
      <c r="A38" s="409"/>
      <c r="B38" s="364" t="s">
        <v>1783</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79" t="s">
        <v>1691</v>
      </c>
      <c r="Q38" s="1262" t="str">
        <f t="shared" si="11"/>
        <v>业态</v>
      </c>
      <c r="R38" s="667" t="s">
        <v>14</v>
      </c>
      <c r="S38" s="668">
        <f t="shared" si="12"/>
        <v>100</v>
      </c>
      <c r="T38" s="667" t="s">
        <v>14</v>
      </c>
      <c r="U38" s="668">
        <f t="shared" si="13"/>
        <v>100</v>
      </c>
      <c r="V38" s="667" t="s">
        <v>14</v>
      </c>
      <c r="W38" s="668">
        <f t="shared" si="14"/>
        <v>100</v>
      </c>
      <c r="X38" s="1264"/>
      <c r="Y38" s="3444" t="s">
        <v>1691</v>
      </c>
      <c r="Z38" s="1263" t="str">
        <f t="shared" si="15"/>
        <v>业态</v>
      </c>
      <c r="AA38" s="1263">
        <f t="shared" si="3"/>
        <v>1</v>
      </c>
      <c r="AB38" s="1263">
        <f t="shared" si="4"/>
        <v>1</v>
      </c>
      <c r="AC38" s="1263">
        <f t="shared" si="5"/>
        <v>1</v>
      </c>
    </row>
    <row r="39" spans="1:29" ht="15">
      <c r="A39" s="409"/>
      <c r="B39" s="364" t="s">
        <v>1784</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79"/>
      <c r="Q39" s="1262" t="str">
        <f t="shared" si="11"/>
        <v>层高</v>
      </c>
      <c r="R39" s="667" t="s">
        <v>14</v>
      </c>
      <c r="S39" s="668">
        <f t="shared" si="12"/>
        <v>100</v>
      </c>
      <c r="T39" s="667" t="s">
        <v>14</v>
      </c>
      <c r="U39" s="668">
        <f t="shared" si="13"/>
        <v>100</v>
      </c>
      <c r="V39" s="667" t="s">
        <v>14</v>
      </c>
      <c r="W39" s="668">
        <f t="shared" si="14"/>
        <v>100</v>
      </c>
      <c r="X39" s="1264"/>
      <c r="Y39" s="3444"/>
      <c r="Z39" s="1263" t="str">
        <f t="shared" si="15"/>
        <v>层高</v>
      </c>
      <c r="AA39" s="1263">
        <f t="shared" si="3"/>
        <v>1</v>
      </c>
      <c r="AB39" s="1263">
        <f t="shared" si="4"/>
        <v>1</v>
      </c>
      <c r="AC39" s="1263">
        <f t="shared" si="5"/>
        <v>1</v>
      </c>
    </row>
    <row r="40" spans="1:29" ht="15">
      <c r="A40" s="409"/>
      <c r="B40" s="364" t="s">
        <v>1785</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79"/>
      <c r="Q40" s="1262" t="str">
        <f t="shared" si="11"/>
        <v>单套建筑面积</v>
      </c>
      <c r="R40" s="667" t="s">
        <v>14</v>
      </c>
      <c r="S40" s="668">
        <f t="shared" si="12"/>
        <v>100</v>
      </c>
      <c r="T40" s="667" t="s">
        <v>14</v>
      </c>
      <c r="U40" s="668">
        <f t="shared" si="13"/>
        <v>100</v>
      </c>
      <c r="V40" s="667" t="s">
        <v>14</v>
      </c>
      <c r="W40" s="668">
        <f t="shared" si="14"/>
        <v>100</v>
      </c>
      <c r="X40" s="1264"/>
      <c r="Y40" s="3444"/>
      <c r="Z40" s="1263" t="str">
        <f t="shared" si="15"/>
        <v>单套建筑面积</v>
      </c>
      <c r="AA40" s="1263">
        <f t="shared" si="3"/>
        <v>1</v>
      </c>
      <c r="AB40" s="1263">
        <f t="shared" si="4"/>
        <v>1</v>
      </c>
      <c r="AC40" s="1263">
        <f t="shared" si="5"/>
        <v>1</v>
      </c>
    </row>
    <row r="41" spans="1:29" s="408" customFormat="1" ht="15">
      <c r="A41" s="406"/>
      <c r="B41" s="400" t="s">
        <v>1786</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79"/>
      <c r="Q41" s="531" t="str">
        <f t="shared" si="11"/>
        <v>进深比</v>
      </c>
      <c r="R41" s="669" t="s">
        <v>14</v>
      </c>
      <c r="S41" s="670">
        <f t="shared" si="12"/>
        <v>100</v>
      </c>
      <c r="T41" s="669" t="s">
        <v>14</v>
      </c>
      <c r="U41" s="670">
        <f t="shared" si="13"/>
        <v>100</v>
      </c>
      <c r="V41" s="669" t="s">
        <v>14</v>
      </c>
      <c r="W41" s="670">
        <f t="shared" si="14"/>
        <v>100</v>
      </c>
      <c r="X41" s="671"/>
      <c r="Y41" s="3444"/>
      <c r="Z41" s="672" t="str">
        <f t="shared" si="15"/>
        <v>进深比</v>
      </c>
      <c r="AA41" s="1263">
        <f t="shared" si="3"/>
        <v>1</v>
      </c>
      <c r="AB41" s="1263">
        <f t="shared" si="4"/>
        <v>1</v>
      </c>
      <c r="AC41" s="1263">
        <f t="shared" si="5"/>
        <v>1</v>
      </c>
    </row>
    <row r="42" spans="1:29" ht="15">
      <c r="A42" s="409"/>
      <c r="B42" s="364" t="s">
        <v>1787</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79"/>
      <c r="Q42" s="1262" t="str">
        <f t="shared" si="11"/>
        <v>内部装修</v>
      </c>
      <c r="R42" s="667" t="s">
        <v>14</v>
      </c>
      <c r="S42" s="668">
        <f t="shared" si="12"/>
        <v>100</v>
      </c>
      <c r="T42" s="667" t="s">
        <v>14</v>
      </c>
      <c r="U42" s="668">
        <f t="shared" si="13"/>
        <v>100</v>
      </c>
      <c r="V42" s="667" t="s">
        <v>14</v>
      </c>
      <c r="W42" s="668">
        <f t="shared" si="14"/>
        <v>100</v>
      </c>
      <c r="X42" s="1264"/>
      <c r="Y42" s="3444"/>
      <c r="Z42" s="1263" t="str">
        <f t="shared" si="15"/>
        <v>内部装修</v>
      </c>
      <c r="AA42" s="1263">
        <f t="shared" si="3"/>
        <v>1</v>
      </c>
      <c r="AB42" s="1263">
        <f t="shared" si="4"/>
        <v>1</v>
      </c>
      <c r="AC42" s="1263">
        <f t="shared" si="5"/>
        <v>1</v>
      </c>
    </row>
    <row r="43" spans="1:29" ht="15">
      <c r="A43" s="409"/>
      <c r="B43" s="364" t="s">
        <v>1702</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79"/>
      <c r="Q43" s="1262" t="str">
        <f t="shared" si="11"/>
        <v>内部装修维护情况</v>
      </c>
      <c r="R43" s="667" t="s">
        <v>14</v>
      </c>
      <c r="S43" s="668">
        <f t="shared" si="12"/>
        <v>100</v>
      </c>
      <c r="T43" s="667" t="s">
        <v>14</v>
      </c>
      <c r="U43" s="668">
        <f t="shared" si="13"/>
        <v>100</v>
      </c>
      <c r="V43" s="667" t="s">
        <v>14</v>
      </c>
      <c r="W43" s="668">
        <f t="shared" si="14"/>
        <v>100</v>
      </c>
      <c r="X43" s="1264"/>
      <c r="Y43" s="344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79"/>
      <c r="Q44" s="530">
        <f t="shared" si="11"/>
        <v>111</v>
      </c>
      <c r="R44" s="664" t="s">
        <v>14</v>
      </c>
      <c r="S44" s="665">
        <f t="shared" si="12"/>
        <v>100</v>
      </c>
      <c r="T44" s="664" t="s">
        <v>14</v>
      </c>
      <c r="U44" s="665">
        <f t="shared" si="13"/>
        <v>100</v>
      </c>
      <c r="V44" s="664" t="s">
        <v>14</v>
      </c>
      <c r="W44" s="665">
        <f t="shared" si="14"/>
        <v>100</v>
      </c>
      <c r="X44" s="666"/>
      <c r="Y44" s="344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79"/>
      <c r="Q45" s="1262">
        <f t="shared" si="11"/>
        <v>111</v>
      </c>
      <c r="R45" s="667" t="s">
        <v>14</v>
      </c>
      <c r="S45" s="668">
        <f t="shared" si="12"/>
        <v>100</v>
      </c>
      <c r="T45" s="667" t="s">
        <v>14</v>
      </c>
      <c r="U45" s="668">
        <f t="shared" si="13"/>
        <v>100</v>
      </c>
      <c r="V45" s="667" t="s">
        <v>14</v>
      </c>
      <c r="W45" s="668">
        <f t="shared" si="14"/>
        <v>100</v>
      </c>
      <c r="X45" s="1264"/>
      <c r="Y45" s="344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80"/>
      <c r="Q46" s="1262">
        <f t="shared" si="11"/>
        <v>111</v>
      </c>
      <c r="R46" s="667" t="s">
        <v>14</v>
      </c>
      <c r="S46" s="668">
        <f t="shared" si="12"/>
        <v>100</v>
      </c>
      <c r="T46" s="667" t="s">
        <v>14</v>
      </c>
      <c r="U46" s="668">
        <f t="shared" si="13"/>
        <v>100</v>
      </c>
      <c r="V46" s="667" t="s">
        <v>14</v>
      </c>
      <c r="W46" s="668">
        <f t="shared" si="14"/>
        <v>100</v>
      </c>
      <c r="X46" s="1264"/>
      <c r="Y46" s="3481"/>
      <c r="Z46" s="1263">
        <f t="shared" si="15"/>
        <v>111</v>
      </c>
      <c r="AA46" s="1263">
        <f t="shared" si="3"/>
        <v>1</v>
      </c>
      <c r="AB46" s="1263">
        <f t="shared" si="4"/>
        <v>1</v>
      </c>
      <c r="AC46" s="1263">
        <f t="shared" si="5"/>
        <v>1</v>
      </c>
    </row>
    <row r="47" spans="1:29" ht="15">
      <c r="A47" s="416" t="s">
        <v>1703</v>
      </c>
      <c r="B47" s="417"/>
      <c r="C47" s="1081" t="s">
        <v>0</v>
      </c>
      <c r="D47" s="418"/>
      <c r="E47" s="419"/>
      <c r="F47" s="420"/>
      <c r="G47" s="421"/>
      <c r="H47" s="422"/>
      <c r="I47" s="419"/>
      <c r="J47" s="422"/>
      <c r="K47" s="674"/>
      <c r="L47" s="2494"/>
      <c r="M47" s="2487"/>
      <c r="N47" s="2487"/>
      <c r="O47" s="2487"/>
      <c r="P47" s="3426" t="str">
        <f>A47</f>
        <v>成交单价（元/平方米）</v>
      </c>
      <c r="Q47" s="3426"/>
      <c r="R47" s="3439">
        <f>E47</f>
        <v>0</v>
      </c>
      <c r="S47" s="3439"/>
      <c r="T47" s="3439">
        <f>G47</f>
        <v>0</v>
      </c>
      <c r="U47" s="3439"/>
      <c r="V47" s="3439">
        <f>I47</f>
        <v>0</v>
      </c>
      <c r="W47" s="3439"/>
      <c r="X47" s="385"/>
      <c r="Y47" s="673"/>
      <c r="Z47" s="385"/>
      <c r="AA47" s="385"/>
      <c r="AB47" s="385"/>
      <c r="AC47" s="385"/>
    </row>
    <row r="48" spans="1:29" ht="15.75" thickBot="1">
      <c r="A48" s="423" t="s">
        <v>1788</v>
      </c>
      <c r="B48" s="424"/>
      <c r="C48" s="1082" t="e">
        <f>R49</f>
        <v>#DIV/0!</v>
      </c>
      <c r="D48" s="2140" t="s">
        <v>2132</v>
      </c>
      <c r="E48" s="1083" t="e">
        <f>R48</f>
        <v>#DIV/0!</v>
      </c>
      <c r="F48" s="2141"/>
      <c r="G48" s="1082" t="e">
        <f>T48</f>
        <v>#DIV/0!</v>
      </c>
      <c r="H48" s="2141"/>
      <c r="I48" s="1083" t="e">
        <f>V48</f>
        <v>#DIV/0!</v>
      </c>
      <c r="J48" s="2141"/>
      <c r="K48" s="2143">
        <f>F48+H48+J48</f>
        <v>0</v>
      </c>
      <c r="L48" s="2494"/>
      <c r="M48" s="2487"/>
      <c r="N48" s="2487"/>
      <c r="O48" s="2487"/>
      <c r="P48" s="3426" t="str">
        <f>A48</f>
        <v>比较价值（元/平方米）</v>
      </c>
      <c r="Q48" s="3426"/>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5"/>
      <c r="Y48" s="385"/>
      <c r="Z48" s="385"/>
      <c r="AA48" s="385"/>
      <c r="AB48" s="385"/>
      <c r="AC48" s="385"/>
    </row>
    <row r="49" spans="1:29" ht="15.75" thickBot="1">
      <c r="A49" s="427" t="s">
        <v>1789</v>
      </c>
      <c r="B49" s="428"/>
      <c r="C49" s="351" t="e">
        <f>R49</f>
        <v>#DIV/0!</v>
      </c>
      <c r="D49" s="351"/>
      <c r="E49" s="351"/>
      <c r="F49" s="351"/>
      <c r="G49" s="351"/>
      <c r="H49" s="351"/>
      <c r="I49" s="351"/>
      <c r="J49" s="351"/>
      <c r="K49" s="675"/>
      <c r="L49" s="2494"/>
      <c r="M49" s="2487"/>
      <c r="N49" s="2487"/>
      <c r="O49" s="2487"/>
      <c r="P49" s="3446" t="str">
        <f>A49</f>
        <v>估价对象XX用房的比较价值（楼面单价，元/平方米）</v>
      </c>
      <c r="Q49" s="3447"/>
      <c r="R49" s="3477" t="e">
        <f>IF(F1="售价",ROUND(IF(D48="简单平均",AVERAGE(R48:V48),R48*F48+T48*H48+V48*J48),0),ROUND(IF(D48="简单平均",AVERAGE(R48:V48),R48*F48+T48*H48+V48*J48),1))</f>
        <v>#DIV/0!</v>
      </c>
      <c r="S49" s="3477"/>
      <c r="T49" s="3477"/>
      <c r="U49" s="3477"/>
      <c r="V49" s="3477"/>
      <c r="W49" s="347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1793</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1674</v>
      </c>
      <c r="B58" s="441"/>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1711</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1676</v>
      </c>
      <c r="B61" s="444"/>
      <c r="C61" s="456" t="s">
        <v>1771</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1714</v>
      </c>
      <c r="B63" s="460" t="s">
        <v>1680</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1683</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1684</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1685</v>
      </c>
      <c r="B76" s="460" t="s">
        <v>1715</v>
      </c>
      <c r="C76" s="504" t="s">
        <v>1716</v>
      </c>
      <c r="D76" s="504" t="s">
        <v>1717</v>
      </c>
      <c r="E76" s="504" t="s">
        <v>1718</v>
      </c>
      <c r="F76" s="504" t="s">
        <v>1719</v>
      </c>
      <c r="G76" s="504" t="s">
        <v>1720</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1721</v>
      </c>
      <c r="C78" s="509" t="s">
        <v>1716</v>
      </c>
      <c r="D78" s="509" t="s">
        <v>1717</v>
      </c>
      <c r="E78" s="509" t="s">
        <v>1718</v>
      </c>
      <c r="F78" s="509" t="s">
        <v>1719</v>
      </c>
      <c r="G78" s="509" t="s">
        <v>1720</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1722</v>
      </c>
      <c r="C80" s="509" t="s">
        <v>1716</v>
      </c>
      <c r="D80" s="509" t="s">
        <v>1717</v>
      </c>
      <c r="E80" s="509" t="s">
        <v>1718</v>
      </c>
      <c r="F80" s="509" t="s">
        <v>1719</v>
      </c>
      <c r="G80" s="509" t="s">
        <v>1720</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1774</v>
      </c>
      <c r="C82" s="581" t="s">
        <v>1794</v>
      </c>
      <c r="D82" s="581" t="s">
        <v>1795</v>
      </c>
      <c r="E82" s="581" t="s">
        <v>1796</v>
      </c>
      <c r="F82" s="581" t="s">
        <v>1797</v>
      </c>
      <c r="G82" s="581" t="s">
        <v>1798</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1728</v>
      </c>
      <c r="C84" s="509" t="s">
        <v>1716</v>
      </c>
      <c r="D84" s="509" t="s">
        <v>1717</v>
      </c>
      <c r="E84" s="509" t="s">
        <v>1718</v>
      </c>
      <c r="F84" s="509" t="s">
        <v>1719</v>
      </c>
      <c r="G84" s="509" t="s">
        <v>1720</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1799</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1689</v>
      </c>
      <c r="B100" s="460" t="s">
        <v>1800</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1732</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1733</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1735</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1737</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1801</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1802</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1803</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1804</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1739</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1740</v>
      </c>
      <c r="C124" s="509" t="s">
        <v>1716</v>
      </c>
      <c r="D124" s="509" t="s">
        <v>1717</v>
      </c>
      <c r="E124" s="509" t="s">
        <v>1718</v>
      </c>
      <c r="F124" s="509" t="s">
        <v>1719</v>
      </c>
      <c r="G124" s="509" t="s">
        <v>1720</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807" t="s">
        <v>1805</v>
      </c>
      <c r="C1" s="1140" t="s">
        <v>1657</v>
      </c>
      <c r="D1" s="1141"/>
      <c r="E1" s="3130"/>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1458</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1459</v>
      </c>
      <c r="B3" s="536">
        <f>IF(C2="——",C50,ROUND(B2*10000/D3,0))</f>
        <v>0</v>
      </c>
      <c r="C3" s="344" t="s">
        <v>1763</v>
      </c>
      <c r="D3" s="343">
        <f>IF(D1="",'数据-汇总表'!E3,SUMIF('数据-汇总表'!$C19:$C33,D1,'数据-汇总表'!$E19:$E33))</f>
        <v>66017.299999999916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1764</v>
      </c>
      <c r="B4" s="346"/>
      <c r="C4" s="3427" t="s">
        <v>1765</v>
      </c>
      <c r="D4" s="3428"/>
      <c r="E4" s="3429" t="s">
        <v>1766</v>
      </c>
      <c r="F4" s="3430"/>
      <c r="G4" s="3427" t="s">
        <v>1767</v>
      </c>
      <c r="H4" s="3428"/>
      <c r="I4" s="3427" t="s">
        <v>1768</v>
      </c>
      <c r="J4" s="3428"/>
      <c r="K4" s="537" t="s">
        <v>1769</v>
      </c>
      <c r="L4" s="2486"/>
      <c r="M4" s="2487"/>
      <c r="N4" s="2487"/>
      <c r="O4" s="2487"/>
      <c r="P4" s="3490" t="s">
        <v>1770</v>
      </c>
      <c r="Q4" s="3491"/>
      <c r="R4" s="3485" t="s">
        <v>1766</v>
      </c>
      <c r="S4" s="3486"/>
      <c r="T4" s="3485" t="s">
        <v>1767</v>
      </c>
      <c r="U4" s="3486"/>
      <c r="V4" s="3494" t="s">
        <v>1768</v>
      </c>
      <c r="W4" s="3494"/>
      <c r="X4" s="1808"/>
      <c r="Y4" s="3485" t="s">
        <v>1770</v>
      </c>
      <c r="Z4" s="3486"/>
      <c r="AA4" s="3484" t="s">
        <v>1766</v>
      </c>
      <c r="AB4" s="3484" t="s">
        <v>1767</v>
      </c>
      <c r="AC4" s="3487" t="s">
        <v>1768</v>
      </c>
    </row>
    <row r="5" spans="1:29" ht="15">
      <c r="A5" s="348"/>
      <c r="B5" s="349"/>
      <c r="C5" s="3420" t="s">
        <v>1668</v>
      </c>
      <c r="D5" s="3421"/>
      <c r="E5" s="3418" t="s">
        <v>1669</v>
      </c>
      <c r="F5" s="3419"/>
      <c r="G5" s="3420" t="s">
        <v>1670</v>
      </c>
      <c r="H5" s="3421"/>
      <c r="I5" s="3420" t="s">
        <v>1671</v>
      </c>
      <c r="J5" s="3421"/>
      <c r="K5" s="537"/>
      <c r="L5" s="2486"/>
      <c r="M5" s="2487"/>
      <c r="N5" s="2487"/>
      <c r="O5" s="2487"/>
      <c r="P5" s="3492"/>
      <c r="Q5" s="3434"/>
      <c r="R5" s="3416"/>
      <c r="S5" s="3417"/>
      <c r="T5" s="3416"/>
      <c r="U5" s="3417"/>
      <c r="V5" s="3439"/>
      <c r="W5" s="3439"/>
      <c r="X5" s="1264"/>
      <c r="Y5" s="3416"/>
      <c r="Z5" s="3417"/>
      <c r="AA5" s="3410"/>
      <c r="AB5" s="3410"/>
      <c r="AC5" s="3488"/>
    </row>
    <row r="6" spans="1:29" ht="15.75" thickBot="1">
      <c r="A6" s="350"/>
      <c r="B6" s="351"/>
      <c r="C6" s="3422" t="s">
        <v>1672</v>
      </c>
      <c r="D6" s="3423"/>
      <c r="E6" s="3424" t="s">
        <v>1672</v>
      </c>
      <c r="F6" s="3425"/>
      <c r="G6" s="3422" t="s">
        <v>1672</v>
      </c>
      <c r="H6" s="3423"/>
      <c r="I6" s="3422" t="s">
        <v>1672</v>
      </c>
      <c r="J6" s="3423"/>
      <c r="K6" s="537" t="s">
        <v>1673</v>
      </c>
      <c r="L6" s="2486"/>
      <c r="M6" s="2487"/>
      <c r="N6" s="2487"/>
      <c r="O6" s="2487"/>
      <c r="P6" s="3493"/>
      <c r="Q6" s="3436"/>
      <c r="R6" s="3416"/>
      <c r="S6" s="3417"/>
      <c r="T6" s="3437"/>
      <c r="U6" s="3438"/>
      <c r="V6" s="3439"/>
      <c r="W6" s="3439"/>
      <c r="X6" s="1264"/>
      <c r="Y6" s="3437"/>
      <c r="Z6" s="3438"/>
      <c r="AA6" s="3411"/>
      <c r="AB6" s="3411"/>
      <c r="AC6" s="3489"/>
    </row>
    <row r="7" spans="1:29" s="102" customFormat="1" ht="15.75" thickBot="1">
      <c r="A7" s="352" t="s">
        <v>1674</v>
      </c>
      <c r="B7" s="353"/>
      <c r="C7" s="354">
        <f>'数据-取费表'!B2</f>
        <v>45604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95" t="s">
        <v>1675</v>
      </c>
      <c r="Q7" s="3440"/>
      <c r="R7" s="664" t="s">
        <v>14</v>
      </c>
      <c r="S7" s="665">
        <f t="shared" ref="S7:S15" si="0">F7</f>
        <v>0</v>
      </c>
      <c r="T7" s="664" t="s">
        <v>14</v>
      </c>
      <c r="U7" s="665">
        <f t="shared" ref="U7:U15" si="1">H7</f>
        <v>0</v>
      </c>
      <c r="V7" s="664" t="s">
        <v>14</v>
      </c>
      <c r="W7" s="665">
        <f t="shared" ref="W7:W15" si="2">J7</f>
        <v>0</v>
      </c>
      <c r="X7" s="666"/>
      <c r="Y7" s="3412" t="s">
        <v>1675</v>
      </c>
      <c r="Z7" s="3413"/>
      <c r="AA7" s="50" t="e">
        <f>D7/F7</f>
        <v>#DIV/0!</v>
      </c>
      <c r="AB7" s="50" t="e">
        <f>D7/H7</f>
        <v>#DIV/0!</v>
      </c>
      <c r="AC7" s="802" t="e">
        <f>D7/J7</f>
        <v>#DIV/0!</v>
      </c>
    </row>
    <row r="8" spans="1:29" s="102" customFormat="1" ht="15.75" thickBot="1">
      <c r="A8" s="352" t="s">
        <v>1676</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95" t="s">
        <v>1678</v>
      </c>
      <c r="Q8" s="3413"/>
      <c r="R8" s="664" t="s">
        <v>14</v>
      </c>
      <c r="S8" s="665">
        <f t="shared" si="0"/>
        <v>100</v>
      </c>
      <c r="T8" s="664" t="s">
        <v>14</v>
      </c>
      <c r="U8" s="665">
        <f t="shared" si="1"/>
        <v>100</v>
      </c>
      <c r="V8" s="664" t="s">
        <v>14</v>
      </c>
      <c r="W8" s="665">
        <f t="shared" si="2"/>
        <v>100</v>
      </c>
      <c r="X8" s="666"/>
      <c r="Y8" s="3412" t="s">
        <v>1678</v>
      </c>
      <c r="Z8" s="3413"/>
      <c r="AA8" s="50">
        <f t="shared" ref="AA8:AA47" si="3">D8/F8</f>
        <v>1</v>
      </c>
      <c r="AB8" s="50">
        <f t="shared" ref="AB8:AB47" si="4">D8/H8</f>
        <v>1</v>
      </c>
      <c r="AC8" s="802">
        <f t="shared" ref="AC8:AC47" si="5">D8/J8</f>
        <v>1</v>
      </c>
    </row>
    <row r="9" spans="1:29" s="102" customFormat="1">
      <c r="A9" s="359" t="s">
        <v>1679</v>
      </c>
      <c r="B9" s="60" t="s">
        <v>1680</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50" t="s">
        <v>1681</v>
      </c>
      <c r="Q9" s="530" t="str">
        <f t="shared" ref="Q9:Q15" si="6">B9</f>
        <v>用途</v>
      </c>
      <c r="R9" s="664" t="s">
        <v>14</v>
      </c>
      <c r="S9" s="665">
        <f t="shared" si="0"/>
        <v>100</v>
      </c>
      <c r="T9" s="664" t="s">
        <v>14</v>
      </c>
      <c r="U9" s="665">
        <f t="shared" si="1"/>
        <v>100</v>
      </c>
      <c r="V9" s="664" t="s">
        <v>14</v>
      </c>
      <c r="W9" s="665">
        <f t="shared" si="2"/>
        <v>100</v>
      </c>
      <c r="X9" s="666"/>
      <c r="Y9" s="3382" t="s">
        <v>1682</v>
      </c>
      <c r="Z9" s="50" t="str">
        <f t="shared" ref="Z9:Z15" si="7">Q9</f>
        <v>用途</v>
      </c>
      <c r="AA9" s="50">
        <f t="shared" si="3"/>
        <v>1</v>
      </c>
      <c r="AB9" s="50">
        <f t="shared" si="4"/>
        <v>1</v>
      </c>
      <c r="AC9" s="802">
        <f t="shared" si="5"/>
        <v>1</v>
      </c>
    </row>
    <row r="10" spans="1:29" s="366" customFormat="1" ht="27">
      <c r="A10" s="363"/>
      <c r="B10" s="364" t="s">
        <v>1683</v>
      </c>
      <c r="C10" s="3131"/>
      <c r="D10" s="119">
        <v>100</v>
      </c>
      <c r="E10" s="3131"/>
      <c r="F10" s="119">
        <f>SUMIF(66:66,E10,67:67)-SUMIF(66:66,C10,67:67)+100</f>
        <v>100</v>
      </c>
      <c r="G10" s="3132"/>
      <c r="H10" s="119">
        <f>SUMIF(66:66,G10,67:67)-SUMIF(66:66,C10,67:67)+100</f>
        <v>100</v>
      </c>
      <c r="I10" s="3131"/>
      <c r="J10" s="119">
        <f>SUMIF(66:66,I10,67:67)-SUMIF(66:66,C10,67:67)+100</f>
        <v>100</v>
      </c>
      <c r="K10" s="38"/>
      <c r="L10" s="2489"/>
      <c r="M10" s="2490"/>
      <c r="N10" s="2490"/>
      <c r="O10" s="2490"/>
      <c r="P10" s="3450"/>
      <c r="Q10" s="530" t="str">
        <f t="shared" si="6"/>
        <v>土地使用年限（年）</v>
      </c>
      <c r="R10" s="664" t="s">
        <v>14</v>
      </c>
      <c r="S10" s="665">
        <f t="shared" si="0"/>
        <v>100</v>
      </c>
      <c r="T10" s="664" t="s">
        <v>14</v>
      </c>
      <c r="U10" s="665">
        <f t="shared" si="1"/>
        <v>100</v>
      </c>
      <c r="V10" s="664" t="s">
        <v>14</v>
      </c>
      <c r="W10" s="665">
        <f t="shared" si="2"/>
        <v>100</v>
      </c>
      <c r="X10" s="666"/>
      <c r="Y10" s="3382"/>
      <c r="Z10" s="50" t="str">
        <f t="shared" si="7"/>
        <v>土地使用年限（年）</v>
      </c>
      <c r="AA10" s="50">
        <f t="shared" si="3"/>
        <v>1</v>
      </c>
      <c r="AB10" s="50">
        <f t="shared" si="4"/>
        <v>1</v>
      </c>
      <c r="AC10" s="802">
        <f t="shared" si="5"/>
        <v>1</v>
      </c>
    </row>
    <row r="11" spans="1:29" ht="15">
      <c r="A11" s="367"/>
      <c r="B11" s="364" t="s">
        <v>1684</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50"/>
      <c r="Q11" s="530" t="str">
        <f t="shared" si="6"/>
        <v>容积率</v>
      </c>
      <c r="R11" s="664" t="s">
        <v>14</v>
      </c>
      <c r="S11" s="665">
        <f t="shared" si="0"/>
        <v>100</v>
      </c>
      <c r="T11" s="664" t="s">
        <v>14</v>
      </c>
      <c r="U11" s="665">
        <f t="shared" si="1"/>
        <v>100</v>
      </c>
      <c r="V11" s="664" t="s">
        <v>14</v>
      </c>
      <c r="W11" s="665">
        <f t="shared" si="2"/>
        <v>100</v>
      </c>
      <c r="X11" s="666"/>
      <c r="Y11" s="338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50"/>
      <c r="Q12" s="530">
        <f t="shared" si="6"/>
        <v>111</v>
      </c>
      <c r="R12" s="664" t="s">
        <v>14</v>
      </c>
      <c r="S12" s="665">
        <f t="shared" si="0"/>
        <v>100</v>
      </c>
      <c r="T12" s="664" t="s">
        <v>14</v>
      </c>
      <c r="U12" s="665">
        <f t="shared" si="1"/>
        <v>100</v>
      </c>
      <c r="V12" s="664" t="s">
        <v>14</v>
      </c>
      <c r="W12" s="665">
        <f t="shared" si="2"/>
        <v>100</v>
      </c>
      <c r="X12" s="666"/>
      <c r="Y12" s="338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50"/>
      <c r="Q13" s="530">
        <f t="shared" si="6"/>
        <v>111</v>
      </c>
      <c r="R13" s="664" t="s">
        <v>14</v>
      </c>
      <c r="S13" s="665">
        <f t="shared" si="0"/>
        <v>100</v>
      </c>
      <c r="T13" s="664" t="s">
        <v>14</v>
      </c>
      <c r="U13" s="665">
        <f t="shared" si="1"/>
        <v>100</v>
      </c>
      <c r="V13" s="664" t="s">
        <v>14</v>
      </c>
      <c r="W13" s="665">
        <f t="shared" si="2"/>
        <v>100</v>
      </c>
      <c r="X13" s="666"/>
      <c r="Y13" s="338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50"/>
      <c r="Q14" s="530">
        <f t="shared" si="6"/>
        <v>111</v>
      </c>
      <c r="R14" s="664" t="s">
        <v>14</v>
      </c>
      <c r="S14" s="665">
        <f t="shared" si="0"/>
        <v>100</v>
      </c>
      <c r="T14" s="664" t="s">
        <v>14</v>
      </c>
      <c r="U14" s="665">
        <f t="shared" si="1"/>
        <v>100</v>
      </c>
      <c r="V14" s="664" t="s">
        <v>14</v>
      </c>
      <c r="W14" s="665">
        <f t="shared" si="2"/>
        <v>100</v>
      </c>
      <c r="X14" s="666"/>
      <c r="Y14" s="3382"/>
      <c r="Z14" s="50">
        <f t="shared" si="7"/>
        <v>111</v>
      </c>
      <c r="AA14" s="50">
        <f t="shared" si="3"/>
        <v>1</v>
      </c>
      <c r="AB14" s="50">
        <f t="shared" si="4"/>
        <v>1</v>
      </c>
      <c r="AC14" s="802">
        <f t="shared" si="5"/>
        <v>1</v>
      </c>
    </row>
    <row r="15" spans="1:29" ht="71.25">
      <c r="A15" s="379" t="s">
        <v>1685</v>
      </c>
      <c r="B15" s="554" t="s">
        <v>1806</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82" t="s">
        <v>1686</v>
      </c>
      <c r="Q15" s="1262" t="str">
        <f t="shared" si="6"/>
        <v>办公集聚程度</v>
      </c>
      <c r="R15" s="667" t="s">
        <v>14</v>
      </c>
      <c r="S15" s="668">
        <f t="shared" si="0"/>
        <v>100</v>
      </c>
      <c r="T15" s="667" t="s">
        <v>14</v>
      </c>
      <c r="U15" s="668">
        <f t="shared" si="1"/>
        <v>100</v>
      </c>
      <c r="V15" s="667" t="s">
        <v>14</v>
      </c>
      <c r="W15" s="668">
        <f t="shared" si="2"/>
        <v>100</v>
      </c>
      <c r="X15" s="1264"/>
      <c r="Y15" s="3441" t="s">
        <v>1686</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83"/>
      <c r="Q16" s="1262"/>
      <c r="R16" s="667"/>
      <c r="S16" s="668"/>
      <c r="T16" s="667"/>
      <c r="U16" s="668"/>
      <c r="V16" s="667"/>
      <c r="W16" s="668"/>
      <c r="X16" s="1264"/>
      <c r="Y16" s="3442"/>
      <c r="Z16" s="1263"/>
      <c r="AA16" s="1263">
        <v>1</v>
      </c>
      <c r="AB16" s="1263">
        <v>1</v>
      </c>
      <c r="AC16" s="1811">
        <v>1</v>
      </c>
    </row>
    <row r="17" spans="1:29" ht="71.25">
      <c r="A17" s="367"/>
      <c r="B17" s="556" t="s">
        <v>1257</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83"/>
      <c r="Q17" s="1262" t="str">
        <f>B17</f>
        <v>交通便捷度</v>
      </c>
      <c r="R17" s="667" t="s">
        <v>14</v>
      </c>
      <c r="S17" s="668">
        <f>F17</f>
        <v>100</v>
      </c>
      <c r="T17" s="667" t="s">
        <v>14</v>
      </c>
      <c r="U17" s="668">
        <f>H17</f>
        <v>100</v>
      </c>
      <c r="V17" s="667" t="s">
        <v>14</v>
      </c>
      <c r="W17" s="668">
        <f>J17</f>
        <v>100</v>
      </c>
      <c r="X17" s="1264"/>
      <c r="Y17" s="344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83"/>
      <c r="Q18" s="1262"/>
      <c r="R18" s="667"/>
      <c r="S18" s="668"/>
      <c r="T18" s="667"/>
      <c r="U18" s="668"/>
      <c r="V18" s="667"/>
      <c r="W18" s="668"/>
      <c r="X18" s="1264"/>
      <c r="Y18" s="3442"/>
      <c r="Z18" s="1263"/>
      <c r="AA18" s="1263">
        <v>1</v>
      </c>
      <c r="AB18" s="1263">
        <v>1</v>
      </c>
      <c r="AC18" s="1811">
        <v>1</v>
      </c>
    </row>
    <row r="19" spans="1:29" ht="42.75">
      <c r="A19" s="367"/>
      <c r="B19" s="556" t="s">
        <v>1807</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83"/>
      <c r="Q19" s="1262" t="str">
        <f>B19</f>
        <v>公共配套设施</v>
      </c>
      <c r="R19" s="667" t="s">
        <v>14</v>
      </c>
      <c r="S19" s="668">
        <f>F19</f>
        <v>100</v>
      </c>
      <c r="T19" s="667" t="s">
        <v>14</v>
      </c>
      <c r="U19" s="668">
        <f>H19</f>
        <v>100</v>
      </c>
      <c r="V19" s="667" t="s">
        <v>14</v>
      </c>
      <c r="W19" s="668">
        <f>J19</f>
        <v>100</v>
      </c>
      <c r="X19" s="1264"/>
      <c r="Y19" s="344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83"/>
      <c r="Q20" s="1262"/>
      <c r="R20" s="667"/>
      <c r="S20" s="668"/>
      <c r="T20" s="667"/>
      <c r="U20" s="668"/>
      <c r="V20" s="667"/>
      <c r="W20" s="668"/>
      <c r="X20" s="1264"/>
      <c r="Y20" s="3442"/>
      <c r="Z20" s="1263"/>
      <c r="AA20" s="1263">
        <v>1</v>
      </c>
      <c r="AB20" s="1263">
        <v>1</v>
      </c>
      <c r="AC20" s="1811">
        <v>1</v>
      </c>
    </row>
    <row r="21" spans="1:29" ht="28.5">
      <c r="A21" s="367"/>
      <c r="B21" s="557" t="s">
        <v>1808</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83"/>
      <c r="Q21" s="1262" t="str">
        <f>B21</f>
        <v>基础设施水平</v>
      </c>
      <c r="R21" s="667" t="s">
        <v>14</v>
      </c>
      <c r="S21" s="668">
        <f>F21</f>
        <v>100</v>
      </c>
      <c r="T21" s="667" t="s">
        <v>14</v>
      </c>
      <c r="U21" s="668">
        <f>H21</f>
        <v>100</v>
      </c>
      <c r="V21" s="667" t="s">
        <v>14</v>
      </c>
      <c r="W21" s="668">
        <f>J21</f>
        <v>100</v>
      </c>
      <c r="X21" s="1264"/>
      <c r="Y21" s="3442"/>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83"/>
      <c r="Q22" s="1262"/>
      <c r="R22" s="667"/>
      <c r="S22" s="668"/>
      <c r="T22" s="667"/>
      <c r="U22" s="668"/>
      <c r="V22" s="667"/>
      <c r="W22" s="668"/>
      <c r="X22" s="1264"/>
      <c r="Y22" s="3442"/>
      <c r="Z22" s="1263"/>
      <c r="AA22" s="1263">
        <v>1</v>
      </c>
      <c r="AB22" s="1263">
        <v>1</v>
      </c>
      <c r="AC22" s="1811">
        <v>1</v>
      </c>
    </row>
    <row r="23" spans="1:29" ht="42.75">
      <c r="A23" s="367"/>
      <c r="B23" s="556" t="s">
        <v>1809</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83"/>
      <c r="Q23" s="1262" t="str">
        <f>B23</f>
        <v>环境质量</v>
      </c>
      <c r="R23" s="667" t="s">
        <v>14</v>
      </c>
      <c r="S23" s="668">
        <f>F23</f>
        <v>100</v>
      </c>
      <c r="T23" s="667" t="s">
        <v>14</v>
      </c>
      <c r="U23" s="668">
        <f>H23</f>
        <v>100</v>
      </c>
      <c r="V23" s="667" t="s">
        <v>14</v>
      </c>
      <c r="W23" s="668">
        <f>J23</f>
        <v>100</v>
      </c>
      <c r="X23" s="1264"/>
      <c r="Y23" s="3442"/>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83"/>
      <c r="Q24" s="1262"/>
      <c r="R24" s="667"/>
      <c r="S24" s="668"/>
      <c r="T24" s="667"/>
      <c r="U24" s="668"/>
      <c r="V24" s="667"/>
      <c r="W24" s="668"/>
      <c r="X24" s="1264"/>
      <c r="Y24" s="3442"/>
      <c r="Z24" s="1263"/>
      <c r="AA24" s="1263">
        <v>1</v>
      </c>
      <c r="AB24" s="1263">
        <v>1</v>
      </c>
      <c r="AC24" s="1811">
        <v>1</v>
      </c>
    </row>
    <row r="25" spans="1:29" ht="27">
      <c r="A25" s="348"/>
      <c r="B25" s="556" t="s">
        <v>1810</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83"/>
      <c r="Q25" s="1262" t="str">
        <f>B25</f>
        <v>毗邻道路的类型与等级</v>
      </c>
      <c r="R25" s="667" t="s">
        <v>14</v>
      </c>
      <c r="S25" s="668">
        <f>F25</f>
        <v>100</v>
      </c>
      <c r="T25" s="667" t="s">
        <v>14</v>
      </c>
      <c r="U25" s="668">
        <f>H25</f>
        <v>100</v>
      </c>
      <c r="V25" s="667" t="s">
        <v>14</v>
      </c>
      <c r="W25" s="668">
        <f>J25</f>
        <v>100</v>
      </c>
      <c r="X25" s="1264"/>
      <c r="Y25" s="3442"/>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83"/>
      <c r="Q26" s="1262"/>
      <c r="R26" s="667"/>
      <c r="S26" s="668"/>
      <c r="T26" s="667"/>
      <c r="U26" s="668"/>
      <c r="V26" s="667"/>
      <c r="W26" s="668"/>
      <c r="X26" s="1264"/>
      <c r="Y26" s="3442"/>
      <c r="Z26" s="1263"/>
      <c r="AA26" s="1263">
        <v>1</v>
      </c>
      <c r="AB26" s="1263">
        <v>1</v>
      </c>
      <c r="AC26" s="1811">
        <v>1</v>
      </c>
    </row>
    <row r="27" spans="1:29" ht="15">
      <c r="A27" s="367"/>
      <c r="B27" s="401" t="s">
        <v>1778</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83"/>
      <c r="Q27" s="1262" t="str">
        <f t="shared" ref="Q27:Q47" si="11">B27</f>
        <v>楼层</v>
      </c>
      <c r="R27" s="667" t="s">
        <v>14</v>
      </c>
      <c r="S27" s="668">
        <f>F27</f>
        <v>100</v>
      </c>
      <c r="T27" s="667" t="s">
        <v>14</v>
      </c>
      <c r="U27" s="668">
        <f>H27</f>
        <v>100</v>
      </c>
      <c r="V27" s="667" t="s">
        <v>14</v>
      </c>
      <c r="W27" s="668">
        <f>J27</f>
        <v>100</v>
      </c>
      <c r="X27" s="1264"/>
      <c r="Y27" s="3442"/>
      <c r="Z27" s="1263" t="str">
        <f>Q27</f>
        <v>楼层</v>
      </c>
      <c r="AA27" s="1263">
        <f t="shared" si="3"/>
        <v>1</v>
      </c>
      <c r="AB27" s="1263">
        <f t="shared" si="4"/>
        <v>1</v>
      </c>
      <c r="AC27" s="1811">
        <f t="shared" si="5"/>
        <v>1</v>
      </c>
    </row>
    <row r="28" spans="1:29" s="102" customFormat="1" ht="15">
      <c r="A28" s="370"/>
      <c r="B28" s="556" t="s">
        <v>1811</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83"/>
      <c r="Q28" s="530" t="str">
        <f t="shared" si="11"/>
        <v>朝向</v>
      </c>
      <c r="R28" s="664" t="s">
        <v>14</v>
      </c>
      <c r="S28" s="665">
        <f>F28</f>
        <v>100</v>
      </c>
      <c r="T28" s="664" t="s">
        <v>14</v>
      </c>
      <c r="U28" s="665">
        <f>H28</f>
        <v>100</v>
      </c>
      <c r="V28" s="664" t="s">
        <v>14</v>
      </c>
      <c r="W28" s="665">
        <f>J28</f>
        <v>100</v>
      </c>
      <c r="X28" s="666"/>
      <c r="Y28" s="344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83"/>
      <c r="Q29" s="1262">
        <f t="shared" si="11"/>
        <v>111</v>
      </c>
      <c r="R29" s="667" t="s">
        <v>14</v>
      </c>
      <c r="S29" s="668">
        <f t="shared" ref="S29:S47" si="12">F29</f>
        <v>100</v>
      </c>
      <c r="T29" s="667" t="s">
        <v>14</v>
      </c>
      <c r="U29" s="668">
        <f t="shared" ref="U29:U47" si="13">H29</f>
        <v>100</v>
      </c>
      <c r="V29" s="667" t="s">
        <v>14</v>
      </c>
      <c r="W29" s="668">
        <f t="shared" ref="W29:W47" si="14">J29</f>
        <v>100</v>
      </c>
      <c r="X29" s="1264"/>
      <c r="Y29" s="344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83"/>
      <c r="Q30" s="1262">
        <f t="shared" si="11"/>
        <v>111</v>
      </c>
      <c r="R30" s="667" t="s">
        <v>14</v>
      </c>
      <c r="S30" s="668">
        <f t="shared" si="12"/>
        <v>100</v>
      </c>
      <c r="T30" s="667" t="s">
        <v>14</v>
      </c>
      <c r="U30" s="668">
        <f t="shared" si="13"/>
        <v>100</v>
      </c>
      <c r="V30" s="667" t="s">
        <v>14</v>
      </c>
      <c r="W30" s="668">
        <f t="shared" si="14"/>
        <v>100</v>
      </c>
      <c r="X30" s="1264"/>
      <c r="Y30" s="344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83"/>
      <c r="Q31" s="1262">
        <f t="shared" si="11"/>
        <v>111</v>
      </c>
      <c r="R31" s="667" t="s">
        <v>14</v>
      </c>
      <c r="S31" s="668">
        <f t="shared" si="12"/>
        <v>100</v>
      </c>
      <c r="T31" s="667" t="s">
        <v>14</v>
      </c>
      <c r="U31" s="668">
        <f t="shared" si="13"/>
        <v>100</v>
      </c>
      <c r="V31" s="667" t="s">
        <v>14</v>
      </c>
      <c r="W31" s="668">
        <f t="shared" si="14"/>
        <v>100</v>
      </c>
      <c r="X31" s="1264"/>
      <c r="Y31" s="3442"/>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83"/>
      <c r="Q32" s="1262">
        <f t="shared" si="11"/>
        <v>111</v>
      </c>
      <c r="R32" s="667" t="s">
        <v>14</v>
      </c>
      <c r="S32" s="668">
        <f t="shared" si="12"/>
        <v>100</v>
      </c>
      <c r="T32" s="667" t="s">
        <v>14</v>
      </c>
      <c r="U32" s="668">
        <f t="shared" si="13"/>
        <v>100</v>
      </c>
      <c r="V32" s="667" t="s">
        <v>14</v>
      </c>
      <c r="W32" s="668">
        <f t="shared" si="14"/>
        <v>100</v>
      </c>
      <c r="X32" s="1264"/>
      <c r="Y32" s="3442"/>
      <c r="Z32" s="1263">
        <f t="shared" si="15"/>
        <v>111</v>
      </c>
      <c r="AA32" s="1263">
        <f t="shared" si="3"/>
        <v>1</v>
      </c>
      <c r="AB32" s="1263">
        <f t="shared" si="4"/>
        <v>1</v>
      </c>
      <c r="AC32" s="1811">
        <f t="shared" si="5"/>
        <v>1</v>
      </c>
    </row>
    <row r="33" spans="1:29" ht="15">
      <c r="A33" s="379" t="s">
        <v>1689</v>
      </c>
      <c r="B33" s="60" t="s">
        <v>1812</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78" t="s">
        <v>1691</v>
      </c>
      <c r="Q33" s="1262" t="str">
        <f t="shared" si="11"/>
        <v>建筑类型</v>
      </c>
      <c r="R33" s="667" t="s">
        <v>14</v>
      </c>
      <c r="S33" s="668">
        <f t="shared" si="12"/>
        <v>100</v>
      </c>
      <c r="T33" s="667" t="s">
        <v>14</v>
      </c>
      <c r="U33" s="668">
        <f t="shared" si="13"/>
        <v>100</v>
      </c>
      <c r="V33" s="667" t="s">
        <v>14</v>
      </c>
      <c r="W33" s="668">
        <f t="shared" si="14"/>
        <v>100</v>
      </c>
      <c r="X33" s="1264"/>
      <c r="Y33" s="3444" t="s">
        <v>1691</v>
      </c>
      <c r="Z33" s="1263" t="str">
        <f t="shared" si="15"/>
        <v>建筑类型</v>
      </c>
      <c r="AA33" s="1263">
        <f t="shared" si="3"/>
        <v>1</v>
      </c>
      <c r="AB33" s="1263">
        <f t="shared" si="4"/>
        <v>1</v>
      </c>
      <c r="AC33" s="1811">
        <f t="shared" si="5"/>
        <v>1</v>
      </c>
    </row>
    <row r="34" spans="1:29" s="408" customFormat="1" ht="15">
      <c r="A34" s="406"/>
      <c r="B34" s="364" t="s">
        <v>1692</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79"/>
      <c r="Q34" s="531" t="str">
        <f t="shared" si="11"/>
        <v>项目建筑规模</v>
      </c>
      <c r="R34" s="669" t="s">
        <v>14</v>
      </c>
      <c r="S34" s="670" t="e">
        <f t="shared" si="12"/>
        <v>#N/A</v>
      </c>
      <c r="T34" s="669" t="s">
        <v>14</v>
      </c>
      <c r="U34" s="670" t="e">
        <f t="shared" si="13"/>
        <v>#N/A</v>
      </c>
      <c r="V34" s="669" t="s">
        <v>14</v>
      </c>
      <c r="W34" s="670" t="e">
        <f t="shared" si="14"/>
        <v>#N/A</v>
      </c>
      <c r="X34" s="671"/>
      <c r="Y34" s="3444"/>
      <c r="Z34" s="672" t="str">
        <f t="shared" si="15"/>
        <v>项目建筑规模</v>
      </c>
      <c r="AA34" s="1263" t="e">
        <f t="shared" si="3"/>
        <v>#N/A</v>
      </c>
      <c r="AB34" s="1263" t="e">
        <f t="shared" si="4"/>
        <v>#N/A</v>
      </c>
      <c r="AC34" s="1811" t="e">
        <f t="shared" si="5"/>
        <v>#N/A</v>
      </c>
    </row>
    <row r="35" spans="1:29" ht="15">
      <c r="A35" s="409"/>
      <c r="B35" s="364" t="s">
        <v>1693</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79"/>
      <c r="Q35" s="1262" t="str">
        <f t="shared" si="11"/>
        <v>建筑结构</v>
      </c>
      <c r="R35" s="667" t="s">
        <v>14</v>
      </c>
      <c r="S35" s="668">
        <f t="shared" si="12"/>
        <v>100</v>
      </c>
      <c r="T35" s="667" t="s">
        <v>14</v>
      </c>
      <c r="U35" s="668">
        <f t="shared" si="13"/>
        <v>100</v>
      </c>
      <c r="V35" s="667" t="s">
        <v>14</v>
      </c>
      <c r="W35" s="668">
        <f t="shared" si="14"/>
        <v>100</v>
      </c>
      <c r="X35" s="1264"/>
      <c r="Y35" s="3444"/>
      <c r="Z35" s="1263" t="str">
        <f t="shared" si="15"/>
        <v>建筑结构</v>
      </c>
      <c r="AA35" s="1263">
        <f t="shared" si="3"/>
        <v>1</v>
      </c>
      <c r="AB35" s="1263">
        <f t="shared" si="4"/>
        <v>1</v>
      </c>
      <c r="AC35" s="1811">
        <f t="shared" si="5"/>
        <v>1</v>
      </c>
    </row>
    <row r="36" spans="1:29" ht="15">
      <c r="A36" s="409"/>
      <c r="B36" s="364" t="s">
        <v>1780</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79"/>
      <c r="Q36" s="1262" t="str">
        <f t="shared" si="11"/>
        <v>公共部分装修</v>
      </c>
      <c r="R36" s="667" t="s">
        <v>14</v>
      </c>
      <c r="S36" s="668">
        <f t="shared" si="12"/>
        <v>100</v>
      </c>
      <c r="T36" s="667" t="s">
        <v>14</v>
      </c>
      <c r="U36" s="668">
        <f t="shared" si="13"/>
        <v>100</v>
      </c>
      <c r="V36" s="667" t="s">
        <v>14</v>
      </c>
      <c r="W36" s="668">
        <f t="shared" si="14"/>
        <v>100</v>
      </c>
      <c r="X36" s="1264"/>
      <c r="Y36" s="3444"/>
      <c r="Z36" s="1263" t="str">
        <f t="shared" si="15"/>
        <v>公共部分装修</v>
      </c>
      <c r="AA36" s="1263">
        <f t="shared" si="3"/>
        <v>1</v>
      </c>
      <c r="AB36" s="1263">
        <f t="shared" si="4"/>
        <v>1</v>
      </c>
      <c r="AC36" s="1811">
        <f t="shared" si="5"/>
        <v>1</v>
      </c>
    </row>
    <row r="37" spans="1:29" ht="15">
      <c r="A37" s="409"/>
      <c r="B37" s="364" t="s">
        <v>1781</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79"/>
      <c r="Q37" s="1262" t="str">
        <f t="shared" si="11"/>
        <v>成新度</v>
      </c>
      <c r="R37" s="667" t="s">
        <v>14</v>
      </c>
      <c r="S37" s="668" t="e">
        <f t="shared" si="12"/>
        <v>#N/A</v>
      </c>
      <c r="T37" s="667" t="s">
        <v>14</v>
      </c>
      <c r="U37" s="668" t="e">
        <f t="shared" si="13"/>
        <v>#N/A</v>
      </c>
      <c r="V37" s="667" t="s">
        <v>14</v>
      </c>
      <c r="W37" s="668" t="e">
        <f t="shared" si="14"/>
        <v>#N/A</v>
      </c>
      <c r="X37" s="1264"/>
      <c r="Y37" s="3444"/>
      <c r="Z37" s="1263" t="str">
        <f t="shared" si="15"/>
        <v>成新度</v>
      </c>
      <c r="AA37" s="1263" t="e">
        <f t="shared" si="3"/>
        <v>#N/A</v>
      </c>
      <c r="AB37" s="1263" t="e">
        <f t="shared" si="4"/>
        <v>#N/A</v>
      </c>
      <c r="AC37" s="1811" t="e">
        <f t="shared" si="5"/>
        <v>#N/A</v>
      </c>
    </row>
    <row r="38" spans="1:29" s="102" customFormat="1" ht="15">
      <c r="A38" s="410"/>
      <c r="B38" s="364" t="s">
        <v>1813</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79"/>
      <c r="Q38" s="530" t="str">
        <f t="shared" si="11"/>
        <v>写字楼等级</v>
      </c>
      <c r="R38" s="664" t="s">
        <v>14</v>
      </c>
      <c r="S38" s="665">
        <f t="shared" si="12"/>
        <v>100</v>
      </c>
      <c r="T38" s="664" t="s">
        <v>14</v>
      </c>
      <c r="U38" s="665">
        <f t="shared" si="13"/>
        <v>100</v>
      </c>
      <c r="V38" s="664" t="s">
        <v>14</v>
      </c>
      <c r="W38" s="665">
        <f t="shared" si="14"/>
        <v>100</v>
      </c>
      <c r="X38" s="666"/>
      <c r="Y38" s="3444"/>
      <c r="Z38" s="50" t="str">
        <f t="shared" si="15"/>
        <v>写字楼等级</v>
      </c>
      <c r="AA38" s="50">
        <f t="shared" si="3"/>
        <v>1</v>
      </c>
      <c r="AB38" s="50">
        <f t="shared" si="4"/>
        <v>1</v>
      </c>
      <c r="AC38" s="802">
        <f t="shared" si="5"/>
        <v>1</v>
      </c>
    </row>
    <row r="39" spans="1:29" ht="15">
      <c r="A39" s="409"/>
      <c r="B39" s="364" t="s">
        <v>1814</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79" t="s">
        <v>1691</v>
      </c>
      <c r="Q39" s="1262" t="str">
        <f t="shared" si="11"/>
        <v>物业管理</v>
      </c>
      <c r="R39" s="667" t="s">
        <v>14</v>
      </c>
      <c r="S39" s="668">
        <f t="shared" si="12"/>
        <v>100</v>
      </c>
      <c r="T39" s="667" t="s">
        <v>14</v>
      </c>
      <c r="U39" s="668">
        <f t="shared" si="13"/>
        <v>100</v>
      </c>
      <c r="V39" s="667" t="s">
        <v>14</v>
      </c>
      <c r="W39" s="668">
        <f t="shared" si="14"/>
        <v>100</v>
      </c>
      <c r="X39" s="1264"/>
      <c r="Y39" s="3444" t="s">
        <v>1691</v>
      </c>
      <c r="Z39" s="1263" t="str">
        <f t="shared" si="15"/>
        <v>物业管理</v>
      </c>
      <c r="AA39" s="1263">
        <f t="shared" si="3"/>
        <v>1</v>
      </c>
      <c r="AB39" s="1263">
        <f t="shared" si="4"/>
        <v>1</v>
      </c>
      <c r="AC39" s="1811">
        <f t="shared" si="5"/>
        <v>1</v>
      </c>
    </row>
    <row r="40" spans="1:29" ht="15">
      <c r="A40" s="409"/>
      <c r="B40" s="364" t="s">
        <v>1782</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79"/>
      <c r="Q40" s="1262" t="str">
        <f t="shared" si="11"/>
        <v>市政基础设施</v>
      </c>
      <c r="R40" s="667" t="s">
        <v>14</v>
      </c>
      <c r="S40" s="668">
        <f t="shared" si="12"/>
        <v>100</v>
      </c>
      <c r="T40" s="667" t="s">
        <v>14</v>
      </c>
      <c r="U40" s="668">
        <f t="shared" si="13"/>
        <v>100</v>
      </c>
      <c r="V40" s="667" t="s">
        <v>14</v>
      </c>
      <c r="W40" s="668">
        <f t="shared" si="14"/>
        <v>100</v>
      </c>
      <c r="X40" s="1264"/>
      <c r="Y40" s="3444"/>
      <c r="Z40" s="1263" t="str">
        <f t="shared" si="15"/>
        <v>市政基础设施</v>
      </c>
      <c r="AA40" s="1263">
        <f t="shared" si="3"/>
        <v>1</v>
      </c>
      <c r="AB40" s="1263">
        <f t="shared" si="4"/>
        <v>1</v>
      </c>
      <c r="AC40" s="1811">
        <f t="shared" si="5"/>
        <v>1</v>
      </c>
    </row>
    <row r="41" spans="1:29" ht="15">
      <c r="A41" s="409"/>
      <c r="B41" s="364" t="s">
        <v>1784</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79"/>
      <c r="Q41" s="1262" t="str">
        <f t="shared" si="11"/>
        <v>层高</v>
      </c>
      <c r="R41" s="667" t="s">
        <v>14</v>
      </c>
      <c r="S41" s="668">
        <f t="shared" si="12"/>
        <v>100</v>
      </c>
      <c r="T41" s="667" t="s">
        <v>14</v>
      </c>
      <c r="U41" s="668">
        <f t="shared" si="13"/>
        <v>100</v>
      </c>
      <c r="V41" s="667" t="s">
        <v>14</v>
      </c>
      <c r="W41" s="668">
        <f t="shared" si="14"/>
        <v>100</v>
      </c>
      <c r="X41" s="1264"/>
      <c r="Y41" s="3444"/>
      <c r="Z41" s="1263" t="str">
        <f t="shared" si="15"/>
        <v>层高</v>
      </c>
      <c r="AA41" s="1263">
        <f t="shared" si="3"/>
        <v>1</v>
      </c>
      <c r="AB41" s="1263">
        <f t="shared" si="4"/>
        <v>1</v>
      </c>
      <c r="AC41" s="1811">
        <f t="shared" si="5"/>
        <v>1</v>
      </c>
    </row>
    <row r="42" spans="1:29" s="408" customFormat="1" ht="15">
      <c r="A42" s="406"/>
      <c r="B42" s="400" t="s">
        <v>1815</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79"/>
      <c r="Q42" s="531" t="str">
        <f t="shared" si="11"/>
        <v>单套建筑面积</v>
      </c>
      <c r="R42" s="669" t="s">
        <v>14</v>
      </c>
      <c r="S42" s="670">
        <f t="shared" si="12"/>
        <v>100</v>
      </c>
      <c r="T42" s="669" t="s">
        <v>14</v>
      </c>
      <c r="U42" s="670">
        <f t="shared" si="13"/>
        <v>100</v>
      </c>
      <c r="V42" s="669" t="s">
        <v>14</v>
      </c>
      <c r="W42" s="670">
        <f t="shared" si="14"/>
        <v>100</v>
      </c>
      <c r="X42" s="671"/>
      <c r="Y42" s="3444"/>
      <c r="Z42" s="672" t="str">
        <f t="shared" si="15"/>
        <v>单套建筑面积</v>
      </c>
      <c r="AA42" s="1263">
        <f t="shared" si="3"/>
        <v>1</v>
      </c>
      <c r="AB42" s="1263">
        <f t="shared" si="4"/>
        <v>1</v>
      </c>
      <c r="AC42" s="1811">
        <f t="shared" si="5"/>
        <v>1</v>
      </c>
    </row>
    <row r="43" spans="1:29" ht="15">
      <c r="A43" s="409"/>
      <c r="B43" s="364" t="s">
        <v>1787</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79"/>
      <c r="Q43" s="1262" t="str">
        <f t="shared" si="11"/>
        <v>内部装修</v>
      </c>
      <c r="R43" s="667" t="s">
        <v>14</v>
      </c>
      <c r="S43" s="668">
        <f t="shared" si="12"/>
        <v>100</v>
      </c>
      <c r="T43" s="667" t="s">
        <v>14</v>
      </c>
      <c r="U43" s="668">
        <f t="shared" si="13"/>
        <v>100</v>
      </c>
      <c r="V43" s="667" t="s">
        <v>14</v>
      </c>
      <c r="W43" s="668">
        <f t="shared" si="14"/>
        <v>100</v>
      </c>
      <c r="X43" s="1264"/>
      <c r="Y43" s="3444"/>
      <c r="Z43" s="1263" t="str">
        <f t="shared" si="15"/>
        <v>内部装修</v>
      </c>
      <c r="AA43" s="1263">
        <f t="shared" si="3"/>
        <v>1</v>
      </c>
      <c r="AB43" s="1263">
        <f t="shared" si="4"/>
        <v>1</v>
      </c>
      <c r="AC43" s="1811">
        <f t="shared" si="5"/>
        <v>1</v>
      </c>
    </row>
    <row r="44" spans="1:29" ht="15">
      <c r="A44" s="409"/>
      <c r="B44" s="364" t="s">
        <v>1702</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79"/>
      <c r="Q44" s="1262" t="str">
        <f t="shared" si="11"/>
        <v>内部装修维护情况</v>
      </c>
      <c r="R44" s="667" t="s">
        <v>14</v>
      </c>
      <c r="S44" s="668">
        <f t="shared" si="12"/>
        <v>100</v>
      </c>
      <c r="T44" s="667" t="s">
        <v>14</v>
      </c>
      <c r="U44" s="668">
        <f t="shared" si="13"/>
        <v>100</v>
      </c>
      <c r="V44" s="667" t="s">
        <v>14</v>
      </c>
      <c r="W44" s="668">
        <f t="shared" si="14"/>
        <v>100</v>
      </c>
      <c r="X44" s="1264"/>
      <c r="Y44" s="3444"/>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79"/>
      <c r="Q45" s="530">
        <f t="shared" si="11"/>
        <v>111</v>
      </c>
      <c r="R45" s="664" t="s">
        <v>14</v>
      </c>
      <c r="S45" s="665">
        <f t="shared" si="12"/>
        <v>100</v>
      </c>
      <c r="T45" s="664" t="s">
        <v>14</v>
      </c>
      <c r="U45" s="665">
        <f t="shared" si="13"/>
        <v>100</v>
      </c>
      <c r="V45" s="664" t="s">
        <v>14</v>
      </c>
      <c r="W45" s="665">
        <f t="shared" si="14"/>
        <v>100</v>
      </c>
      <c r="X45" s="666"/>
      <c r="Y45" s="344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79"/>
      <c r="Q46" s="1262">
        <f t="shared" si="11"/>
        <v>111</v>
      </c>
      <c r="R46" s="667" t="s">
        <v>14</v>
      </c>
      <c r="S46" s="668">
        <f t="shared" si="12"/>
        <v>100</v>
      </c>
      <c r="T46" s="667" t="s">
        <v>14</v>
      </c>
      <c r="U46" s="668">
        <f t="shared" si="13"/>
        <v>100</v>
      </c>
      <c r="V46" s="667" t="s">
        <v>14</v>
      </c>
      <c r="W46" s="668">
        <f t="shared" si="14"/>
        <v>100</v>
      </c>
      <c r="X46" s="1264"/>
      <c r="Y46" s="344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80"/>
      <c r="Q47" s="1262">
        <f t="shared" si="11"/>
        <v>111</v>
      </c>
      <c r="R47" s="667" t="s">
        <v>14</v>
      </c>
      <c r="S47" s="668">
        <f t="shared" si="12"/>
        <v>100</v>
      </c>
      <c r="T47" s="667" t="s">
        <v>14</v>
      </c>
      <c r="U47" s="668">
        <f t="shared" si="13"/>
        <v>100</v>
      </c>
      <c r="V47" s="667" t="s">
        <v>14</v>
      </c>
      <c r="W47" s="668">
        <f t="shared" si="14"/>
        <v>100</v>
      </c>
      <c r="X47" s="1264"/>
      <c r="Y47" s="3481"/>
      <c r="Z47" s="1263">
        <f t="shared" si="15"/>
        <v>111</v>
      </c>
      <c r="AA47" s="1263">
        <f t="shared" si="3"/>
        <v>1</v>
      </c>
      <c r="AB47" s="1263">
        <f t="shared" si="4"/>
        <v>1</v>
      </c>
      <c r="AC47" s="1811">
        <f t="shared" si="5"/>
        <v>1</v>
      </c>
    </row>
    <row r="48" spans="1:29" ht="15">
      <c r="A48" s="416" t="s">
        <v>1703</v>
      </c>
      <c r="B48" s="417"/>
      <c r="C48" s="1081" t="s">
        <v>0</v>
      </c>
      <c r="D48" s="418"/>
      <c r="E48" s="419"/>
      <c r="F48" s="420"/>
      <c r="G48" s="421"/>
      <c r="H48" s="422"/>
      <c r="I48" s="419"/>
      <c r="J48" s="422"/>
      <c r="K48" s="674"/>
      <c r="L48" s="2494"/>
      <c r="M48" s="2487"/>
      <c r="N48" s="2487"/>
      <c r="O48" s="2487"/>
      <c r="P48" s="3450" t="str">
        <f>A48</f>
        <v>成交单价（元/平方米）</v>
      </c>
      <c r="Q48" s="3426"/>
      <c r="R48" s="3439">
        <f>E48</f>
        <v>0</v>
      </c>
      <c r="S48" s="3439"/>
      <c r="T48" s="3439">
        <f>G48</f>
        <v>0</v>
      </c>
      <c r="U48" s="3439"/>
      <c r="V48" s="3439">
        <f>I48</f>
        <v>0</v>
      </c>
      <c r="W48" s="3439"/>
      <c r="X48" s="385"/>
      <c r="Y48" s="673"/>
      <c r="Z48" s="385"/>
      <c r="AA48" s="385"/>
      <c r="AB48" s="385"/>
      <c r="AC48" s="555"/>
    </row>
    <row r="49" spans="1:29" ht="15.75" thickBot="1">
      <c r="A49" s="423" t="s">
        <v>1788</v>
      </c>
      <c r="B49" s="424"/>
      <c r="C49" s="1082" t="e">
        <f>R50</f>
        <v>#DIV/0!</v>
      </c>
      <c r="D49" s="2140" t="s">
        <v>2132</v>
      </c>
      <c r="E49" s="1083" t="e">
        <f>R49</f>
        <v>#DIV/0!</v>
      </c>
      <c r="F49" s="2141"/>
      <c r="G49" s="1082" t="e">
        <f>T49</f>
        <v>#DIV/0!</v>
      </c>
      <c r="H49" s="2141"/>
      <c r="I49" s="1083" t="e">
        <f>V49</f>
        <v>#DIV/0!</v>
      </c>
      <c r="J49" s="2141"/>
      <c r="K49" s="2143">
        <f>F49+H49+J49</f>
        <v>0</v>
      </c>
      <c r="L49" s="2494"/>
      <c r="M49" s="2487"/>
      <c r="N49" s="2487"/>
      <c r="O49" s="2487"/>
      <c r="P49" s="3450" t="str">
        <f>A49</f>
        <v>比较价值（元/平方米）</v>
      </c>
      <c r="Q49" s="3426"/>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385"/>
      <c r="Y49" s="385"/>
      <c r="Z49" s="385"/>
      <c r="AA49" s="385"/>
      <c r="AB49" s="385"/>
      <c r="AC49" s="555"/>
    </row>
    <row r="50" spans="1:29" ht="15.75" thickBot="1">
      <c r="A50" s="427" t="s">
        <v>1789</v>
      </c>
      <c r="B50" s="428"/>
      <c r="C50" s="351" t="e">
        <f>R50</f>
        <v>#DIV/0!</v>
      </c>
      <c r="D50" s="351"/>
      <c r="E50" s="351"/>
      <c r="F50" s="351"/>
      <c r="G50" s="351"/>
      <c r="H50" s="351"/>
      <c r="I50" s="351"/>
      <c r="J50" s="429"/>
      <c r="K50" s="675"/>
      <c r="L50" s="2494"/>
      <c r="M50" s="2487"/>
      <c r="N50" s="2487"/>
      <c r="O50" s="2487"/>
      <c r="P50" s="3496" t="str">
        <f>A50</f>
        <v>估价对象XX用房的比较价值（楼面单价，元/平方米）</v>
      </c>
      <c r="Q50" s="3497"/>
      <c r="R50" s="3498" t="e">
        <f>IF(F1="售价",ROUND(IF(D49="简单平均",AVERAGE(R49:V49),R49*F49+T49*H49+V49*J49),0),ROUND(IF(D49="简单平均",AVERAGE(R49:V49),R49*F49+T49*H49+V49*J49),1))</f>
        <v>#DIV/0!</v>
      </c>
      <c r="S50" s="3498"/>
      <c r="T50" s="3498"/>
      <c r="U50" s="3498"/>
      <c r="V50" s="3498"/>
      <c r="W50" s="349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1790</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1791</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1792</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1793</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1674</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1711</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1676</v>
      </c>
      <c r="B62" s="444"/>
      <c r="C62" s="456" t="s">
        <v>1771</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1714</v>
      </c>
      <c r="B64" s="460" t="s">
        <v>1680</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1683</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1684</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1685</v>
      </c>
      <c r="B77" s="460" t="s">
        <v>1816</v>
      </c>
      <c r="C77" s="504" t="s">
        <v>1716</v>
      </c>
      <c r="D77" s="504" t="s">
        <v>1717</v>
      </c>
      <c r="E77" s="504" t="s">
        <v>1718</v>
      </c>
      <c r="F77" s="504" t="s">
        <v>1719</v>
      </c>
      <c r="G77" s="504" t="s">
        <v>1720</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1721</v>
      </c>
      <c r="C79" s="509" t="s">
        <v>1716</v>
      </c>
      <c r="D79" s="509" t="s">
        <v>1717</v>
      </c>
      <c r="E79" s="509" t="s">
        <v>1718</v>
      </c>
      <c r="F79" s="509" t="s">
        <v>1719</v>
      </c>
      <c r="G79" s="509" t="s">
        <v>1720</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1722</v>
      </c>
      <c r="C81" s="509" t="s">
        <v>1716</v>
      </c>
      <c r="D81" s="509" t="s">
        <v>1717</v>
      </c>
      <c r="E81" s="509" t="s">
        <v>1718</v>
      </c>
      <c r="F81" s="509" t="s">
        <v>1719</v>
      </c>
      <c r="G81" s="509" t="s">
        <v>1720</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1808</v>
      </c>
      <c r="C83" s="581" t="s">
        <v>1794</v>
      </c>
      <c r="D83" s="581" t="s">
        <v>1795</v>
      </c>
      <c r="E83" s="581" t="s">
        <v>1796</v>
      </c>
      <c r="F83" s="581" t="s">
        <v>1797</v>
      </c>
      <c r="G83" s="581" t="s">
        <v>1798</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1817</v>
      </c>
      <c r="C85" s="509" t="s">
        <v>1716</v>
      </c>
      <c r="D85" s="509" t="s">
        <v>1717</v>
      </c>
      <c r="E85" s="509" t="s">
        <v>1718</v>
      </c>
      <c r="F85" s="509" t="s">
        <v>1719</v>
      </c>
      <c r="G85" s="509" t="s">
        <v>1720</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1818</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1689</v>
      </c>
      <c r="B101" s="460" t="s">
        <v>1731</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1732</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1733</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1735</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1819</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1736</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1737</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1820</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1803</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1739</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1740</v>
      </c>
      <c r="C125" s="509" t="s">
        <v>1716</v>
      </c>
      <c r="D125" s="509" t="s">
        <v>1717</v>
      </c>
      <c r="E125" s="509" t="s">
        <v>1718</v>
      </c>
      <c r="F125" s="509" t="s">
        <v>1719</v>
      </c>
      <c r="G125" s="509" t="s">
        <v>1720</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1655</v>
      </c>
      <c r="B1" s="1807" t="s">
        <v>1821</v>
      </c>
      <c r="C1" s="1140" t="s">
        <v>1657</v>
      </c>
      <c r="D1" s="1141"/>
      <c r="E1" s="3130"/>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1459</v>
      </c>
      <c r="B3" s="536">
        <f>IF(C2="——",C43,ROUND(B2*10000/D3,0))</f>
        <v>0</v>
      </c>
      <c r="C3" s="344" t="s">
        <v>1763</v>
      </c>
      <c r="D3" s="343">
        <f>IF(D1="",'数据-汇总表'!E3,SUMIF('数据-汇总表'!$C19:$C33,D1,'数据-汇总表'!$E19:$E33))</f>
        <v>66017.299999999916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1764</v>
      </c>
      <c r="B4" s="346"/>
      <c r="C4" s="3427" t="s">
        <v>1765</v>
      </c>
      <c r="D4" s="3428"/>
      <c r="E4" s="3429" t="s">
        <v>1766</v>
      </c>
      <c r="F4" s="3430"/>
      <c r="G4" s="3427" t="s">
        <v>1767</v>
      </c>
      <c r="H4" s="3428"/>
      <c r="I4" s="3427" t="s">
        <v>1768</v>
      </c>
      <c r="J4" s="3428"/>
      <c r="K4" s="537" t="s">
        <v>1769</v>
      </c>
      <c r="L4" s="860"/>
      <c r="M4" s="861"/>
      <c r="N4" s="861"/>
      <c r="O4" s="861"/>
      <c r="P4" s="3431" t="s">
        <v>1770</v>
      </c>
      <c r="Q4" s="3432"/>
      <c r="R4" s="3414" t="s">
        <v>1766</v>
      </c>
      <c r="S4" s="3415"/>
      <c r="T4" s="3414" t="s">
        <v>1767</v>
      </c>
      <c r="U4" s="3415"/>
      <c r="V4" s="3439" t="s">
        <v>1768</v>
      </c>
      <c r="W4" s="3439"/>
      <c r="X4" s="1264"/>
      <c r="Y4" s="3414" t="s">
        <v>1770</v>
      </c>
      <c r="Z4" s="3415"/>
      <c r="AA4" s="3409" t="s">
        <v>1766</v>
      </c>
      <c r="AB4" s="3410" t="s">
        <v>1767</v>
      </c>
      <c r="AC4" s="3409" t="s">
        <v>1768</v>
      </c>
    </row>
    <row r="5" spans="1:29" ht="15">
      <c r="A5" s="348"/>
      <c r="B5" s="349"/>
      <c r="C5" s="3420" t="s">
        <v>1668</v>
      </c>
      <c r="D5" s="3421"/>
      <c r="E5" s="3418" t="s">
        <v>1669</v>
      </c>
      <c r="F5" s="3419"/>
      <c r="G5" s="3420" t="s">
        <v>1670</v>
      </c>
      <c r="H5" s="3421"/>
      <c r="I5" s="3420" t="s">
        <v>1671</v>
      </c>
      <c r="J5" s="3421"/>
      <c r="K5" s="537"/>
      <c r="L5" s="860"/>
      <c r="M5" s="861"/>
      <c r="N5" s="861"/>
      <c r="O5" s="861"/>
      <c r="P5" s="3433"/>
      <c r="Q5" s="3434"/>
      <c r="R5" s="3416"/>
      <c r="S5" s="3417"/>
      <c r="T5" s="3416"/>
      <c r="U5" s="3417"/>
      <c r="V5" s="3439"/>
      <c r="W5" s="3439"/>
      <c r="X5" s="1264"/>
      <c r="Y5" s="3416"/>
      <c r="Z5" s="3417"/>
      <c r="AA5" s="3410"/>
      <c r="AB5" s="3410"/>
      <c r="AC5" s="3410"/>
    </row>
    <row r="6" spans="1:29" ht="15.75" thickBot="1">
      <c r="A6" s="350"/>
      <c r="B6" s="351"/>
      <c r="C6" s="3422" t="s">
        <v>1672</v>
      </c>
      <c r="D6" s="3423"/>
      <c r="E6" s="3424" t="s">
        <v>1672</v>
      </c>
      <c r="F6" s="3425"/>
      <c r="G6" s="3422" t="s">
        <v>1672</v>
      </c>
      <c r="H6" s="3423"/>
      <c r="I6" s="3422" t="s">
        <v>1672</v>
      </c>
      <c r="J6" s="3423"/>
      <c r="K6" s="537" t="s">
        <v>1673</v>
      </c>
      <c r="L6" s="860"/>
      <c r="M6" s="861"/>
      <c r="N6" s="861"/>
      <c r="O6" s="861"/>
      <c r="P6" s="3435"/>
      <c r="Q6" s="3436"/>
      <c r="R6" s="3416"/>
      <c r="S6" s="3417"/>
      <c r="T6" s="3437"/>
      <c r="U6" s="3438"/>
      <c r="V6" s="3439"/>
      <c r="W6" s="3439"/>
      <c r="X6" s="1264"/>
      <c r="Y6" s="3437"/>
      <c r="Z6" s="3438"/>
      <c r="AA6" s="3411"/>
      <c r="AB6" s="3411"/>
      <c r="AC6" s="3411"/>
    </row>
    <row r="7" spans="1:29" s="102" customFormat="1" ht="15.75" thickBot="1">
      <c r="A7" s="352" t="s">
        <v>1674</v>
      </c>
      <c r="B7" s="353"/>
      <c r="C7" s="354">
        <f>'数据-取费表'!B2</f>
        <v>45604</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1675</v>
      </c>
      <c r="Q7" s="3440"/>
      <c r="R7" s="664" t="s">
        <v>14</v>
      </c>
      <c r="S7" s="665">
        <f t="shared" ref="S7:S15" si="0">F7</f>
        <v>0</v>
      </c>
      <c r="T7" s="664" t="s">
        <v>14</v>
      </c>
      <c r="U7" s="665">
        <f t="shared" ref="U7:U15" si="1">H7</f>
        <v>0</v>
      </c>
      <c r="V7" s="664" t="s">
        <v>14</v>
      </c>
      <c r="W7" s="665">
        <f t="shared" ref="W7:W15" si="2">J7</f>
        <v>0</v>
      </c>
      <c r="X7" s="666"/>
      <c r="Y7" s="3412" t="s">
        <v>1675</v>
      </c>
      <c r="Z7" s="3413"/>
      <c r="AA7" s="50" t="e">
        <f>D7/F7</f>
        <v>#DIV/0!</v>
      </c>
      <c r="AB7" s="50" t="e">
        <f>D7/H7</f>
        <v>#DIV/0!</v>
      </c>
      <c r="AC7" s="50" t="e">
        <f>D7/J7</f>
        <v>#DIV/0!</v>
      </c>
    </row>
    <row r="8" spans="1:29" s="102" customFormat="1" ht="15.75" thickBot="1">
      <c r="A8" s="352" t="s">
        <v>1676</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1678</v>
      </c>
      <c r="Q8" s="3413"/>
      <c r="R8" s="664" t="s">
        <v>14</v>
      </c>
      <c r="S8" s="665">
        <f t="shared" si="0"/>
        <v>100</v>
      </c>
      <c r="T8" s="664" t="s">
        <v>14</v>
      </c>
      <c r="U8" s="665">
        <f t="shared" si="1"/>
        <v>100</v>
      </c>
      <c r="V8" s="664" t="s">
        <v>14</v>
      </c>
      <c r="W8" s="665">
        <f t="shared" si="2"/>
        <v>100</v>
      </c>
      <c r="X8" s="666"/>
      <c r="Y8" s="3412" t="s">
        <v>1678</v>
      </c>
      <c r="Z8" s="3413"/>
      <c r="AA8" s="50">
        <f t="shared" ref="AA8:AA40" si="3">D8/F8</f>
        <v>1</v>
      </c>
      <c r="AB8" s="50">
        <f t="shared" ref="AB8:AB40" si="4">D8/H8</f>
        <v>1</v>
      </c>
      <c r="AC8" s="50">
        <f t="shared" ref="AC8:AC40" si="5">D8/J8</f>
        <v>1</v>
      </c>
    </row>
    <row r="9" spans="1:29" s="102" customFormat="1">
      <c r="A9" s="359" t="s">
        <v>1679</v>
      </c>
      <c r="B9" s="60" t="s">
        <v>1680</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6" t="s">
        <v>1681</v>
      </c>
      <c r="Q9" s="530" t="str">
        <f t="shared" ref="Q9:Q15" si="6">B9</f>
        <v>用途</v>
      </c>
      <c r="R9" s="664" t="s">
        <v>14</v>
      </c>
      <c r="S9" s="665">
        <f t="shared" si="0"/>
        <v>100</v>
      </c>
      <c r="T9" s="664" t="s">
        <v>14</v>
      </c>
      <c r="U9" s="665">
        <f t="shared" si="1"/>
        <v>100</v>
      </c>
      <c r="V9" s="664" t="s">
        <v>14</v>
      </c>
      <c r="W9" s="665">
        <f t="shared" si="2"/>
        <v>100</v>
      </c>
      <c r="X9" s="666"/>
      <c r="Y9" s="3382" t="s">
        <v>1682</v>
      </c>
      <c r="Z9" s="50" t="str">
        <f t="shared" ref="Z9:Z15" si="7">Q9</f>
        <v>用途</v>
      </c>
      <c r="AA9" s="50">
        <f t="shared" si="3"/>
        <v>1</v>
      </c>
      <c r="AB9" s="50">
        <f t="shared" si="4"/>
        <v>1</v>
      </c>
      <c r="AC9" s="50">
        <f t="shared" si="5"/>
        <v>1</v>
      </c>
    </row>
    <row r="10" spans="1:29" s="366" customFormat="1" ht="27">
      <c r="A10" s="363"/>
      <c r="B10" s="364" t="s">
        <v>1683</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6"/>
      <c r="Q10" s="530" t="str">
        <f t="shared" si="6"/>
        <v>土地使用年限（年）</v>
      </c>
      <c r="R10" s="664" t="s">
        <v>14</v>
      </c>
      <c r="S10" s="665">
        <f t="shared" si="0"/>
        <v>100</v>
      </c>
      <c r="T10" s="664" t="s">
        <v>14</v>
      </c>
      <c r="U10" s="665">
        <f t="shared" si="1"/>
        <v>100</v>
      </c>
      <c r="V10" s="664" t="s">
        <v>14</v>
      </c>
      <c r="W10" s="665">
        <f t="shared" si="2"/>
        <v>100</v>
      </c>
      <c r="X10" s="666"/>
      <c r="Y10" s="3382"/>
      <c r="Z10" s="50" t="str">
        <f t="shared" si="7"/>
        <v>土地使用年限（年）</v>
      </c>
      <c r="AA10" s="50">
        <f t="shared" si="3"/>
        <v>1</v>
      </c>
      <c r="AB10" s="50">
        <f t="shared" si="4"/>
        <v>1</v>
      </c>
      <c r="AC10" s="50">
        <f t="shared" si="5"/>
        <v>1</v>
      </c>
    </row>
    <row r="11" spans="1:29" ht="15">
      <c r="A11" s="367"/>
      <c r="B11" s="364" t="s">
        <v>1684</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6"/>
      <c r="Q11" s="530" t="str">
        <f t="shared" si="6"/>
        <v>容积率</v>
      </c>
      <c r="R11" s="664" t="s">
        <v>14</v>
      </c>
      <c r="S11" s="665">
        <f t="shared" si="0"/>
        <v>100</v>
      </c>
      <c r="T11" s="664" t="s">
        <v>14</v>
      </c>
      <c r="U11" s="665">
        <f t="shared" si="1"/>
        <v>100</v>
      </c>
      <c r="V11" s="664" t="s">
        <v>14</v>
      </c>
      <c r="W11" s="665">
        <f t="shared" si="2"/>
        <v>100</v>
      </c>
      <c r="X11" s="666"/>
      <c r="Y11" s="338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6"/>
      <c r="Q12" s="530">
        <f t="shared" si="6"/>
        <v>111</v>
      </c>
      <c r="R12" s="664" t="s">
        <v>14</v>
      </c>
      <c r="S12" s="665">
        <f t="shared" si="0"/>
        <v>100</v>
      </c>
      <c r="T12" s="664" t="s">
        <v>14</v>
      </c>
      <c r="U12" s="665">
        <f t="shared" si="1"/>
        <v>100</v>
      </c>
      <c r="V12" s="664" t="s">
        <v>14</v>
      </c>
      <c r="W12" s="665">
        <f t="shared" si="2"/>
        <v>100</v>
      </c>
      <c r="X12" s="666"/>
      <c r="Y12" s="338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6"/>
      <c r="Q13" s="530">
        <f t="shared" si="6"/>
        <v>111</v>
      </c>
      <c r="R13" s="664" t="s">
        <v>14</v>
      </c>
      <c r="S13" s="665">
        <f t="shared" si="0"/>
        <v>100</v>
      </c>
      <c r="T13" s="664" t="s">
        <v>14</v>
      </c>
      <c r="U13" s="665">
        <f t="shared" si="1"/>
        <v>100</v>
      </c>
      <c r="V13" s="664" t="s">
        <v>14</v>
      </c>
      <c r="W13" s="665">
        <f t="shared" si="2"/>
        <v>100</v>
      </c>
      <c r="X13" s="666"/>
      <c r="Y13" s="338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6"/>
      <c r="Q14" s="530">
        <f t="shared" si="6"/>
        <v>111</v>
      </c>
      <c r="R14" s="664" t="s">
        <v>14</v>
      </c>
      <c r="S14" s="665">
        <f t="shared" si="0"/>
        <v>100</v>
      </c>
      <c r="T14" s="664" t="s">
        <v>14</v>
      </c>
      <c r="U14" s="665">
        <f t="shared" si="1"/>
        <v>100</v>
      </c>
      <c r="V14" s="664" t="s">
        <v>14</v>
      </c>
      <c r="W14" s="665">
        <f t="shared" si="2"/>
        <v>100</v>
      </c>
      <c r="X14" s="666"/>
      <c r="Y14" s="3382"/>
      <c r="Z14" s="50">
        <f t="shared" si="7"/>
        <v>111</v>
      </c>
      <c r="AA14" s="50">
        <f t="shared" si="3"/>
        <v>1</v>
      </c>
      <c r="AB14" s="50">
        <f t="shared" si="4"/>
        <v>1</v>
      </c>
      <c r="AC14" s="50">
        <f t="shared" si="5"/>
        <v>1</v>
      </c>
    </row>
    <row r="15" spans="1:29" ht="57">
      <c r="A15" s="379" t="s">
        <v>1685</v>
      </c>
      <c r="B15" s="58" t="s">
        <v>1822</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1" t="s">
        <v>1686</v>
      </c>
      <c r="Q15" s="1262" t="str">
        <f t="shared" si="6"/>
        <v>产业集聚程度</v>
      </c>
      <c r="R15" s="667" t="s">
        <v>14</v>
      </c>
      <c r="S15" s="668">
        <f t="shared" si="0"/>
        <v>100</v>
      </c>
      <c r="T15" s="667" t="s">
        <v>14</v>
      </c>
      <c r="U15" s="668">
        <f t="shared" si="1"/>
        <v>100</v>
      </c>
      <c r="V15" s="667" t="s">
        <v>14</v>
      </c>
      <c r="W15" s="668">
        <f t="shared" si="2"/>
        <v>100</v>
      </c>
      <c r="X15" s="1264"/>
      <c r="Y15" s="3441" t="s">
        <v>1686</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42"/>
      <c r="Q16" s="1262"/>
      <c r="R16" s="667"/>
      <c r="S16" s="668"/>
      <c r="T16" s="667"/>
      <c r="U16" s="668"/>
      <c r="V16" s="667"/>
      <c r="W16" s="668"/>
      <c r="X16" s="1264"/>
      <c r="Y16" s="3442"/>
      <c r="Z16" s="1263"/>
      <c r="AA16" s="1263">
        <v>1</v>
      </c>
      <c r="AB16" s="1263">
        <v>1</v>
      </c>
      <c r="AC16" s="1263">
        <v>1</v>
      </c>
    </row>
    <row r="17" spans="1:29" ht="85.5">
      <c r="A17" s="367"/>
      <c r="B17" s="390" t="s">
        <v>1257</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2"/>
      <c r="Q17" s="1262" t="str">
        <f>B17</f>
        <v>交通便捷度</v>
      </c>
      <c r="R17" s="667" t="s">
        <v>14</v>
      </c>
      <c r="S17" s="668">
        <f>F17</f>
        <v>100</v>
      </c>
      <c r="T17" s="667" t="s">
        <v>14</v>
      </c>
      <c r="U17" s="668">
        <f>H17</f>
        <v>100</v>
      </c>
      <c r="V17" s="667" t="s">
        <v>14</v>
      </c>
      <c r="W17" s="668">
        <f>J17</f>
        <v>100</v>
      </c>
      <c r="X17" s="1264"/>
      <c r="Y17" s="344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42"/>
      <c r="Q18" s="1262"/>
      <c r="R18" s="667"/>
      <c r="S18" s="668"/>
      <c r="T18" s="667"/>
      <c r="U18" s="668"/>
      <c r="V18" s="667"/>
      <c r="W18" s="668"/>
      <c r="X18" s="1264"/>
      <c r="Y18" s="3442"/>
      <c r="Z18" s="1263"/>
      <c r="AA18" s="1263">
        <v>1</v>
      </c>
      <c r="AB18" s="1263">
        <v>1</v>
      </c>
      <c r="AC18" s="1263">
        <v>1</v>
      </c>
    </row>
    <row r="19" spans="1:29" ht="42.75">
      <c r="A19" s="367"/>
      <c r="B19" s="390" t="s">
        <v>1807</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2"/>
      <c r="Q19" s="1262" t="str">
        <f>B19</f>
        <v>公共配套设施</v>
      </c>
      <c r="R19" s="667" t="s">
        <v>14</v>
      </c>
      <c r="S19" s="668">
        <f>F19</f>
        <v>100</v>
      </c>
      <c r="T19" s="667" t="s">
        <v>14</v>
      </c>
      <c r="U19" s="668">
        <f>H19</f>
        <v>100</v>
      </c>
      <c r="V19" s="667" t="s">
        <v>14</v>
      </c>
      <c r="W19" s="668">
        <f>J19</f>
        <v>100</v>
      </c>
      <c r="X19" s="1264"/>
      <c r="Y19" s="344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42"/>
      <c r="Q20" s="1262"/>
      <c r="R20" s="667"/>
      <c r="S20" s="668"/>
      <c r="T20" s="667"/>
      <c r="U20" s="668"/>
      <c r="V20" s="667"/>
      <c r="W20" s="668"/>
      <c r="X20" s="1264"/>
      <c r="Y20" s="3442"/>
      <c r="Z20" s="1263"/>
      <c r="AA20" s="1263">
        <v>1</v>
      </c>
      <c r="AB20" s="1263">
        <v>1</v>
      </c>
      <c r="AC20" s="1263">
        <v>1</v>
      </c>
    </row>
    <row r="21" spans="1:29" ht="28.5">
      <c r="A21" s="367"/>
      <c r="B21" s="586" t="s">
        <v>1808</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2"/>
      <c r="Q21" s="1262" t="str">
        <f>B21</f>
        <v>基础设施水平</v>
      </c>
      <c r="R21" s="667" t="s">
        <v>14</v>
      </c>
      <c r="S21" s="668">
        <f>F21</f>
        <v>100</v>
      </c>
      <c r="T21" s="667" t="s">
        <v>14</v>
      </c>
      <c r="U21" s="668">
        <f>H21</f>
        <v>100</v>
      </c>
      <c r="V21" s="667" t="s">
        <v>14</v>
      </c>
      <c r="W21" s="668">
        <f>J21</f>
        <v>100</v>
      </c>
      <c r="X21" s="1264"/>
      <c r="Y21" s="3442"/>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42"/>
      <c r="Q22" s="1262"/>
      <c r="R22" s="667"/>
      <c r="S22" s="668"/>
      <c r="T22" s="667"/>
      <c r="U22" s="668"/>
      <c r="V22" s="667"/>
      <c r="W22" s="668"/>
      <c r="X22" s="1264"/>
      <c r="Y22" s="3442"/>
      <c r="Z22" s="1263"/>
      <c r="AA22" s="1263">
        <v>1</v>
      </c>
      <c r="AB22" s="1263">
        <v>1</v>
      </c>
      <c r="AC22" s="1263">
        <v>1</v>
      </c>
    </row>
    <row r="23" spans="1:29" ht="71.25">
      <c r="A23" s="367"/>
      <c r="B23" s="390" t="s">
        <v>1809</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2"/>
      <c r="Q23" s="1262" t="str">
        <f>B23</f>
        <v>环境质量</v>
      </c>
      <c r="R23" s="667" t="s">
        <v>14</v>
      </c>
      <c r="S23" s="668">
        <f>F23</f>
        <v>100</v>
      </c>
      <c r="T23" s="667" t="s">
        <v>14</v>
      </c>
      <c r="U23" s="668">
        <f>H23</f>
        <v>100</v>
      </c>
      <c r="V23" s="667" t="s">
        <v>14</v>
      </c>
      <c r="W23" s="668">
        <f>J23</f>
        <v>100</v>
      </c>
      <c r="X23" s="1264"/>
      <c r="Y23" s="3442"/>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42"/>
      <c r="Q24" s="1262"/>
      <c r="R24" s="667"/>
      <c r="S24" s="668"/>
      <c r="T24" s="667"/>
      <c r="U24" s="668"/>
      <c r="V24" s="667"/>
      <c r="W24" s="668"/>
      <c r="X24" s="1264"/>
      <c r="Y24" s="3442"/>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2"/>
      <c r="Q25" s="1262">
        <f>B25</f>
        <v>111</v>
      </c>
      <c r="R25" s="667" t="s">
        <v>14</v>
      </c>
      <c r="S25" s="668">
        <f>F25</f>
        <v>100</v>
      </c>
      <c r="T25" s="667" t="s">
        <v>14</v>
      </c>
      <c r="U25" s="668">
        <f>H25</f>
        <v>100</v>
      </c>
      <c r="V25" s="667" t="s">
        <v>14</v>
      </c>
      <c r="W25" s="668">
        <f>J25</f>
        <v>100</v>
      </c>
      <c r="X25" s="1264"/>
      <c r="Y25" s="3442"/>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2"/>
      <c r="Q26" s="1262">
        <f t="shared" ref="Q26:Q40" si="11">B26</f>
        <v>111</v>
      </c>
      <c r="R26" s="667" t="s">
        <v>14</v>
      </c>
      <c r="S26" s="668">
        <f>F26</f>
        <v>100</v>
      </c>
      <c r="T26" s="667" t="s">
        <v>14</v>
      </c>
      <c r="U26" s="668">
        <f>H26</f>
        <v>100</v>
      </c>
      <c r="V26" s="667" t="s">
        <v>14</v>
      </c>
      <c r="W26" s="668">
        <f>J26</f>
        <v>100</v>
      </c>
      <c r="X26" s="1264"/>
      <c r="Y26" s="3442"/>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2"/>
      <c r="Q27" s="530">
        <f t="shared" si="11"/>
        <v>111</v>
      </c>
      <c r="R27" s="664" t="s">
        <v>14</v>
      </c>
      <c r="S27" s="665">
        <f>F27</f>
        <v>100</v>
      </c>
      <c r="T27" s="664" t="s">
        <v>14</v>
      </c>
      <c r="U27" s="665">
        <f>H27</f>
        <v>100</v>
      </c>
      <c r="V27" s="664" t="s">
        <v>14</v>
      </c>
      <c r="W27" s="665">
        <f>J27</f>
        <v>100</v>
      </c>
      <c r="X27" s="666"/>
      <c r="Y27" s="3442"/>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2"/>
      <c r="Q28" s="1262">
        <f t="shared" si="11"/>
        <v>111</v>
      </c>
      <c r="R28" s="667" t="s">
        <v>14</v>
      </c>
      <c r="S28" s="668">
        <f t="shared" ref="S28:S40" si="12">F28</f>
        <v>100</v>
      </c>
      <c r="T28" s="667" t="s">
        <v>14</v>
      </c>
      <c r="U28" s="668">
        <f t="shared" ref="U28:U40" si="13">H28</f>
        <v>100</v>
      </c>
      <c r="V28" s="667" t="s">
        <v>14</v>
      </c>
      <c r="W28" s="668">
        <f t="shared" ref="W28:W40" si="14">J28</f>
        <v>100</v>
      </c>
      <c r="X28" s="1264"/>
      <c r="Y28" s="3442"/>
      <c r="Z28" s="1263">
        <f t="shared" ref="Z28:Z40" si="15">Q28</f>
        <v>111</v>
      </c>
      <c r="AA28" s="1263">
        <f t="shared" si="3"/>
        <v>1</v>
      </c>
      <c r="AB28" s="1263">
        <f t="shared" si="4"/>
        <v>1</v>
      </c>
      <c r="AC28" s="1263">
        <f t="shared" si="5"/>
        <v>1</v>
      </c>
    </row>
    <row r="29" spans="1:29" ht="28.5">
      <c r="A29" s="404" t="s">
        <v>1689</v>
      </c>
      <c r="B29" s="60" t="s">
        <v>1812</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3" t="s">
        <v>1691</v>
      </c>
      <c r="Q29" s="1262" t="str">
        <f t="shared" si="11"/>
        <v>建筑类型</v>
      </c>
      <c r="R29" s="667" t="s">
        <v>14</v>
      </c>
      <c r="S29" s="668">
        <f t="shared" si="12"/>
        <v>100</v>
      </c>
      <c r="T29" s="667" t="s">
        <v>14</v>
      </c>
      <c r="U29" s="668">
        <f t="shared" si="13"/>
        <v>100</v>
      </c>
      <c r="V29" s="667" t="s">
        <v>14</v>
      </c>
      <c r="W29" s="668">
        <f t="shared" si="14"/>
        <v>100</v>
      </c>
      <c r="X29" s="1264"/>
      <c r="Y29" s="3444" t="s">
        <v>1691</v>
      </c>
      <c r="Z29" s="1263" t="str">
        <f t="shared" si="15"/>
        <v>建筑类型</v>
      </c>
      <c r="AA29" s="1263">
        <f t="shared" si="3"/>
        <v>1</v>
      </c>
      <c r="AB29" s="1263">
        <f t="shared" si="4"/>
        <v>1</v>
      </c>
      <c r="AC29" s="1263">
        <f t="shared" si="5"/>
        <v>1</v>
      </c>
    </row>
    <row r="30" spans="1:29" s="408" customFormat="1" ht="15">
      <c r="A30" s="406"/>
      <c r="B30" s="364" t="s">
        <v>1692</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4"/>
      <c r="Q30" s="531" t="str">
        <f t="shared" si="11"/>
        <v>项目建筑规模</v>
      </c>
      <c r="R30" s="669" t="s">
        <v>14</v>
      </c>
      <c r="S30" s="670" t="e">
        <f t="shared" si="12"/>
        <v>#N/A</v>
      </c>
      <c r="T30" s="669" t="s">
        <v>14</v>
      </c>
      <c r="U30" s="670" t="e">
        <f t="shared" si="13"/>
        <v>#N/A</v>
      </c>
      <c r="V30" s="669" t="s">
        <v>14</v>
      </c>
      <c r="W30" s="670" t="e">
        <f t="shared" si="14"/>
        <v>#N/A</v>
      </c>
      <c r="X30" s="671"/>
      <c r="Y30" s="3444"/>
      <c r="Z30" s="672" t="str">
        <f t="shared" si="15"/>
        <v>项目建筑规模</v>
      </c>
      <c r="AA30" s="1263" t="e">
        <f t="shared" si="3"/>
        <v>#N/A</v>
      </c>
      <c r="AB30" s="1263" t="e">
        <f t="shared" si="4"/>
        <v>#N/A</v>
      </c>
      <c r="AC30" s="1263" t="e">
        <f t="shared" si="5"/>
        <v>#N/A</v>
      </c>
    </row>
    <row r="31" spans="1:29" ht="15">
      <c r="A31" s="409"/>
      <c r="B31" s="364" t="s">
        <v>1693</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4"/>
      <c r="Q31" s="1262" t="str">
        <f t="shared" si="11"/>
        <v>建筑结构</v>
      </c>
      <c r="R31" s="667" t="s">
        <v>14</v>
      </c>
      <c r="S31" s="668">
        <f t="shared" si="12"/>
        <v>100</v>
      </c>
      <c r="T31" s="667" t="s">
        <v>14</v>
      </c>
      <c r="U31" s="668">
        <f t="shared" si="13"/>
        <v>100</v>
      </c>
      <c r="V31" s="667" t="s">
        <v>14</v>
      </c>
      <c r="W31" s="668">
        <f t="shared" si="14"/>
        <v>100</v>
      </c>
      <c r="X31" s="1264"/>
      <c r="Y31" s="3444"/>
      <c r="Z31" s="1263" t="str">
        <f t="shared" si="15"/>
        <v>建筑结构</v>
      </c>
      <c r="AA31" s="1263">
        <f t="shared" si="3"/>
        <v>1</v>
      </c>
      <c r="AB31" s="1263">
        <f t="shared" si="4"/>
        <v>1</v>
      </c>
      <c r="AC31" s="1263">
        <f t="shared" si="5"/>
        <v>1</v>
      </c>
    </row>
    <row r="32" spans="1:29" ht="15">
      <c r="A32" s="409"/>
      <c r="B32" s="364" t="s">
        <v>1780</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4"/>
      <c r="Q32" s="1262" t="str">
        <f t="shared" si="11"/>
        <v>公共部分装修</v>
      </c>
      <c r="R32" s="667" t="s">
        <v>14</v>
      </c>
      <c r="S32" s="668">
        <f t="shared" si="12"/>
        <v>100</v>
      </c>
      <c r="T32" s="667" t="s">
        <v>14</v>
      </c>
      <c r="U32" s="668">
        <f t="shared" si="13"/>
        <v>100</v>
      </c>
      <c r="V32" s="667" t="s">
        <v>14</v>
      </c>
      <c r="W32" s="668">
        <f t="shared" si="14"/>
        <v>100</v>
      </c>
      <c r="X32" s="1264"/>
      <c r="Y32" s="3444"/>
      <c r="Z32" s="1263" t="str">
        <f t="shared" si="15"/>
        <v>公共部分装修</v>
      </c>
      <c r="AA32" s="1263">
        <f t="shared" si="3"/>
        <v>1</v>
      </c>
      <c r="AB32" s="1263">
        <f t="shared" si="4"/>
        <v>1</v>
      </c>
      <c r="AC32" s="1263">
        <f t="shared" si="5"/>
        <v>1</v>
      </c>
    </row>
    <row r="33" spans="1:29" ht="15">
      <c r="A33" s="409"/>
      <c r="B33" s="364" t="s">
        <v>1781</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4"/>
      <c r="Q33" s="1262" t="str">
        <f t="shared" si="11"/>
        <v>成新度</v>
      </c>
      <c r="R33" s="667" t="s">
        <v>14</v>
      </c>
      <c r="S33" s="668" t="e">
        <f t="shared" si="12"/>
        <v>#N/A</v>
      </c>
      <c r="T33" s="667" t="s">
        <v>14</v>
      </c>
      <c r="U33" s="668" t="e">
        <f t="shared" si="13"/>
        <v>#N/A</v>
      </c>
      <c r="V33" s="667" t="s">
        <v>14</v>
      </c>
      <c r="W33" s="668" t="e">
        <f t="shared" si="14"/>
        <v>#N/A</v>
      </c>
      <c r="X33" s="1264"/>
      <c r="Y33" s="3444"/>
      <c r="Z33" s="1263" t="str">
        <f t="shared" si="15"/>
        <v>成新度</v>
      </c>
      <c r="AA33" s="1263" t="e">
        <f t="shared" si="3"/>
        <v>#N/A</v>
      </c>
      <c r="AB33" s="1263" t="e">
        <f t="shared" si="4"/>
        <v>#N/A</v>
      </c>
      <c r="AC33" s="1263" t="e">
        <f t="shared" si="5"/>
        <v>#N/A</v>
      </c>
    </row>
    <row r="34" spans="1:29" s="102" customFormat="1" ht="15">
      <c r="A34" s="410"/>
      <c r="B34" s="364" t="s">
        <v>1814</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4"/>
      <c r="Q34" s="530" t="str">
        <f t="shared" si="11"/>
        <v>物业管理</v>
      </c>
      <c r="R34" s="664" t="s">
        <v>14</v>
      </c>
      <c r="S34" s="665">
        <f t="shared" si="12"/>
        <v>100</v>
      </c>
      <c r="T34" s="664" t="s">
        <v>14</v>
      </c>
      <c r="U34" s="665">
        <f t="shared" si="13"/>
        <v>100</v>
      </c>
      <c r="V34" s="664" t="s">
        <v>14</v>
      </c>
      <c r="W34" s="665">
        <f t="shared" si="14"/>
        <v>100</v>
      </c>
      <c r="X34" s="666"/>
      <c r="Y34" s="3444"/>
      <c r="Z34" s="50" t="str">
        <f t="shared" si="15"/>
        <v>物业管理</v>
      </c>
      <c r="AA34" s="50">
        <f t="shared" si="3"/>
        <v>1</v>
      </c>
      <c r="AB34" s="50">
        <f t="shared" si="4"/>
        <v>1</v>
      </c>
      <c r="AC34" s="50">
        <f t="shared" si="5"/>
        <v>1</v>
      </c>
    </row>
    <row r="35" spans="1:29" ht="15">
      <c r="A35" s="409"/>
      <c r="B35" s="364" t="s">
        <v>1782</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4" t="s">
        <v>1691</v>
      </c>
      <c r="Q35" s="1262" t="str">
        <f t="shared" si="11"/>
        <v>市政基础设施</v>
      </c>
      <c r="R35" s="667" t="s">
        <v>14</v>
      </c>
      <c r="S35" s="668">
        <f t="shared" si="12"/>
        <v>100</v>
      </c>
      <c r="T35" s="667" t="s">
        <v>14</v>
      </c>
      <c r="U35" s="668">
        <f t="shared" si="13"/>
        <v>100</v>
      </c>
      <c r="V35" s="667" t="s">
        <v>14</v>
      </c>
      <c r="W35" s="668">
        <f t="shared" si="14"/>
        <v>100</v>
      </c>
      <c r="X35" s="1264"/>
      <c r="Y35" s="3444" t="s">
        <v>1691</v>
      </c>
      <c r="Z35" s="1263" t="str">
        <f t="shared" si="15"/>
        <v>市政基础设施</v>
      </c>
      <c r="AA35" s="1263">
        <f t="shared" si="3"/>
        <v>1</v>
      </c>
      <c r="AB35" s="1263">
        <f t="shared" si="4"/>
        <v>1</v>
      </c>
      <c r="AC35" s="1263">
        <f t="shared" si="5"/>
        <v>1</v>
      </c>
    </row>
    <row r="36" spans="1:29" ht="15">
      <c r="A36" s="409"/>
      <c r="B36" s="364" t="s">
        <v>1787</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4"/>
      <c r="Q36" s="1262" t="str">
        <f t="shared" si="11"/>
        <v>内部装修</v>
      </c>
      <c r="R36" s="667" t="s">
        <v>14</v>
      </c>
      <c r="S36" s="668">
        <f t="shared" si="12"/>
        <v>100</v>
      </c>
      <c r="T36" s="667" t="s">
        <v>14</v>
      </c>
      <c r="U36" s="668">
        <f t="shared" si="13"/>
        <v>100</v>
      </c>
      <c r="V36" s="667" t="s">
        <v>14</v>
      </c>
      <c r="W36" s="668">
        <f t="shared" si="14"/>
        <v>100</v>
      </c>
      <c r="X36" s="1264"/>
      <c r="Y36" s="3444"/>
      <c r="Z36" s="1263" t="str">
        <f t="shared" si="15"/>
        <v>内部装修</v>
      </c>
      <c r="AA36" s="1263">
        <f t="shared" si="3"/>
        <v>1</v>
      </c>
      <c r="AB36" s="1263">
        <f t="shared" si="4"/>
        <v>1</v>
      </c>
      <c r="AC36" s="1263">
        <f t="shared" si="5"/>
        <v>1</v>
      </c>
    </row>
    <row r="37" spans="1:29" ht="15">
      <c r="A37" s="409"/>
      <c r="B37" s="364" t="s">
        <v>1823</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4"/>
      <c r="Q37" s="1262" t="str">
        <f t="shared" si="11"/>
        <v>内部装修状况</v>
      </c>
      <c r="R37" s="667" t="s">
        <v>14</v>
      </c>
      <c r="S37" s="668">
        <f t="shared" si="12"/>
        <v>100</v>
      </c>
      <c r="T37" s="667" t="s">
        <v>14</v>
      </c>
      <c r="U37" s="668">
        <f t="shared" si="13"/>
        <v>100</v>
      </c>
      <c r="V37" s="667" t="s">
        <v>14</v>
      </c>
      <c r="W37" s="668">
        <f t="shared" si="14"/>
        <v>100</v>
      </c>
      <c r="X37" s="1264"/>
      <c r="Y37" s="344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4"/>
      <c r="Q38" s="531">
        <f t="shared" si="11"/>
        <v>111</v>
      </c>
      <c r="R38" s="669" t="s">
        <v>14</v>
      </c>
      <c r="S38" s="670">
        <f t="shared" si="12"/>
        <v>100</v>
      </c>
      <c r="T38" s="669" t="s">
        <v>14</v>
      </c>
      <c r="U38" s="670">
        <f t="shared" si="13"/>
        <v>100</v>
      </c>
      <c r="V38" s="669" t="s">
        <v>14</v>
      </c>
      <c r="W38" s="670">
        <f t="shared" si="14"/>
        <v>100</v>
      </c>
      <c r="X38" s="671"/>
      <c r="Y38" s="344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4"/>
      <c r="Q39" s="1262">
        <f t="shared" si="11"/>
        <v>111</v>
      </c>
      <c r="R39" s="667" t="s">
        <v>14</v>
      </c>
      <c r="S39" s="668">
        <f t="shared" si="12"/>
        <v>100</v>
      </c>
      <c r="T39" s="667" t="s">
        <v>14</v>
      </c>
      <c r="U39" s="668">
        <f t="shared" si="13"/>
        <v>100</v>
      </c>
      <c r="V39" s="667" t="s">
        <v>14</v>
      </c>
      <c r="W39" s="668">
        <f t="shared" si="14"/>
        <v>100</v>
      </c>
      <c r="X39" s="1264"/>
      <c r="Y39" s="344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1"/>
      <c r="Q40" s="1262">
        <f t="shared" si="11"/>
        <v>111</v>
      </c>
      <c r="R40" s="667" t="s">
        <v>14</v>
      </c>
      <c r="S40" s="668">
        <f t="shared" si="12"/>
        <v>100</v>
      </c>
      <c r="T40" s="667" t="s">
        <v>14</v>
      </c>
      <c r="U40" s="668">
        <f t="shared" si="13"/>
        <v>100</v>
      </c>
      <c r="V40" s="667" t="s">
        <v>14</v>
      </c>
      <c r="W40" s="668">
        <f t="shared" si="14"/>
        <v>100</v>
      </c>
      <c r="X40" s="1264"/>
      <c r="Y40" s="3481"/>
      <c r="Z40" s="1263">
        <f t="shared" si="15"/>
        <v>111</v>
      </c>
      <c r="AA40" s="1263">
        <f t="shared" si="3"/>
        <v>1</v>
      </c>
      <c r="AB40" s="1263">
        <f t="shared" si="4"/>
        <v>1</v>
      </c>
      <c r="AC40" s="1263">
        <f t="shared" si="5"/>
        <v>1</v>
      </c>
    </row>
    <row r="41" spans="1:29" ht="15">
      <c r="A41" s="416" t="s">
        <v>1703</v>
      </c>
      <c r="B41" s="417"/>
      <c r="C41" s="1081" t="s">
        <v>0</v>
      </c>
      <c r="D41" s="418"/>
      <c r="E41" s="419"/>
      <c r="F41" s="420"/>
      <c r="G41" s="421"/>
      <c r="H41" s="422"/>
      <c r="I41" s="419"/>
      <c r="J41" s="422"/>
      <c r="K41" s="674"/>
      <c r="L41" s="873"/>
      <c r="M41" s="861"/>
      <c r="N41" s="861"/>
      <c r="O41" s="861"/>
      <c r="P41" s="3426" t="str">
        <f>A41</f>
        <v>成交单价（元/平方米）</v>
      </c>
      <c r="Q41" s="3426"/>
      <c r="R41" s="3439">
        <f>E41</f>
        <v>0</v>
      </c>
      <c r="S41" s="3439"/>
      <c r="T41" s="3439">
        <f>G41</f>
        <v>0</v>
      </c>
      <c r="U41" s="3439"/>
      <c r="V41" s="3439">
        <f>I41</f>
        <v>0</v>
      </c>
      <c r="W41" s="3439"/>
      <c r="X41" s="385"/>
      <c r="Y41" s="673"/>
      <c r="Z41" s="385"/>
      <c r="AA41" s="385"/>
      <c r="AB41" s="385"/>
      <c r="AC41" s="385"/>
    </row>
    <row r="42" spans="1:29" ht="15.75" thickBot="1">
      <c r="A42" s="423" t="s">
        <v>1788</v>
      </c>
      <c r="B42" s="424"/>
      <c r="C42" s="1082" t="e">
        <f>R43</f>
        <v>#DIV/0!</v>
      </c>
      <c r="D42" s="2140" t="s">
        <v>2132</v>
      </c>
      <c r="E42" s="1083" t="e">
        <f>R42</f>
        <v>#DIV/0!</v>
      </c>
      <c r="F42" s="2141"/>
      <c r="G42" s="1082" t="e">
        <f>T42</f>
        <v>#DIV/0!</v>
      </c>
      <c r="H42" s="2141"/>
      <c r="I42" s="1083" t="e">
        <f>V42</f>
        <v>#DIV/0!</v>
      </c>
      <c r="J42" s="2141"/>
      <c r="K42" s="2143">
        <f>F42+H42+J42</f>
        <v>0</v>
      </c>
      <c r="L42" s="873"/>
      <c r="M42" s="861"/>
      <c r="N42" s="861"/>
      <c r="O42" s="861"/>
      <c r="P42" s="3426" t="str">
        <f>A42</f>
        <v>比较价值（元/平方米）</v>
      </c>
      <c r="Q42" s="3426"/>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385"/>
      <c r="Y42" s="385"/>
      <c r="Z42" s="385"/>
      <c r="AA42" s="385"/>
      <c r="AB42" s="385"/>
      <c r="AC42" s="385"/>
    </row>
    <row r="43" spans="1:29" ht="15.75" thickBot="1">
      <c r="A43" s="427" t="s">
        <v>1789</v>
      </c>
      <c r="B43" s="428"/>
      <c r="C43" s="351" t="e">
        <f>R43</f>
        <v>#DIV/0!</v>
      </c>
      <c r="D43" s="351"/>
      <c r="E43" s="351"/>
      <c r="F43" s="351"/>
      <c r="G43" s="351"/>
      <c r="H43" s="351"/>
      <c r="I43" s="351"/>
      <c r="J43" s="351"/>
      <c r="K43" s="675"/>
      <c r="L43" s="873"/>
      <c r="M43" s="861"/>
      <c r="N43" s="861"/>
      <c r="O43" s="861"/>
      <c r="P43" s="3446" t="str">
        <f>A43</f>
        <v>估价对象XX用房的比较价值（楼面单价，元/平方米）</v>
      </c>
      <c r="Q43" s="3447"/>
      <c r="R43" s="3477" t="e">
        <f>IF(F1="售价",ROUND(IF(D42="简单平均",AVERAGE(R42:V42),R42*F42+T42*H42+V42*J42),0),ROUND(IF(D42="简单平均",AVERAGE(R42:V42),R42*F42+T42*H42+V42*J42),1))</f>
        <v>#DIV/0!</v>
      </c>
      <c r="S43" s="3477"/>
      <c r="T43" s="3477"/>
      <c r="U43" s="3477"/>
      <c r="V43" s="3477"/>
      <c r="W43" s="347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1793</v>
      </c>
      <c r="B51" s="385"/>
      <c r="C51" s="659"/>
      <c r="D51" s="659"/>
      <c r="E51" s="659"/>
      <c r="F51" s="660"/>
      <c r="G51" s="660"/>
      <c r="H51" s="659"/>
      <c r="I51" s="659"/>
      <c r="J51" s="659"/>
      <c r="K51" s="887"/>
      <c r="L51" s="888"/>
      <c r="M51" s="886"/>
      <c r="N51" s="886"/>
      <c r="O51" s="886"/>
      <c r="P51" s="438"/>
      <c r="Q51" s="439"/>
    </row>
    <row r="52" spans="1:17" s="442" customFormat="1" ht="15">
      <c r="A52" s="440" t="s">
        <v>1674</v>
      </c>
      <c r="B52" s="441"/>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1711</v>
      </c>
      <c r="B54" s="450"/>
      <c r="C54" s="451"/>
      <c r="D54" s="452"/>
      <c r="E54" s="452"/>
      <c r="F54" s="452"/>
      <c r="G54" s="452"/>
      <c r="H54" s="452"/>
      <c r="I54" s="452"/>
      <c r="J54" s="452"/>
      <c r="K54" s="452"/>
      <c r="L54" s="452"/>
      <c r="M54" s="453"/>
      <c r="N54" s="2538"/>
      <c r="O54" s="2539"/>
      <c r="P54" s="439"/>
      <c r="Q54" s="439"/>
    </row>
    <row r="55" spans="1:17" s="102" customFormat="1" ht="15">
      <c r="A55" s="455" t="s">
        <v>1676</v>
      </c>
      <c r="B55" s="444"/>
      <c r="C55" s="456" t="s">
        <v>1771</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1714</v>
      </c>
      <c r="B57" s="460" t="s">
        <v>1680</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1683</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1684</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1685</v>
      </c>
      <c r="B70" s="460" t="s">
        <v>1824</v>
      </c>
      <c r="C70" s="504" t="s">
        <v>1716</v>
      </c>
      <c r="D70" s="504" t="s">
        <v>1717</v>
      </c>
      <c r="E70" s="504" t="s">
        <v>1718</v>
      </c>
      <c r="F70" s="504" t="s">
        <v>1719</v>
      </c>
      <c r="G70" s="504" t="s">
        <v>1720</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1721</v>
      </c>
      <c r="C72" s="509" t="s">
        <v>1716</v>
      </c>
      <c r="D72" s="509" t="s">
        <v>1717</v>
      </c>
      <c r="E72" s="509" t="s">
        <v>1718</v>
      </c>
      <c r="F72" s="509" t="s">
        <v>1719</v>
      </c>
      <c r="G72" s="509" t="s">
        <v>1720</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1722</v>
      </c>
      <c r="C74" s="509" t="s">
        <v>1716</v>
      </c>
      <c r="D74" s="509" t="s">
        <v>1717</v>
      </c>
      <c r="E74" s="509" t="s">
        <v>1718</v>
      </c>
      <c r="F74" s="509" t="s">
        <v>1719</v>
      </c>
      <c r="G74" s="509" t="s">
        <v>1720</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1808</v>
      </c>
      <c r="C76" s="581" t="s">
        <v>1794</v>
      </c>
      <c r="D76" s="581" t="s">
        <v>1795</v>
      </c>
      <c r="E76" s="581" t="s">
        <v>1796</v>
      </c>
      <c r="F76" s="581" t="s">
        <v>1797</v>
      </c>
      <c r="G76" s="581" t="s">
        <v>1798</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1817</v>
      </c>
      <c r="C78" s="509" t="s">
        <v>1716</v>
      </c>
      <c r="D78" s="509" t="s">
        <v>1717</v>
      </c>
      <c r="E78" s="509" t="s">
        <v>1718</v>
      </c>
      <c r="F78" s="509" t="s">
        <v>1719</v>
      </c>
      <c r="G78" s="509" t="s">
        <v>1720</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1689</v>
      </c>
      <c r="B88" s="460" t="s">
        <v>1731</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1732</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1733</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1735</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1736</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1737</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1739</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1825</v>
      </c>
      <c r="C106" s="509" t="s">
        <v>1716</v>
      </c>
      <c r="D106" s="509" t="s">
        <v>1717</v>
      </c>
      <c r="E106" s="509" t="s">
        <v>1718</v>
      </c>
      <c r="F106" s="509" t="s">
        <v>1719</v>
      </c>
      <c r="G106" s="509" t="s">
        <v>1720</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1826</v>
      </c>
      <c r="B1" s="1139" t="s">
        <v>3328</v>
      </c>
      <c r="C1" s="1140" t="s">
        <v>1657</v>
      </c>
      <c r="D1" s="1141"/>
      <c r="E1" s="3130"/>
      <c r="F1" s="1734"/>
      <c r="G1" s="1143" t="s">
        <v>1762</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1459</v>
      </c>
      <c r="B3" s="536" t="e">
        <f>IF(AND(C2="——",B37="元/平方米"),C39,ROUND(B2*10000/D3,0))</f>
        <v>#DIV/0!</v>
      </c>
      <c r="C3" s="344" t="s">
        <v>1763</v>
      </c>
      <c r="D3" s="343">
        <f>SUMIF('数据-汇总表'!$C19:$C33,D1,'数据-汇总表'!$E19:$E33)</f>
        <v>0</v>
      </c>
      <c r="E3" s="344" t="s">
        <v>1827</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1764</v>
      </c>
      <c r="B4" s="346"/>
      <c r="C4" s="3427" t="s">
        <v>1765</v>
      </c>
      <c r="D4" s="3428"/>
      <c r="E4" s="3429" t="s">
        <v>1766</v>
      </c>
      <c r="F4" s="3430"/>
      <c r="G4" s="3427" t="s">
        <v>1767</v>
      </c>
      <c r="H4" s="3428"/>
      <c r="I4" s="3427" t="s">
        <v>1768</v>
      </c>
      <c r="J4" s="3428"/>
      <c r="K4" s="537" t="s">
        <v>1769</v>
      </c>
      <c r="L4" s="2486"/>
      <c r="M4" s="2487"/>
      <c r="N4" s="2487"/>
      <c r="O4" s="2487"/>
      <c r="P4" s="3431" t="s">
        <v>1770</v>
      </c>
      <c r="Q4" s="3432"/>
      <c r="R4" s="3414" t="s">
        <v>1766</v>
      </c>
      <c r="S4" s="3415"/>
      <c r="T4" s="3414" t="s">
        <v>1767</v>
      </c>
      <c r="U4" s="3415"/>
      <c r="V4" s="3439" t="s">
        <v>1768</v>
      </c>
      <c r="W4" s="3439"/>
      <c r="X4" s="1264"/>
      <c r="Y4" s="3414" t="s">
        <v>1770</v>
      </c>
      <c r="Z4" s="3415"/>
      <c r="AA4" s="3409" t="s">
        <v>1766</v>
      </c>
      <c r="AB4" s="3410" t="s">
        <v>1767</v>
      </c>
      <c r="AC4" s="3409" t="s">
        <v>1768</v>
      </c>
    </row>
    <row r="5" spans="1:29" ht="15">
      <c r="A5" s="348"/>
      <c r="B5" s="349"/>
      <c r="C5" s="3420" t="s">
        <v>1668</v>
      </c>
      <c r="D5" s="3421"/>
      <c r="E5" s="3418" t="s">
        <v>1669</v>
      </c>
      <c r="F5" s="3419"/>
      <c r="G5" s="3420" t="s">
        <v>1670</v>
      </c>
      <c r="H5" s="3421"/>
      <c r="I5" s="3420" t="s">
        <v>1671</v>
      </c>
      <c r="J5" s="3421"/>
      <c r="K5" s="537"/>
      <c r="L5" s="2486"/>
      <c r="M5" s="2487"/>
      <c r="N5" s="2487"/>
      <c r="O5" s="2487"/>
      <c r="P5" s="3433"/>
      <c r="Q5" s="3434"/>
      <c r="R5" s="3416"/>
      <c r="S5" s="3417"/>
      <c r="T5" s="3416"/>
      <c r="U5" s="3417"/>
      <c r="V5" s="3439"/>
      <c r="W5" s="3439"/>
      <c r="X5" s="1264"/>
      <c r="Y5" s="3416"/>
      <c r="Z5" s="3417"/>
      <c r="AA5" s="3410"/>
      <c r="AB5" s="3410"/>
      <c r="AC5" s="3410"/>
    </row>
    <row r="6" spans="1:29" ht="15.75" thickBot="1">
      <c r="A6" s="350"/>
      <c r="B6" s="351"/>
      <c r="C6" s="3422" t="s">
        <v>1672</v>
      </c>
      <c r="D6" s="3423"/>
      <c r="E6" s="3424" t="s">
        <v>1672</v>
      </c>
      <c r="F6" s="3425"/>
      <c r="G6" s="3422" t="s">
        <v>1672</v>
      </c>
      <c r="H6" s="3423"/>
      <c r="I6" s="3422" t="s">
        <v>1672</v>
      </c>
      <c r="J6" s="3423"/>
      <c r="K6" s="537" t="s">
        <v>1673</v>
      </c>
      <c r="L6" s="2486"/>
      <c r="M6" s="2487"/>
      <c r="N6" s="2487"/>
      <c r="O6" s="2487"/>
      <c r="P6" s="3435"/>
      <c r="Q6" s="3436"/>
      <c r="R6" s="3416"/>
      <c r="S6" s="3417"/>
      <c r="T6" s="3437"/>
      <c r="U6" s="3438"/>
      <c r="V6" s="3439"/>
      <c r="W6" s="3439"/>
      <c r="X6" s="1264"/>
      <c r="Y6" s="3437"/>
      <c r="Z6" s="3438"/>
      <c r="AA6" s="3411"/>
      <c r="AB6" s="3411"/>
      <c r="AC6" s="3411"/>
    </row>
    <row r="7" spans="1:29" s="102" customFormat="1" ht="15.75" thickBot="1">
      <c r="A7" s="352" t="s">
        <v>1674</v>
      </c>
      <c r="B7" s="353"/>
      <c r="C7" s="354">
        <f>'数据-取费表'!B2</f>
        <v>45604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2" t="s">
        <v>1675</v>
      </c>
      <c r="Q7" s="3440"/>
      <c r="R7" s="664" t="s">
        <v>14</v>
      </c>
      <c r="S7" s="665">
        <f t="shared" ref="S7:S14" si="0">F7</f>
        <v>0</v>
      </c>
      <c r="T7" s="664" t="s">
        <v>14</v>
      </c>
      <c r="U7" s="665">
        <f t="shared" ref="U7:U14" si="1">H7</f>
        <v>0</v>
      </c>
      <c r="V7" s="664" t="s">
        <v>14</v>
      </c>
      <c r="W7" s="665">
        <f t="shared" ref="W7:W14" si="2">J7</f>
        <v>0</v>
      </c>
      <c r="X7" s="666"/>
      <c r="Y7" s="3412" t="s">
        <v>1675</v>
      </c>
      <c r="Z7" s="3413"/>
      <c r="AA7" s="50" t="e">
        <f>D7/F7</f>
        <v>#DIV/0!</v>
      </c>
      <c r="AB7" s="50" t="e">
        <f>D7/H7</f>
        <v>#DIV/0!</v>
      </c>
      <c r="AC7" s="50" t="e">
        <f>D7/J7</f>
        <v>#DIV/0!</v>
      </c>
    </row>
    <row r="8" spans="1:29" s="102" customFormat="1" ht="15.75" thickBot="1">
      <c r="A8" s="352" t="s">
        <v>1676</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2" t="s">
        <v>1678</v>
      </c>
      <c r="Q8" s="3413"/>
      <c r="R8" s="664" t="s">
        <v>14</v>
      </c>
      <c r="S8" s="665">
        <f t="shared" si="0"/>
        <v>100</v>
      </c>
      <c r="T8" s="664" t="s">
        <v>14</v>
      </c>
      <c r="U8" s="665">
        <f t="shared" si="1"/>
        <v>100</v>
      </c>
      <c r="V8" s="664" t="s">
        <v>14</v>
      </c>
      <c r="W8" s="665">
        <f t="shared" si="2"/>
        <v>100</v>
      </c>
      <c r="X8" s="666"/>
      <c r="Y8" s="3412" t="s">
        <v>1678</v>
      </c>
      <c r="Z8" s="3413"/>
      <c r="AA8" s="50">
        <f t="shared" ref="AA8:AA36" si="3">D8/F8</f>
        <v>1</v>
      </c>
      <c r="AB8" s="50">
        <f t="shared" ref="AB8:AB36" si="4">D8/H8</f>
        <v>1</v>
      </c>
      <c r="AC8" s="50">
        <f t="shared" ref="AC8:AC36" si="5">D8/J8</f>
        <v>1</v>
      </c>
    </row>
    <row r="9" spans="1:29" s="102" customFormat="1">
      <c r="A9" s="57" t="s">
        <v>1679</v>
      </c>
      <c r="B9" s="564" t="s">
        <v>1680</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6" t="s">
        <v>1681</v>
      </c>
      <c r="Q9" s="530" t="str">
        <f t="shared" ref="Q9:Q14" si="6">B9</f>
        <v>用途</v>
      </c>
      <c r="R9" s="664" t="s">
        <v>14</v>
      </c>
      <c r="S9" s="665">
        <f t="shared" si="0"/>
        <v>100</v>
      </c>
      <c r="T9" s="664" t="s">
        <v>14</v>
      </c>
      <c r="U9" s="665">
        <f t="shared" si="1"/>
        <v>100</v>
      </c>
      <c r="V9" s="664" t="s">
        <v>14</v>
      </c>
      <c r="W9" s="665">
        <f t="shared" si="2"/>
        <v>100</v>
      </c>
      <c r="X9" s="666"/>
      <c r="Y9" s="3382" t="s">
        <v>1682</v>
      </c>
      <c r="Z9" s="50" t="str">
        <f t="shared" ref="Z9:Z14" si="7">Q9</f>
        <v>用途</v>
      </c>
      <c r="AA9" s="50">
        <f t="shared" si="3"/>
        <v>1</v>
      </c>
      <c r="AB9" s="50">
        <f t="shared" si="4"/>
        <v>1</v>
      </c>
      <c r="AC9" s="50">
        <f t="shared" si="5"/>
        <v>1</v>
      </c>
    </row>
    <row r="10" spans="1:29" s="366" customFormat="1" ht="27">
      <c r="A10" s="565"/>
      <c r="B10" s="566" t="s">
        <v>1683</v>
      </c>
      <c r="C10" s="3131"/>
      <c r="D10" s="119">
        <v>100</v>
      </c>
      <c r="E10" s="3131"/>
      <c r="F10" s="119">
        <f>SUMIF(55:55,E10,56:56)-SUMIF(55:55,C10,56:56)+100</f>
        <v>100</v>
      </c>
      <c r="G10" s="3132"/>
      <c r="H10" s="119">
        <f>SUMIF(55:55,G10,56:56)-SUMIF(55:55,C10,56:56)+100</f>
        <v>100</v>
      </c>
      <c r="I10" s="3131"/>
      <c r="J10" s="119">
        <f>SUMIF(55:55,I10,56:56)-SUMIF(55:55,C10,56:56)+100</f>
        <v>100</v>
      </c>
      <c r="K10" s="38"/>
      <c r="L10" s="2489"/>
      <c r="M10" s="2490"/>
      <c r="N10" s="2490"/>
      <c r="O10" s="2490"/>
      <c r="P10" s="3426"/>
      <c r="Q10" s="530" t="str">
        <f t="shared" si="6"/>
        <v>土地使用年限（年）</v>
      </c>
      <c r="R10" s="664" t="s">
        <v>14</v>
      </c>
      <c r="S10" s="665">
        <f t="shared" si="0"/>
        <v>100</v>
      </c>
      <c r="T10" s="664" t="s">
        <v>14</v>
      </c>
      <c r="U10" s="665">
        <f t="shared" si="1"/>
        <v>100</v>
      </c>
      <c r="V10" s="664" t="s">
        <v>14</v>
      </c>
      <c r="W10" s="665">
        <f t="shared" si="2"/>
        <v>100</v>
      </c>
      <c r="X10" s="666"/>
      <c r="Y10" s="338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6"/>
      <c r="Q11" s="530">
        <f t="shared" si="6"/>
        <v>111</v>
      </c>
      <c r="R11" s="664" t="s">
        <v>14</v>
      </c>
      <c r="S11" s="665">
        <f t="shared" si="0"/>
        <v>100</v>
      </c>
      <c r="T11" s="664" t="s">
        <v>14</v>
      </c>
      <c r="U11" s="665">
        <f t="shared" si="1"/>
        <v>100</v>
      </c>
      <c r="V11" s="664" t="s">
        <v>14</v>
      </c>
      <c r="W11" s="665">
        <f t="shared" si="2"/>
        <v>100</v>
      </c>
      <c r="X11" s="666"/>
      <c r="Y11" s="338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6"/>
      <c r="Q12" s="530">
        <f t="shared" si="6"/>
        <v>111</v>
      </c>
      <c r="R12" s="664" t="s">
        <v>14</v>
      </c>
      <c r="S12" s="665">
        <f t="shared" si="0"/>
        <v>100</v>
      </c>
      <c r="T12" s="664" t="s">
        <v>14</v>
      </c>
      <c r="U12" s="665">
        <f t="shared" si="1"/>
        <v>100</v>
      </c>
      <c r="V12" s="664" t="s">
        <v>14</v>
      </c>
      <c r="W12" s="665">
        <f t="shared" si="2"/>
        <v>100</v>
      </c>
      <c r="X12" s="666"/>
      <c r="Y12" s="338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6"/>
      <c r="Q13" s="530">
        <f t="shared" si="6"/>
        <v>111</v>
      </c>
      <c r="R13" s="664" t="s">
        <v>14</v>
      </c>
      <c r="S13" s="665">
        <f t="shared" si="0"/>
        <v>100</v>
      </c>
      <c r="T13" s="664" t="s">
        <v>14</v>
      </c>
      <c r="U13" s="665">
        <f t="shared" si="1"/>
        <v>100</v>
      </c>
      <c r="V13" s="664" t="s">
        <v>14</v>
      </c>
      <c r="W13" s="665">
        <f t="shared" si="2"/>
        <v>100</v>
      </c>
      <c r="X13" s="666"/>
      <c r="Y13" s="3382"/>
      <c r="Z13" s="50">
        <f t="shared" si="7"/>
        <v>111</v>
      </c>
      <c r="AA13" s="50">
        <f t="shared" si="3"/>
        <v>1</v>
      </c>
      <c r="AB13" s="50">
        <f t="shared" si="4"/>
        <v>1</v>
      </c>
      <c r="AC13" s="50">
        <f t="shared" si="5"/>
        <v>1</v>
      </c>
    </row>
    <row r="14" spans="1:29" ht="85.5">
      <c r="A14" s="345" t="s">
        <v>1685</v>
      </c>
      <c r="B14" s="554" t="s">
        <v>1828</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41" t="s">
        <v>1686</v>
      </c>
      <c r="Q14" s="1262" t="str">
        <f t="shared" si="6"/>
        <v>交通便捷度</v>
      </c>
      <c r="R14" s="667" t="s">
        <v>14</v>
      </c>
      <c r="S14" s="668">
        <f t="shared" si="0"/>
        <v>100</v>
      </c>
      <c r="T14" s="667" t="s">
        <v>14</v>
      </c>
      <c r="U14" s="668">
        <f t="shared" si="1"/>
        <v>100</v>
      </c>
      <c r="V14" s="667" t="s">
        <v>14</v>
      </c>
      <c r="W14" s="668">
        <f t="shared" si="2"/>
        <v>100</v>
      </c>
      <c r="X14" s="1264"/>
      <c r="Y14" s="3441" t="s">
        <v>1686</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42"/>
      <c r="Q15" s="1262"/>
      <c r="R15" s="667"/>
      <c r="S15" s="668"/>
      <c r="T15" s="667"/>
      <c r="U15" s="668"/>
      <c r="V15" s="667"/>
      <c r="W15" s="668"/>
      <c r="X15" s="1264"/>
      <c r="Y15" s="3442"/>
      <c r="Z15" s="1263"/>
      <c r="AA15" s="1263">
        <v>1</v>
      </c>
      <c r="AB15" s="1263">
        <v>1</v>
      </c>
      <c r="AC15" s="1263">
        <v>1</v>
      </c>
    </row>
    <row r="16" spans="1:29" ht="42.75">
      <c r="A16" s="348"/>
      <c r="B16" s="556" t="s">
        <v>1807</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42"/>
      <c r="Q16" s="1262" t="str">
        <f>B16</f>
        <v>公共配套设施</v>
      </c>
      <c r="R16" s="667" t="s">
        <v>14</v>
      </c>
      <c r="S16" s="668">
        <f>F16</f>
        <v>100</v>
      </c>
      <c r="T16" s="667" t="s">
        <v>14</v>
      </c>
      <c r="U16" s="668">
        <f>H16</f>
        <v>100</v>
      </c>
      <c r="V16" s="667" t="s">
        <v>14</v>
      </c>
      <c r="W16" s="668">
        <f>J16</f>
        <v>100</v>
      </c>
      <c r="X16" s="1264"/>
      <c r="Y16" s="344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42"/>
      <c r="Q17" s="1262"/>
      <c r="R17" s="667"/>
      <c r="S17" s="668"/>
      <c r="T17" s="667"/>
      <c r="U17" s="668"/>
      <c r="V17" s="667"/>
      <c r="W17" s="668"/>
      <c r="X17" s="1264"/>
      <c r="Y17" s="3442"/>
      <c r="Z17" s="1263"/>
      <c r="AA17" s="1263">
        <v>1</v>
      </c>
      <c r="AB17" s="1263">
        <v>1</v>
      </c>
      <c r="AC17" s="1263">
        <v>1</v>
      </c>
    </row>
    <row r="18" spans="1:29" ht="28.5">
      <c r="A18" s="348"/>
      <c r="B18" s="557" t="s">
        <v>1808</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42"/>
      <c r="Q18" s="1262" t="str">
        <f>B18</f>
        <v>基础设施水平</v>
      </c>
      <c r="R18" s="667" t="s">
        <v>14</v>
      </c>
      <c r="S18" s="668">
        <f>F18</f>
        <v>100</v>
      </c>
      <c r="T18" s="667" t="s">
        <v>14</v>
      </c>
      <c r="U18" s="668">
        <f>H18</f>
        <v>100</v>
      </c>
      <c r="V18" s="667" t="s">
        <v>14</v>
      </c>
      <c r="W18" s="668">
        <f>J18</f>
        <v>100</v>
      </c>
      <c r="X18" s="1264"/>
      <c r="Y18" s="3442"/>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442"/>
      <c r="Q19" s="1262"/>
      <c r="R19" s="667"/>
      <c r="S19" s="668"/>
      <c r="T19" s="667"/>
      <c r="U19" s="668"/>
      <c r="V19" s="667"/>
      <c r="W19" s="668"/>
      <c r="X19" s="1264"/>
      <c r="Y19" s="3442"/>
      <c r="Z19" s="1263"/>
      <c r="AA19" s="1263">
        <v>1</v>
      </c>
      <c r="AB19" s="1263">
        <v>1</v>
      </c>
      <c r="AC19" s="1263">
        <v>1</v>
      </c>
    </row>
    <row r="20" spans="1:29" ht="57">
      <c r="A20" s="348"/>
      <c r="B20" s="556" t="s">
        <v>1829</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42"/>
      <c r="Q20" s="1262" t="str">
        <f>B20</f>
        <v>自然及人文环境</v>
      </c>
      <c r="R20" s="667" t="s">
        <v>14</v>
      </c>
      <c r="S20" s="668">
        <f>F20</f>
        <v>100</v>
      </c>
      <c r="T20" s="667" t="s">
        <v>14</v>
      </c>
      <c r="U20" s="668">
        <f>H20</f>
        <v>100</v>
      </c>
      <c r="V20" s="667" t="s">
        <v>14</v>
      </c>
      <c r="W20" s="668">
        <f>J20</f>
        <v>100</v>
      </c>
      <c r="X20" s="1264"/>
      <c r="Y20" s="344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42"/>
      <c r="Q21" s="1262"/>
      <c r="R21" s="667"/>
      <c r="S21" s="668"/>
      <c r="T21" s="667"/>
      <c r="U21" s="668"/>
      <c r="V21" s="667"/>
      <c r="W21" s="668"/>
      <c r="X21" s="1264"/>
      <c r="Y21" s="3442"/>
      <c r="Z21" s="1263"/>
      <c r="AA21" s="1263">
        <v>1</v>
      </c>
      <c r="AB21" s="1263">
        <v>1</v>
      </c>
      <c r="AC21" s="1263">
        <v>1</v>
      </c>
    </row>
    <row r="22" spans="1:29" ht="15">
      <c r="A22" s="348"/>
      <c r="B22" s="556" t="s">
        <v>1830</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42"/>
      <c r="Q22" s="1262" t="str">
        <f>B22</f>
        <v>楼层</v>
      </c>
      <c r="R22" s="667" t="s">
        <v>14</v>
      </c>
      <c r="S22" s="668">
        <f>F22</f>
        <v>100</v>
      </c>
      <c r="T22" s="667" t="s">
        <v>14</v>
      </c>
      <c r="U22" s="668">
        <f>H22</f>
        <v>100</v>
      </c>
      <c r="V22" s="667" t="s">
        <v>14</v>
      </c>
      <c r="W22" s="668">
        <f>J22</f>
        <v>100</v>
      </c>
      <c r="X22" s="1264"/>
      <c r="Y22" s="344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42"/>
      <c r="Q23" s="1262">
        <f>B23</f>
        <v>111</v>
      </c>
      <c r="R23" s="667" t="s">
        <v>14</v>
      </c>
      <c r="S23" s="668">
        <f>F23</f>
        <v>100</v>
      </c>
      <c r="T23" s="667" t="s">
        <v>14</v>
      </c>
      <c r="U23" s="668">
        <f>H23</f>
        <v>100</v>
      </c>
      <c r="V23" s="667" t="s">
        <v>14</v>
      </c>
      <c r="W23" s="668">
        <f>J23</f>
        <v>100</v>
      </c>
      <c r="X23" s="1264"/>
      <c r="Y23" s="344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42"/>
      <c r="Q24" s="1262">
        <f t="shared" ref="Q24:Q36" si="11">B24</f>
        <v>111</v>
      </c>
      <c r="R24" s="667" t="s">
        <v>14</v>
      </c>
      <c r="S24" s="668">
        <f>F24</f>
        <v>100</v>
      </c>
      <c r="T24" s="667" t="s">
        <v>14</v>
      </c>
      <c r="U24" s="668">
        <f>H24</f>
        <v>100</v>
      </c>
      <c r="V24" s="667" t="s">
        <v>14</v>
      </c>
      <c r="W24" s="668">
        <f>J24</f>
        <v>100</v>
      </c>
      <c r="X24" s="1264"/>
      <c r="Y24" s="3442"/>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42"/>
      <c r="Q25" s="530">
        <f t="shared" si="11"/>
        <v>111</v>
      </c>
      <c r="R25" s="664" t="s">
        <v>14</v>
      </c>
      <c r="S25" s="665">
        <f>F25</f>
        <v>100</v>
      </c>
      <c r="T25" s="664" t="s">
        <v>14</v>
      </c>
      <c r="U25" s="665">
        <f>H25</f>
        <v>100</v>
      </c>
      <c r="V25" s="664" t="s">
        <v>14</v>
      </c>
      <c r="W25" s="665">
        <f>J25</f>
        <v>100</v>
      </c>
      <c r="X25" s="666"/>
      <c r="Y25" s="3442"/>
      <c r="Z25" s="50">
        <f>Q25</f>
        <v>111</v>
      </c>
      <c r="AA25" s="1263">
        <f>D25/F25</f>
        <v>1</v>
      </c>
      <c r="AB25" s="1263">
        <f>D25/H25</f>
        <v>1</v>
      </c>
      <c r="AC25" s="1263">
        <f>D25/J25</f>
        <v>1</v>
      </c>
    </row>
    <row r="26" spans="1:29" ht="28.5">
      <c r="A26" s="574" t="s">
        <v>1689</v>
      </c>
      <c r="B26" s="59" t="s">
        <v>1831</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3" t="s">
        <v>1691</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44" t="s">
        <v>1691</v>
      </c>
      <c r="Z26" s="1263" t="str">
        <f t="shared" ref="Z26:Z36" si="15">Q26</f>
        <v>配套类型</v>
      </c>
      <c r="AA26" s="1263" t="e">
        <f t="shared" si="3"/>
        <v>#DIV/0!</v>
      </c>
      <c r="AB26" s="1263" t="e">
        <f t="shared" si="4"/>
        <v>#DIV/0!</v>
      </c>
      <c r="AC26" s="1263" t="e">
        <f t="shared" si="5"/>
        <v>#DIV/0!</v>
      </c>
    </row>
    <row r="27" spans="1:29" s="408" customFormat="1" ht="15">
      <c r="A27" s="575"/>
      <c r="B27" s="119" t="s">
        <v>1832</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44"/>
      <c r="Q27" s="531" t="str">
        <f t="shared" si="11"/>
        <v>项目停车位配比</v>
      </c>
      <c r="R27" s="669" t="s">
        <v>14</v>
      </c>
      <c r="S27" s="670">
        <f t="shared" si="12"/>
        <v>100</v>
      </c>
      <c r="T27" s="669" t="s">
        <v>14</v>
      </c>
      <c r="U27" s="670">
        <f t="shared" si="13"/>
        <v>100</v>
      </c>
      <c r="V27" s="669" t="s">
        <v>14</v>
      </c>
      <c r="W27" s="670">
        <f t="shared" si="14"/>
        <v>100</v>
      </c>
      <c r="X27" s="671"/>
      <c r="Y27" s="3444"/>
      <c r="Z27" s="672" t="str">
        <f t="shared" si="15"/>
        <v>项目停车位配比</v>
      </c>
      <c r="AA27" s="1263">
        <f t="shared" si="3"/>
        <v>1</v>
      </c>
      <c r="AB27" s="1263">
        <f t="shared" si="4"/>
        <v>1</v>
      </c>
      <c r="AC27" s="1263">
        <f t="shared" si="5"/>
        <v>1</v>
      </c>
    </row>
    <row r="28" spans="1:29" ht="15">
      <c r="A28" s="577"/>
      <c r="B28" s="119" t="s">
        <v>1833</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44"/>
      <c r="Q28" s="1262" t="str">
        <f t="shared" si="11"/>
        <v>公共部分装修</v>
      </c>
      <c r="R28" s="667" t="s">
        <v>14</v>
      </c>
      <c r="S28" s="668">
        <f t="shared" si="12"/>
        <v>100</v>
      </c>
      <c r="T28" s="667" t="s">
        <v>14</v>
      </c>
      <c r="U28" s="668">
        <f t="shared" si="13"/>
        <v>100</v>
      </c>
      <c r="V28" s="667" t="s">
        <v>14</v>
      </c>
      <c r="W28" s="668">
        <f t="shared" si="14"/>
        <v>100</v>
      </c>
      <c r="X28" s="1264"/>
      <c r="Y28" s="3444"/>
      <c r="Z28" s="1263" t="str">
        <f t="shared" si="15"/>
        <v>公共部分装修</v>
      </c>
      <c r="AA28" s="1263">
        <f t="shared" si="3"/>
        <v>1</v>
      </c>
      <c r="AB28" s="1263">
        <f t="shared" si="4"/>
        <v>1</v>
      </c>
      <c r="AC28" s="1263">
        <f t="shared" si="5"/>
        <v>1</v>
      </c>
    </row>
    <row r="29" spans="1:29" ht="15">
      <c r="A29" s="577"/>
      <c r="B29" s="119" t="s">
        <v>1834</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44"/>
      <c r="Q29" s="1262" t="str">
        <f t="shared" si="11"/>
        <v>成新率</v>
      </c>
      <c r="R29" s="667" t="s">
        <v>14</v>
      </c>
      <c r="S29" s="668" t="e">
        <f t="shared" si="12"/>
        <v>#N/A</v>
      </c>
      <c r="T29" s="667" t="s">
        <v>14</v>
      </c>
      <c r="U29" s="668" t="e">
        <f t="shared" si="13"/>
        <v>#N/A</v>
      </c>
      <c r="V29" s="667" t="s">
        <v>14</v>
      </c>
      <c r="W29" s="668" t="e">
        <f t="shared" si="14"/>
        <v>#N/A</v>
      </c>
      <c r="X29" s="1264"/>
      <c r="Y29" s="3444"/>
      <c r="Z29" s="1263" t="str">
        <f t="shared" si="15"/>
        <v>成新率</v>
      </c>
      <c r="AA29" s="1263" t="e">
        <f t="shared" si="3"/>
        <v>#N/A</v>
      </c>
      <c r="AB29" s="1263" t="e">
        <f t="shared" si="4"/>
        <v>#N/A</v>
      </c>
      <c r="AC29" s="1263" t="e">
        <f t="shared" si="5"/>
        <v>#N/A</v>
      </c>
    </row>
    <row r="30" spans="1:29" ht="15">
      <c r="A30" s="577"/>
      <c r="B30" s="119" t="s">
        <v>1835</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44"/>
      <c r="Q30" s="1262" t="str">
        <f t="shared" si="11"/>
        <v>物业等级</v>
      </c>
      <c r="R30" s="667" t="s">
        <v>14</v>
      </c>
      <c r="S30" s="668">
        <f t="shared" si="12"/>
        <v>100</v>
      </c>
      <c r="T30" s="667" t="s">
        <v>14</v>
      </c>
      <c r="U30" s="668">
        <f t="shared" si="13"/>
        <v>100</v>
      </c>
      <c r="V30" s="667" t="s">
        <v>14</v>
      </c>
      <c r="W30" s="668">
        <f t="shared" si="14"/>
        <v>100</v>
      </c>
      <c r="X30" s="1264"/>
      <c r="Y30" s="3444"/>
      <c r="Z30" s="1263" t="str">
        <f t="shared" si="15"/>
        <v>物业等级</v>
      </c>
      <c r="AA30" s="1263">
        <f t="shared" si="3"/>
        <v>1</v>
      </c>
      <c r="AB30" s="1263">
        <f t="shared" si="4"/>
        <v>1</v>
      </c>
      <c r="AC30" s="1263">
        <f t="shared" si="5"/>
        <v>1</v>
      </c>
    </row>
    <row r="31" spans="1:29" s="102" customFormat="1" ht="15">
      <c r="A31" s="579"/>
      <c r="B31" s="119" t="s">
        <v>1836</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44"/>
      <c r="Q31" s="530" t="str">
        <f t="shared" si="11"/>
        <v>停车位面积</v>
      </c>
      <c r="R31" s="664" t="s">
        <v>14</v>
      </c>
      <c r="S31" s="665" t="e">
        <f t="shared" si="12"/>
        <v>#N/A</v>
      </c>
      <c r="T31" s="664" t="s">
        <v>14</v>
      </c>
      <c r="U31" s="665" t="e">
        <f t="shared" si="13"/>
        <v>#N/A</v>
      </c>
      <c r="V31" s="664" t="s">
        <v>14</v>
      </c>
      <c r="W31" s="665" t="e">
        <f t="shared" si="14"/>
        <v>#N/A</v>
      </c>
      <c r="X31" s="666"/>
      <c r="Y31" s="3444"/>
      <c r="Z31" s="50" t="str">
        <f t="shared" si="15"/>
        <v>停车位面积</v>
      </c>
      <c r="AA31" s="50" t="e">
        <f t="shared" si="3"/>
        <v>#N/A</v>
      </c>
      <c r="AB31" s="50" t="e">
        <f t="shared" si="4"/>
        <v>#N/A</v>
      </c>
      <c r="AC31" s="50" t="e">
        <f t="shared" si="5"/>
        <v>#N/A</v>
      </c>
    </row>
    <row r="32" spans="1:29" ht="15">
      <c r="A32" s="577"/>
      <c r="B32" s="119" t="s">
        <v>1837</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44" t="s">
        <v>1691</v>
      </c>
      <c r="Q32" s="1262" t="str">
        <f t="shared" si="11"/>
        <v>车位类型</v>
      </c>
      <c r="R32" s="667" t="s">
        <v>14</v>
      </c>
      <c r="S32" s="668">
        <f t="shared" si="12"/>
        <v>100</v>
      </c>
      <c r="T32" s="667" t="s">
        <v>14</v>
      </c>
      <c r="U32" s="668">
        <f t="shared" si="13"/>
        <v>100</v>
      </c>
      <c r="V32" s="667" t="s">
        <v>14</v>
      </c>
      <c r="W32" s="668">
        <f t="shared" si="14"/>
        <v>100</v>
      </c>
      <c r="X32" s="1264"/>
      <c r="Y32" s="3444" t="s">
        <v>1691</v>
      </c>
      <c r="Z32" s="1263" t="str">
        <f t="shared" si="15"/>
        <v>车位类型</v>
      </c>
      <c r="AA32" s="1263">
        <f t="shared" si="3"/>
        <v>1</v>
      </c>
      <c r="AB32" s="1263">
        <f t="shared" si="4"/>
        <v>1</v>
      </c>
      <c r="AC32" s="1263">
        <f t="shared" si="5"/>
        <v>1</v>
      </c>
    </row>
    <row r="33" spans="1:29" ht="15">
      <c r="A33" s="577"/>
      <c r="B33" s="119" t="s">
        <v>1838</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44"/>
      <c r="Q33" s="1262" t="str">
        <f t="shared" si="11"/>
        <v>是否直接入户</v>
      </c>
      <c r="R33" s="667" t="s">
        <v>14</v>
      </c>
      <c r="S33" s="668">
        <f t="shared" si="12"/>
        <v>100</v>
      </c>
      <c r="T33" s="667" t="s">
        <v>14</v>
      </c>
      <c r="U33" s="668">
        <f t="shared" si="13"/>
        <v>100</v>
      </c>
      <c r="V33" s="667" t="s">
        <v>14</v>
      </c>
      <c r="W33" s="668">
        <f t="shared" si="14"/>
        <v>100</v>
      </c>
      <c r="X33" s="1264"/>
      <c r="Y33" s="344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44"/>
      <c r="Q34" s="1262">
        <f t="shared" si="11"/>
        <v>111</v>
      </c>
      <c r="R34" s="667" t="s">
        <v>14</v>
      </c>
      <c r="S34" s="668">
        <f t="shared" si="12"/>
        <v>100</v>
      </c>
      <c r="T34" s="667" t="s">
        <v>14</v>
      </c>
      <c r="U34" s="668">
        <f t="shared" si="13"/>
        <v>100</v>
      </c>
      <c r="V34" s="667" t="s">
        <v>14</v>
      </c>
      <c r="W34" s="668">
        <f t="shared" si="14"/>
        <v>100</v>
      </c>
      <c r="X34" s="1264"/>
      <c r="Y34" s="344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44"/>
      <c r="Q35" s="531">
        <f t="shared" si="11"/>
        <v>111</v>
      </c>
      <c r="R35" s="669" t="s">
        <v>14</v>
      </c>
      <c r="S35" s="670">
        <f t="shared" si="12"/>
        <v>100</v>
      </c>
      <c r="T35" s="669" t="s">
        <v>14</v>
      </c>
      <c r="U35" s="670">
        <f t="shared" si="13"/>
        <v>100</v>
      </c>
      <c r="V35" s="669" t="s">
        <v>14</v>
      </c>
      <c r="W35" s="670">
        <f t="shared" si="14"/>
        <v>100</v>
      </c>
      <c r="X35" s="671"/>
      <c r="Y35" s="3444"/>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44"/>
      <c r="Q36" s="1262">
        <f t="shared" si="11"/>
        <v>111</v>
      </c>
      <c r="R36" s="667" t="s">
        <v>14</v>
      </c>
      <c r="S36" s="668">
        <f t="shared" si="12"/>
        <v>100</v>
      </c>
      <c r="T36" s="667" t="s">
        <v>14</v>
      </c>
      <c r="U36" s="668">
        <f t="shared" si="13"/>
        <v>100</v>
      </c>
      <c r="V36" s="667" t="s">
        <v>14</v>
      </c>
      <c r="W36" s="668">
        <f t="shared" si="14"/>
        <v>100</v>
      </c>
      <c r="X36" s="1264"/>
      <c r="Y36" s="3444"/>
      <c r="Z36" s="1263">
        <f t="shared" si="15"/>
        <v>111</v>
      </c>
      <c r="AA36" s="1263">
        <f t="shared" si="3"/>
        <v>1</v>
      </c>
      <c r="AB36" s="1263">
        <f t="shared" si="4"/>
        <v>1</v>
      </c>
      <c r="AC36" s="1263">
        <f t="shared" si="5"/>
        <v>1</v>
      </c>
    </row>
    <row r="37" spans="1:29" ht="15">
      <c r="A37" s="416" t="s">
        <v>1839</v>
      </c>
      <c r="B37" s="1820" t="s">
        <v>3348</v>
      </c>
      <c r="C37" s="1081" t="s">
        <v>0</v>
      </c>
      <c r="D37" s="418"/>
      <c r="E37" s="419"/>
      <c r="F37" s="420"/>
      <c r="G37" s="421"/>
      <c r="H37" s="422"/>
      <c r="I37" s="419"/>
      <c r="J37" s="422"/>
      <c r="K37" s="545"/>
      <c r="L37" s="2494"/>
      <c r="M37" s="2487"/>
      <c r="N37" s="2487"/>
      <c r="O37" s="2487"/>
      <c r="P37" s="3426" t="str">
        <f>A37</f>
        <v>成交单价</v>
      </c>
      <c r="Q37" s="3426"/>
      <c r="R37" s="3439">
        <f>E37</f>
        <v>0</v>
      </c>
      <c r="S37" s="3439"/>
      <c r="T37" s="3439">
        <f>G37</f>
        <v>0</v>
      </c>
      <c r="U37" s="3439"/>
      <c r="V37" s="3439">
        <f>I37</f>
        <v>0</v>
      </c>
      <c r="W37" s="3439"/>
      <c r="X37" s="385"/>
      <c r="Y37" s="673"/>
      <c r="Z37" s="385"/>
      <c r="AA37" s="385"/>
      <c r="AB37" s="385"/>
      <c r="AC37" s="385"/>
    </row>
    <row r="38" spans="1:29" ht="15.75" thickBot="1">
      <c r="A38" s="423" t="s">
        <v>1840</v>
      </c>
      <c r="B38" s="424" t="str">
        <f>B37</f>
        <v>元/平方米</v>
      </c>
      <c r="C38" s="1082" t="e">
        <f>R39</f>
        <v>#DIV/0!</v>
      </c>
      <c r="D38" s="2140" t="s">
        <v>2132</v>
      </c>
      <c r="E38" s="1083" t="e">
        <f>R38</f>
        <v>#DIV/0!</v>
      </c>
      <c r="F38" s="2141"/>
      <c r="G38" s="1082" t="e">
        <f>T38</f>
        <v>#DIV/0!</v>
      </c>
      <c r="H38" s="2141"/>
      <c r="I38" s="1083" t="e">
        <f>V38</f>
        <v>#DIV/0!</v>
      </c>
      <c r="J38" s="2141"/>
      <c r="K38" s="2143">
        <f>F38+H38+J38</f>
        <v>0</v>
      </c>
      <c r="L38" s="2494"/>
      <c r="M38" s="2487"/>
      <c r="N38" s="2487"/>
      <c r="O38" s="2487"/>
      <c r="P38" s="3426" t="str">
        <f>A38</f>
        <v>比较价值（元/平方米）</v>
      </c>
      <c r="Q38" s="3426"/>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385"/>
      <c r="Y38" s="385"/>
      <c r="Z38" s="385"/>
      <c r="AA38" s="385"/>
      <c r="AB38" s="385"/>
      <c r="AC38" s="385"/>
    </row>
    <row r="39" spans="1:29" ht="15.75" thickBot="1">
      <c r="A39" s="427" t="s">
        <v>1841</v>
      </c>
      <c r="B39" s="428"/>
      <c r="C39" s="351" t="e">
        <f>R39</f>
        <v>#DIV/0!</v>
      </c>
      <c r="D39" s="351"/>
      <c r="E39" s="351"/>
      <c r="F39" s="351"/>
      <c r="G39" s="351"/>
      <c r="H39" s="351"/>
      <c r="I39" s="351"/>
      <c r="J39" s="351"/>
      <c r="K39" s="546"/>
      <c r="L39" s="2494"/>
      <c r="M39" s="2487"/>
      <c r="N39" s="2487"/>
      <c r="O39" s="2487"/>
      <c r="P39" s="3446" t="str">
        <f>A39</f>
        <v>估价对象XX用房的比较价值（楼面单价，元/平方米）</v>
      </c>
      <c r="Q39" s="3447"/>
      <c r="R39" s="3499" t="e">
        <f>IF(F1="售价",ROUND(IF(D38="简单平均",AVERAGE(R38:W38),R38*F38+T38*H38+V38*J38),0),ROUND(IF(D38="简单平均",AVERAGE(R38:V38),R38*F38+T38*H38+V38*J38),1))</f>
        <v>#DIV/0!</v>
      </c>
      <c r="S39" s="3499"/>
      <c r="T39" s="3499"/>
      <c r="U39" s="3499"/>
      <c r="V39" s="3499"/>
      <c r="W39" s="349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1842</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1843</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1844</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1845</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1846</v>
      </c>
      <c r="B48" s="441"/>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1711</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1676</v>
      </c>
      <c r="B51" s="444"/>
      <c r="C51" s="456" t="s">
        <v>1771</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1714</v>
      </c>
      <c r="B53" s="460" t="s">
        <v>1680</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1683</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1685</v>
      </c>
      <c r="B63" s="460" t="s">
        <v>1721</v>
      </c>
      <c r="C63" s="504" t="s">
        <v>1716</v>
      </c>
      <c r="D63" s="504" t="s">
        <v>1717</v>
      </c>
      <c r="E63" s="504" t="s">
        <v>1718</v>
      </c>
      <c r="F63" s="504" t="s">
        <v>1719</v>
      </c>
      <c r="G63" s="504" t="s">
        <v>1720</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1722</v>
      </c>
      <c r="C65" s="509" t="s">
        <v>1716</v>
      </c>
      <c r="D65" s="509" t="s">
        <v>1717</v>
      </c>
      <c r="E65" s="509" t="s">
        <v>1718</v>
      </c>
      <c r="F65" s="509" t="s">
        <v>1719</v>
      </c>
      <c r="G65" s="509" t="s">
        <v>1720</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1808</v>
      </c>
      <c r="C67" s="581" t="s">
        <v>1794</v>
      </c>
      <c r="D67" s="581" t="s">
        <v>1795</v>
      </c>
      <c r="E67" s="581" t="s">
        <v>1796</v>
      </c>
      <c r="F67" s="581" t="s">
        <v>1797</v>
      </c>
      <c r="G67" s="581" t="s">
        <v>1798</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1728</v>
      </c>
      <c r="C69" s="509" t="s">
        <v>1716</v>
      </c>
      <c r="D69" s="509" t="s">
        <v>1717</v>
      </c>
      <c r="E69" s="509" t="s">
        <v>1718</v>
      </c>
      <c r="F69" s="509" t="s">
        <v>1719</v>
      </c>
      <c r="G69" s="509" t="s">
        <v>1720</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1847</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1689</v>
      </c>
      <c r="B79" s="460" t="s">
        <v>1848</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1849</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1735</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1850</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1851</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1852</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1853</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1854</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1826</v>
      </c>
      <c r="B1" s="1139" t="s">
        <v>3329</v>
      </c>
      <c r="C1" s="1140" t="s">
        <v>1657</v>
      </c>
      <c r="D1" s="1141"/>
      <c r="E1" s="3130"/>
      <c r="F1" s="1734"/>
      <c r="G1" s="1151" t="s">
        <v>1762</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1457</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1458</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1459</v>
      </c>
      <c r="B3" s="536" t="e">
        <f>IF(C2="——",C37,ROUND(B2*10000/D3,0))</f>
        <v>#DIV/0!</v>
      </c>
      <c r="C3" s="344" t="s">
        <v>1763</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1764</v>
      </c>
      <c r="B4" s="346"/>
      <c r="C4" s="3427" t="s">
        <v>1765</v>
      </c>
      <c r="D4" s="3428"/>
      <c r="E4" s="3429" t="s">
        <v>1766</v>
      </c>
      <c r="F4" s="3430"/>
      <c r="G4" s="3427" t="s">
        <v>1767</v>
      </c>
      <c r="H4" s="3428"/>
      <c r="I4" s="3427" t="s">
        <v>1768</v>
      </c>
      <c r="J4" s="3428"/>
      <c r="K4" s="537" t="s">
        <v>1769</v>
      </c>
      <c r="L4" s="2486"/>
      <c r="M4" s="2487"/>
      <c r="N4" s="2487"/>
      <c r="O4" s="2487"/>
      <c r="P4" s="3431" t="s">
        <v>1770</v>
      </c>
      <c r="Q4" s="3432"/>
      <c r="R4" s="3414" t="s">
        <v>1766</v>
      </c>
      <c r="S4" s="3415"/>
      <c r="T4" s="3414" t="s">
        <v>1767</v>
      </c>
      <c r="U4" s="3415"/>
      <c r="V4" s="3439" t="s">
        <v>1768</v>
      </c>
      <c r="W4" s="3439"/>
      <c r="X4" s="1264"/>
      <c r="Y4" s="3414" t="s">
        <v>1770</v>
      </c>
      <c r="Z4" s="3415"/>
      <c r="AA4" s="3409" t="s">
        <v>1766</v>
      </c>
      <c r="AB4" s="3410" t="s">
        <v>1767</v>
      </c>
      <c r="AC4" s="3409" t="s">
        <v>1768</v>
      </c>
    </row>
    <row r="5" spans="1:29" ht="15">
      <c r="A5" s="348"/>
      <c r="B5" s="349"/>
      <c r="C5" s="3420" t="s">
        <v>1668</v>
      </c>
      <c r="D5" s="3421"/>
      <c r="E5" s="3418" t="s">
        <v>1669</v>
      </c>
      <c r="F5" s="3419"/>
      <c r="G5" s="3420" t="s">
        <v>1670</v>
      </c>
      <c r="H5" s="3421"/>
      <c r="I5" s="3420" t="s">
        <v>1671</v>
      </c>
      <c r="J5" s="3421"/>
      <c r="K5" s="537"/>
      <c r="L5" s="2486"/>
      <c r="M5" s="2487"/>
      <c r="N5" s="2487"/>
      <c r="O5" s="2487"/>
      <c r="P5" s="3433"/>
      <c r="Q5" s="3434"/>
      <c r="R5" s="3416"/>
      <c r="S5" s="3417"/>
      <c r="T5" s="3416"/>
      <c r="U5" s="3417"/>
      <c r="V5" s="3439"/>
      <c r="W5" s="3439"/>
      <c r="X5" s="1264"/>
      <c r="Y5" s="3416"/>
      <c r="Z5" s="3417"/>
      <c r="AA5" s="3410"/>
      <c r="AB5" s="3410"/>
      <c r="AC5" s="3410"/>
    </row>
    <row r="6" spans="1:29" ht="15.75" thickBot="1">
      <c r="A6" s="350"/>
      <c r="B6" s="351"/>
      <c r="C6" s="3422" t="s">
        <v>1672</v>
      </c>
      <c r="D6" s="3423"/>
      <c r="E6" s="3424" t="s">
        <v>1672</v>
      </c>
      <c r="F6" s="3425"/>
      <c r="G6" s="3422" t="s">
        <v>1672</v>
      </c>
      <c r="H6" s="3423"/>
      <c r="I6" s="3422" t="s">
        <v>1672</v>
      </c>
      <c r="J6" s="3423"/>
      <c r="K6" s="537" t="s">
        <v>1673</v>
      </c>
      <c r="L6" s="2486"/>
      <c r="M6" s="2487"/>
      <c r="N6" s="2487"/>
      <c r="O6" s="2487"/>
      <c r="P6" s="3435"/>
      <c r="Q6" s="3436"/>
      <c r="R6" s="3416"/>
      <c r="S6" s="3417"/>
      <c r="T6" s="3437"/>
      <c r="U6" s="3438"/>
      <c r="V6" s="3439"/>
      <c r="W6" s="3439"/>
      <c r="X6" s="1264"/>
      <c r="Y6" s="3437"/>
      <c r="Z6" s="3438"/>
      <c r="AA6" s="3411"/>
      <c r="AB6" s="3411"/>
      <c r="AC6" s="3411"/>
    </row>
    <row r="7" spans="1:29" s="102" customFormat="1" ht="15.75" thickBot="1">
      <c r="A7" s="352" t="s">
        <v>1674</v>
      </c>
      <c r="B7" s="353"/>
      <c r="C7" s="354">
        <f>'数据-取费表'!B2</f>
        <v>45604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2" t="s">
        <v>1675</v>
      </c>
      <c r="Q7" s="3440"/>
      <c r="R7" s="664" t="s">
        <v>14</v>
      </c>
      <c r="S7" s="665">
        <f t="shared" ref="S7:S14" si="0">F7</f>
        <v>0</v>
      </c>
      <c r="T7" s="664" t="s">
        <v>14</v>
      </c>
      <c r="U7" s="665">
        <f t="shared" ref="U7:U14" si="1">H7</f>
        <v>0</v>
      </c>
      <c r="V7" s="664" t="s">
        <v>14</v>
      </c>
      <c r="W7" s="665">
        <f t="shared" ref="W7:W14" si="2">J7</f>
        <v>0</v>
      </c>
      <c r="X7" s="666"/>
      <c r="Y7" s="3412" t="s">
        <v>1675</v>
      </c>
      <c r="Z7" s="3413"/>
      <c r="AA7" s="50" t="e">
        <f>D7/F7</f>
        <v>#DIV/0!</v>
      </c>
      <c r="AB7" s="50" t="e">
        <f>D7/H7</f>
        <v>#DIV/0!</v>
      </c>
      <c r="AC7" s="50" t="e">
        <f>D7/J7</f>
        <v>#DIV/0!</v>
      </c>
    </row>
    <row r="8" spans="1:29" s="102" customFormat="1" ht="15.75" thickBot="1">
      <c r="A8" s="352" t="s">
        <v>1676</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2" t="s">
        <v>1678</v>
      </c>
      <c r="Q8" s="3413"/>
      <c r="R8" s="664" t="s">
        <v>14</v>
      </c>
      <c r="S8" s="665">
        <f t="shared" si="0"/>
        <v>100</v>
      </c>
      <c r="T8" s="664" t="s">
        <v>14</v>
      </c>
      <c r="U8" s="665">
        <f t="shared" si="1"/>
        <v>100</v>
      </c>
      <c r="V8" s="664" t="s">
        <v>14</v>
      </c>
      <c r="W8" s="665">
        <f t="shared" si="2"/>
        <v>100</v>
      </c>
      <c r="X8" s="666"/>
      <c r="Y8" s="3412" t="s">
        <v>1678</v>
      </c>
      <c r="Z8" s="3413"/>
      <c r="AA8" s="50">
        <f t="shared" ref="AA8:AA34" si="3">D8/F8</f>
        <v>1</v>
      </c>
      <c r="AB8" s="50">
        <f t="shared" ref="AB8:AB34" si="4">D8/H8</f>
        <v>1</v>
      </c>
      <c r="AC8" s="50">
        <f t="shared" ref="AC8:AC34" si="5">D8/J8</f>
        <v>1</v>
      </c>
    </row>
    <row r="9" spans="1:29" s="102" customFormat="1">
      <c r="A9" s="359" t="s">
        <v>1679</v>
      </c>
      <c r="B9" s="60" t="s">
        <v>1680</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6" t="s">
        <v>1681</v>
      </c>
      <c r="Q9" s="530" t="str">
        <f t="shared" ref="Q9:Q14" si="6">B9</f>
        <v>用途</v>
      </c>
      <c r="R9" s="664" t="s">
        <v>14</v>
      </c>
      <c r="S9" s="665">
        <f t="shared" si="0"/>
        <v>100</v>
      </c>
      <c r="T9" s="664" t="s">
        <v>14</v>
      </c>
      <c r="U9" s="665">
        <f t="shared" si="1"/>
        <v>100</v>
      </c>
      <c r="V9" s="664" t="s">
        <v>14</v>
      </c>
      <c r="W9" s="665">
        <f t="shared" si="2"/>
        <v>100</v>
      </c>
      <c r="X9" s="666"/>
      <c r="Y9" s="3382" t="s">
        <v>1682</v>
      </c>
      <c r="Z9" s="50" t="str">
        <f t="shared" ref="Z9:Z14" si="7">Q9</f>
        <v>用途</v>
      </c>
      <c r="AA9" s="50">
        <f t="shared" si="3"/>
        <v>1</v>
      </c>
      <c r="AB9" s="50">
        <f t="shared" si="4"/>
        <v>1</v>
      </c>
      <c r="AC9" s="50">
        <f t="shared" si="5"/>
        <v>1</v>
      </c>
    </row>
    <row r="10" spans="1:29" s="366" customFormat="1" ht="27">
      <c r="A10" s="363"/>
      <c r="B10" s="364" t="s">
        <v>1683</v>
      </c>
      <c r="C10" s="3131"/>
      <c r="D10" s="119">
        <v>100</v>
      </c>
      <c r="E10" s="3131"/>
      <c r="F10" s="364">
        <f>SUMIF(53:53,E10,54:54)-SUMIF(53:53,C10,54:54)+100</f>
        <v>100</v>
      </c>
      <c r="G10" s="3131"/>
      <c r="H10" s="119">
        <f>SUMIF(53:53,G10,54:54)-SUMIF(53:53,C10,54:54)+100</f>
        <v>100</v>
      </c>
      <c r="I10" s="3131"/>
      <c r="J10" s="119">
        <f>SUMIF(53:53,I10,54:54)-SUMIF(53:53,C10,54:54)+100</f>
        <v>100</v>
      </c>
      <c r="K10" s="38"/>
      <c r="L10" s="2489"/>
      <c r="M10" s="2490"/>
      <c r="N10" s="2490"/>
      <c r="O10" s="2541"/>
      <c r="P10" s="3426"/>
      <c r="Q10" s="530" t="str">
        <f t="shared" si="6"/>
        <v>土地使用年限（年）</v>
      </c>
      <c r="R10" s="664" t="s">
        <v>14</v>
      </c>
      <c r="S10" s="665">
        <f t="shared" si="0"/>
        <v>100</v>
      </c>
      <c r="T10" s="664" t="s">
        <v>14</v>
      </c>
      <c r="U10" s="665">
        <f t="shared" si="1"/>
        <v>100</v>
      </c>
      <c r="V10" s="664" t="s">
        <v>14</v>
      </c>
      <c r="W10" s="665">
        <f t="shared" si="2"/>
        <v>100</v>
      </c>
      <c r="X10" s="666"/>
      <c r="Y10" s="338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6"/>
      <c r="Q11" s="530">
        <f t="shared" si="6"/>
        <v>111</v>
      </c>
      <c r="R11" s="664" t="s">
        <v>14</v>
      </c>
      <c r="S11" s="665">
        <f t="shared" si="0"/>
        <v>100</v>
      </c>
      <c r="T11" s="664" t="s">
        <v>14</v>
      </c>
      <c r="U11" s="665">
        <f t="shared" si="1"/>
        <v>100</v>
      </c>
      <c r="V11" s="664" t="s">
        <v>14</v>
      </c>
      <c r="W11" s="665">
        <f t="shared" si="2"/>
        <v>100</v>
      </c>
      <c r="X11" s="666"/>
      <c r="Y11" s="338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6"/>
      <c r="Q12" s="530">
        <f t="shared" si="6"/>
        <v>111</v>
      </c>
      <c r="R12" s="664" t="s">
        <v>14</v>
      </c>
      <c r="S12" s="665">
        <f t="shared" si="0"/>
        <v>100</v>
      </c>
      <c r="T12" s="664" t="s">
        <v>14</v>
      </c>
      <c r="U12" s="665">
        <f t="shared" si="1"/>
        <v>100</v>
      </c>
      <c r="V12" s="664" t="s">
        <v>14</v>
      </c>
      <c r="W12" s="665">
        <f t="shared" si="2"/>
        <v>100</v>
      </c>
      <c r="X12" s="666"/>
      <c r="Y12" s="338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6"/>
      <c r="Q13" s="530">
        <f t="shared" si="6"/>
        <v>111</v>
      </c>
      <c r="R13" s="664" t="s">
        <v>14</v>
      </c>
      <c r="S13" s="665">
        <f t="shared" si="0"/>
        <v>100</v>
      </c>
      <c r="T13" s="664" t="s">
        <v>14</v>
      </c>
      <c r="U13" s="665">
        <f t="shared" si="1"/>
        <v>100</v>
      </c>
      <c r="V13" s="664" t="s">
        <v>14</v>
      </c>
      <c r="W13" s="665">
        <f t="shared" si="2"/>
        <v>100</v>
      </c>
      <c r="X13" s="666"/>
      <c r="Y13" s="3382"/>
      <c r="Z13" s="50">
        <f t="shared" si="7"/>
        <v>111</v>
      </c>
      <c r="AA13" s="50">
        <f t="shared" si="3"/>
        <v>1</v>
      </c>
      <c r="AB13" s="50">
        <f t="shared" si="4"/>
        <v>1</v>
      </c>
      <c r="AC13" s="50">
        <f t="shared" si="5"/>
        <v>1</v>
      </c>
    </row>
    <row r="14" spans="1:29" ht="85.5">
      <c r="A14" s="379" t="s">
        <v>1685</v>
      </c>
      <c r="B14" s="58" t="s">
        <v>1828</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41" t="s">
        <v>1686</v>
      </c>
      <c r="Q14" s="1262" t="str">
        <f t="shared" si="6"/>
        <v>交通便捷度</v>
      </c>
      <c r="R14" s="667" t="s">
        <v>14</v>
      </c>
      <c r="S14" s="668">
        <f t="shared" si="0"/>
        <v>100</v>
      </c>
      <c r="T14" s="667" t="s">
        <v>14</v>
      </c>
      <c r="U14" s="668">
        <f t="shared" si="1"/>
        <v>100</v>
      </c>
      <c r="V14" s="667" t="s">
        <v>14</v>
      </c>
      <c r="W14" s="668">
        <f t="shared" si="2"/>
        <v>100</v>
      </c>
      <c r="X14" s="1264"/>
      <c r="Y14" s="3441" t="s">
        <v>1686</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42"/>
      <c r="Q15" s="1262"/>
      <c r="R15" s="667"/>
      <c r="S15" s="668"/>
      <c r="T15" s="667"/>
      <c r="U15" s="668"/>
      <c r="V15" s="667"/>
      <c r="W15" s="668"/>
      <c r="X15" s="1264"/>
      <c r="Y15" s="3442"/>
      <c r="Z15" s="1263"/>
      <c r="AA15" s="1263">
        <v>1</v>
      </c>
      <c r="AB15" s="1263">
        <v>1</v>
      </c>
      <c r="AC15" s="1263">
        <v>1</v>
      </c>
    </row>
    <row r="16" spans="1:29" ht="42.75">
      <c r="A16" s="367"/>
      <c r="B16" s="390" t="s">
        <v>1807</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42"/>
      <c r="Q16" s="1262" t="str">
        <f>B16</f>
        <v>公共配套设施</v>
      </c>
      <c r="R16" s="667" t="s">
        <v>14</v>
      </c>
      <c r="S16" s="668">
        <f>F16</f>
        <v>100</v>
      </c>
      <c r="T16" s="667" t="s">
        <v>14</v>
      </c>
      <c r="U16" s="668">
        <f>H16</f>
        <v>100</v>
      </c>
      <c r="V16" s="667" t="s">
        <v>14</v>
      </c>
      <c r="W16" s="668">
        <f>J16</f>
        <v>100</v>
      </c>
      <c r="X16" s="1264"/>
      <c r="Y16" s="344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42"/>
      <c r="Q17" s="1262"/>
      <c r="R17" s="667"/>
      <c r="S17" s="668"/>
      <c r="T17" s="667"/>
      <c r="U17" s="668"/>
      <c r="V17" s="667"/>
      <c r="W17" s="668"/>
      <c r="X17" s="1264"/>
      <c r="Y17" s="3442"/>
      <c r="Z17" s="1263"/>
      <c r="AA17" s="1263">
        <v>1</v>
      </c>
      <c r="AB17" s="1263">
        <v>1</v>
      </c>
      <c r="AC17" s="1263">
        <v>1</v>
      </c>
    </row>
    <row r="18" spans="1:29" ht="28.5">
      <c r="A18" s="367"/>
      <c r="B18" s="586" t="s">
        <v>1808</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42"/>
      <c r="Q18" s="1262" t="str">
        <f>B18</f>
        <v>基础设施水平</v>
      </c>
      <c r="R18" s="667" t="s">
        <v>14</v>
      </c>
      <c r="S18" s="668">
        <f>F18</f>
        <v>100</v>
      </c>
      <c r="T18" s="667" t="s">
        <v>14</v>
      </c>
      <c r="U18" s="668">
        <f>H18</f>
        <v>100</v>
      </c>
      <c r="V18" s="667" t="s">
        <v>14</v>
      </c>
      <c r="W18" s="668">
        <f>J18</f>
        <v>100</v>
      </c>
      <c r="X18" s="1264"/>
      <c r="Y18" s="3442"/>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442"/>
      <c r="Q19" s="1262"/>
      <c r="R19" s="667"/>
      <c r="S19" s="668"/>
      <c r="T19" s="667"/>
      <c r="U19" s="668"/>
      <c r="V19" s="667"/>
      <c r="W19" s="668"/>
      <c r="X19" s="1264"/>
      <c r="Y19" s="3442"/>
      <c r="Z19" s="1263"/>
      <c r="AA19" s="1263">
        <v>1</v>
      </c>
      <c r="AB19" s="1263">
        <v>1</v>
      </c>
      <c r="AC19" s="1263">
        <v>1</v>
      </c>
    </row>
    <row r="20" spans="1:29" ht="57">
      <c r="A20" s="367"/>
      <c r="B20" s="390" t="s">
        <v>1829</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42"/>
      <c r="Q20" s="1262" t="str">
        <f>B20</f>
        <v>自然及人文环境</v>
      </c>
      <c r="R20" s="667" t="s">
        <v>14</v>
      </c>
      <c r="S20" s="668">
        <f>F20</f>
        <v>100</v>
      </c>
      <c r="T20" s="667" t="s">
        <v>14</v>
      </c>
      <c r="U20" s="668">
        <f>H20</f>
        <v>100</v>
      </c>
      <c r="V20" s="667" t="s">
        <v>14</v>
      </c>
      <c r="W20" s="668">
        <f>J20</f>
        <v>100</v>
      </c>
      <c r="X20" s="1264"/>
      <c r="Y20" s="344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42"/>
      <c r="Q21" s="1262"/>
      <c r="R21" s="667"/>
      <c r="S21" s="668"/>
      <c r="T21" s="667"/>
      <c r="U21" s="668"/>
      <c r="V21" s="667"/>
      <c r="W21" s="668"/>
      <c r="X21" s="1264"/>
      <c r="Y21" s="3442"/>
      <c r="Z21" s="1263"/>
      <c r="AA21" s="1263">
        <v>1</v>
      </c>
      <c r="AB21" s="1263">
        <v>1</v>
      </c>
      <c r="AC21" s="1263">
        <v>1</v>
      </c>
    </row>
    <row r="22" spans="1:29" ht="15">
      <c r="A22" s="367"/>
      <c r="B22" s="390" t="s">
        <v>1830</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42"/>
      <c r="Q22" s="1262" t="str">
        <f>B22</f>
        <v>楼层</v>
      </c>
      <c r="R22" s="667" t="s">
        <v>14</v>
      </c>
      <c r="S22" s="668">
        <f>F22</f>
        <v>100</v>
      </c>
      <c r="T22" s="667" t="s">
        <v>14</v>
      </c>
      <c r="U22" s="668">
        <f>H22</f>
        <v>100</v>
      </c>
      <c r="V22" s="667" t="s">
        <v>14</v>
      </c>
      <c r="W22" s="668">
        <f>J22</f>
        <v>100</v>
      </c>
      <c r="X22" s="1264"/>
      <c r="Y22" s="344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42"/>
      <c r="Q23" s="1262">
        <f>B23</f>
        <v>111</v>
      </c>
      <c r="R23" s="667" t="s">
        <v>14</v>
      </c>
      <c r="S23" s="668">
        <f>F23</f>
        <v>100</v>
      </c>
      <c r="T23" s="667" t="s">
        <v>14</v>
      </c>
      <c r="U23" s="668">
        <f>H23</f>
        <v>100</v>
      </c>
      <c r="V23" s="667" t="s">
        <v>14</v>
      </c>
      <c r="W23" s="668">
        <f>J23</f>
        <v>100</v>
      </c>
      <c r="X23" s="1264"/>
      <c r="Y23" s="344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42"/>
      <c r="Q24" s="1262">
        <f t="shared" ref="Q24:Q34" si="11">B24</f>
        <v>111</v>
      </c>
      <c r="R24" s="667" t="s">
        <v>14</v>
      </c>
      <c r="S24" s="668">
        <f>F24</f>
        <v>100</v>
      </c>
      <c r="T24" s="667" t="s">
        <v>14</v>
      </c>
      <c r="U24" s="668">
        <f>H24</f>
        <v>100</v>
      </c>
      <c r="V24" s="667" t="s">
        <v>14</v>
      </c>
      <c r="W24" s="668">
        <f>J24</f>
        <v>100</v>
      </c>
      <c r="X24" s="1264"/>
      <c r="Y24" s="3442"/>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42"/>
      <c r="Q25" s="530">
        <f t="shared" si="11"/>
        <v>111</v>
      </c>
      <c r="R25" s="664" t="s">
        <v>14</v>
      </c>
      <c r="S25" s="665">
        <f>F25</f>
        <v>100</v>
      </c>
      <c r="T25" s="664" t="s">
        <v>14</v>
      </c>
      <c r="U25" s="665">
        <f>H25</f>
        <v>100</v>
      </c>
      <c r="V25" s="664" t="s">
        <v>14</v>
      </c>
      <c r="W25" s="665">
        <f>J25</f>
        <v>100</v>
      </c>
      <c r="X25" s="666"/>
      <c r="Y25" s="3442"/>
      <c r="Z25" s="50">
        <f>Q25</f>
        <v>111</v>
      </c>
      <c r="AA25" s="1263">
        <f>D25/F25</f>
        <v>1</v>
      </c>
      <c r="AB25" s="1263">
        <f>D25/H25</f>
        <v>1</v>
      </c>
      <c r="AC25" s="1263">
        <f>D25/J25</f>
        <v>1</v>
      </c>
    </row>
    <row r="26" spans="1:29" ht="28.5">
      <c r="A26" s="404" t="s">
        <v>1689</v>
      </c>
      <c r="B26" s="60" t="s">
        <v>1833</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3" t="s">
        <v>1691</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44" t="s">
        <v>1691</v>
      </c>
      <c r="Z26" s="1263" t="str">
        <f t="shared" ref="Z26:Z34" si="15">Q26</f>
        <v>公共部分装修</v>
      </c>
      <c r="AA26" s="1263">
        <f t="shared" si="3"/>
        <v>1</v>
      </c>
      <c r="AB26" s="1263">
        <f t="shared" si="4"/>
        <v>1</v>
      </c>
      <c r="AC26" s="1263">
        <f t="shared" si="5"/>
        <v>1</v>
      </c>
    </row>
    <row r="27" spans="1:29" s="408" customFormat="1" ht="15">
      <c r="A27" s="406"/>
      <c r="B27" s="364" t="s">
        <v>1834</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44"/>
      <c r="Q27" s="531" t="str">
        <f t="shared" si="11"/>
        <v>成新率</v>
      </c>
      <c r="R27" s="669" t="s">
        <v>14</v>
      </c>
      <c r="S27" s="670" t="e">
        <f t="shared" si="12"/>
        <v>#N/A</v>
      </c>
      <c r="T27" s="669" t="s">
        <v>14</v>
      </c>
      <c r="U27" s="670" t="e">
        <f t="shared" si="13"/>
        <v>#N/A</v>
      </c>
      <c r="V27" s="669" t="s">
        <v>14</v>
      </c>
      <c r="W27" s="670" t="e">
        <f t="shared" si="14"/>
        <v>#N/A</v>
      </c>
      <c r="X27" s="671"/>
      <c r="Y27" s="3444"/>
      <c r="Z27" s="672" t="str">
        <f t="shared" si="15"/>
        <v>成新率</v>
      </c>
      <c r="AA27" s="1263" t="e">
        <f t="shared" si="3"/>
        <v>#N/A</v>
      </c>
      <c r="AB27" s="1263" t="e">
        <f t="shared" si="4"/>
        <v>#N/A</v>
      </c>
      <c r="AC27" s="1263" t="e">
        <f t="shared" si="5"/>
        <v>#N/A</v>
      </c>
    </row>
    <row r="28" spans="1:29" ht="15">
      <c r="A28" s="409"/>
      <c r="B28" s="364" t="s">
        <v>1835</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44"/>
      <c r="Q28" s="1262" t="str">
        <f t="shared" si="11"/>
        <v>物业等级</v>
      </c>
      <c r="R28" s="667" t="s">
        <v>14</v>
      </c>
      <c r="S28" s="668">
        <f t="shared" si="12"/>
        <v>100</v>
      </c>
      <c r="T28" s="667" t="s">
        <v>14</v>
      </c>
      <c r="U28" s="668">
        <f t="shared" si="13"/>
        <v>100</v>
      </c>
      <c r="V28" s="667" t="s">
        <v>14</v>
      </c>
      <c r="W28" s="668">
        <f t="shared" si="14"/>
        <v>100</v>
      </c>
      <c r="X28" s="1264"/>
      <c r="Y28" s="3444"/>
      <c r="Z28" s="1263" t="str">
        <f t="shared" si="15"/>
        <v>物业等级</v>
      </c>
      <c r="AA28" s="1263">
        <f t="shared" si="3"/>
        <v>1</v>
      </c>
      <c r="AB28" s="1263">
        <f t="shared" si="4"/>
        <v>1</v>
      </c>
      <c r="AC28" s="1263">
        <f t="shared" si="5"/>
        <v>1</v>
      </c>
    </row>
    <row r="29" spans="1:29" ht="15">
      <c r="A29" s="409"/>
      <c r="B29" s="364" t="s">
        <v>1855</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44"/>
      <c r="Q29" s="1262" t="str">
        <f t="shared" si="11"/>
        <v>有无电梯</v>
      </c>
      <c r="R29" s="667" t="s">
        <v>14</v>
      </c>
      <c r="S29" s="668">
        <f t="shared" si="12"/>
        <v>100</v>
      </c>
      <c r="T29" s="667" t="s">
        <v>14</v>
      </c>
      <c r="U29" s="668">
        <f t="shared" si="13"/>
        <v>100</v>
      </c>
      <c r="V29" s="667" t="s">
        <v>14</v>
      </c>
      <c r="W29" s="668">
        <f t="shared" si="14"/>
        <v>100</v>
      </c>
      <c r="X29" s="1264"/>
      <c r="Y29" s="3444"/>
      <c r="Z29" s="1263" t="str">
        <f t="shared" si="15"/>
        <v>有无电梯</v>
      </c>
      <c r="AA29" s="1263">
        <f t="shared" si="3"/>
        <v>1</v>
      </c>
      <c r="AB29" s="1263">
        <f t="shared" si="4"/>
        <v>1</v>
      </c>
      <c r="AC29" s="1263">
        <f t="shared" si="5"/>
        <v>1</v>
      </c>
    </row>
    <row r="30" spans="1:29" ht="15">
      <c r="A30" s="409"/>
      <c r="B30" s="364" t="s">
        <v>1856</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44"/>
      <c r="Q30" s="1262" t="str">
        <f t="shared" si="11"/>
        <v>建筑面积</v>
      </c>
      <c r="R30" s="667" t="s">
        <v>14</v>
      </c>
      <c r="S30" s="668" t="e">
        <f t="shared" si="12"/>
        <v>#N/A</v>
      </c>
      <c r="T30" s="667" t="s">
        <v>14</v>
      </c>
      <c r="U30" s="668" t="e">
        <f t="shared" si="13"/>
        <v>#N/A</v>
      </c>
      <c r="V30" s="667" t="s">
        <v>14</v>
      </c>
      <c r="W30" s="668" t="e">
        <f t="shared" si="14"/>
        <v>#N/A</v>
      </c>
      <c r="X30" s="1264"/>
      <c r="Y30" s="3444"/>
      <c r="Z30" s="1263" t="str">
        <f t="shared" si="15"/>
        <v>建筑面积</v>
      </c>
      <c r="AA30" s="1263" t="e">
        <f t="shared" si="3"/>
        <v>#N/A</v>
      </c>
      <c r="AB30" s="1263" t="e">
        <f t="shared" si="4"/>
        <v>#N/A</v>
      </c>
      <c r="AC30" s="1263" t="e">
        <f t="shared" si="5"/>
        <v>#N/A</v>
      </c>
    </row>
    <row r="31" spans="1:29" s="102" customFormat="1" ht="15">
      <c r="A31" s="410"/>
      <c r="B31" s="364" t="s">
        <v>1857</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44"/>
      <c r="Q31" s="530" t="str">
        <f t="shared" si="11"/>
        <v>是否封闭</v>
      </c>
      <c r="R31" s="664" t="s">
        <v>14</v>
      </c>
      <c r="S31" s="665">
        <f t="shared" si="12"/>
        <v>100</v>
      </c>
      <c r="T31" s="664" t="s">
        <v>14</v>
      </c>
      <c r="U31" s="665">
        <f t="shared" si="13"/>
        <v>100</v>
      </c>
      <c r="V31" s="664" t="s">
        <v>14</v>
      </c>
      <c r="W31" s="665">
        <f t="shared" si="14"/>
        <v>100</v>
      </c>
      <c r="X31" s="666"/>
      <c r="Y31" s="344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44" t="s">
        <v>1691</v>
      </c>
      <c r="Q32" s="1262">
        <f t="shared" si="11"/>
        <v>111</v>
      </c>
      <c r="R32" s="667" t="s">
        <v>14</v>
      </c>
      <c r="S32" s="668">
        <f t="shared" si="12"/>
        <v>100</v>
      </c>
      <c r="T32" s="667" t="s">
        <v>14</v>
      </c>
      <c r="U32" s="668">
        <f t="shared" si="13"/>
        <v>100</v>
      </c>
      <c r="V32" s="667" t="s">
        <v>14</v>
      </c>
      <c r="W32" s="668">
        <f t="shared" si="14"/>
        <v>100</v>
      </c>
      <c r="X32" s="1264"/>
      <c r="Y32" s="3444" t="s">
        <v>1691</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44"/>
      <c r="Q33" s="1262">
        <f t="shared" si="11"/>
        <v>111</v>
      </c>
      <c r="R33" s="667" t="s">
        <v>14</v>
      </c>
      <c r="S33" s="668">
        <f t="shared" si="12"/>
        <v>100</v>
      </c>
      <c r="T33" s="667" t="s">
        <v>14</v>
      </c>
      <c r="U33" s="668">
        <f t="shared" si="13"/>
        <v>100</v>
      </c>
      <c r="V33" s="667" t="s">
        <v>14</v>
      </c>
      <c r="W33" s="668">
        <f t="shared" si="14"/>
        <v>100</v>
      </c>
      <c r="X33" s="1264"/>
      <c r="Y33" s="344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44"/>
      <c r="Q34" s="1262">
        <f t="shared" si="11"/>
        <v>111</v>
      </c>
      <c r="R34" s="667" t="s">
        <v>14</v>
      </c>
      <c r="S34" s="668">
        <f t="shared" si="12"/>
        <v>100</v>
      </c>
      <c r="T34" s="667" t="s">
        <v>14</v>
      </c>
      <c r="U34" s="668">
        <f t="shared" si="13"/>
        <v>100</v>
      </c>
      <c r="V34" s="667" t="s">
        <v>14</v>
      </c>
      <c r="W34" s="668">
        <f t="shared" si="14"/>
        <v>100</v>
      </c>
      <c r="X34" s="1264"/>
      <c r="Y34" s="3444"/>
      <c r="Z34" s="1263">
        <f t="shared" si="15"/>
        <v>111</v>
      </c>
      <c r="AA34" s="1263">
        <f t="shared" si="3"/>
        <v>1</v>
      </c>
      <c r="AB34" s="1263">
        <f t="shared" si="4"/>
        <v>1</v>
      </c>
      <c r="AC34" s="1263">
        <f t="shared" si="5"/>
        <v>1</v>
      </c>
    </row>
    <row r="35" spans="1:30" ht="15">
      <c r="A35" s="416" t="s">
        <v>1703</v>
      </c>
      <c r="B35" s="417"/>
      <c r="C35" s="1081" t="s">
        <v>0</v>
      </c>
      <c r="D35" s="418"/>
      <c r="E35" s="419"/>
      <c r="F35" s="420"/>
      <c r="G35" s="421"/>
      <c r="H35" s="422"/>
      <c r="I35" s="419"/>
      <c r="J35" s="422"/>
      <c r="K35" s="674"/>
      <c r="L35" s="2494"/>
      <c r="M35" s="2487"/>
      <c r="N35" s="2487"/>
      <c r="O35" s="2487"/>
      <c r="P35" s="3426" t="str">
        <f>A35</f>
        <v>成交单价（元/平方米）</v>
      </c>
      <c r="Q35" s="3426"/>
      <c r="R35" s="3439">
        <f>E35</f>
        <v>0</v>
      </c>
      <c r="S35" s="3439"/>
      <c r="T35" s="3439">
        <f>G35</f>
        <v>0</v>
      </c>
      <c r="U35" s="3439"/>
      <c r="V35" s="3439">
        <f>I35</f>
        <v>0</v>
      </c>
      <c r="W35" s="3439"/>
      <c r="X35" s="385"/>
      <c r="Y35" s="673"/>
      <c r="Z35" s="385"/>
      <c r="AA35" s="385"/>
      <c r="AB35" s="385"/>
      <c r="AC35" s="385"/>
    </row>
    <row r="36" spans="1:30" ht="15.75" thickBot="1">
      <c r="A36" s="423" t="s">
        <v>1788</v>
      </c>
      <c r="B36" s="424"/>
      <c r="C36" s="1082" t="e">
        <f>R37</f>
        <v>#DIV/0!</v>
      </c>
      <c r="D36" s="2140" t="s">
        <v>2132</v>
      </c>
      <c r="E36" s="1083" t="e">
        <f>R36</f>
        <v>#DIV/0!</v>
      </c>
      <c r="F36" s="2141"/>
      <c r="G36" s="1082" t="e">
        <f>T36</f>
        <v>#DIV/0!</v>
      </c>
      <c r="H36" s="2141"/>
      <c r="I36" s="1083" t="e">
        <f>V36</f>
        <v>#DIV/0!</v>
      </c>
      <c r="J36" s="2141"/>
      <c r="K36" s="2143">
        <f>F36+H36+J36</f>
        <v>0</v>
      </c>
      <c r="L36" s="2494"/>
      <c r="M36" s="2487"/>
      <c r="N36" s="2487"/>
      <c r="O36" s="2487"/>
      <c r="P36" s="3426" t="str">
        <f>A36</f>
        <v>比较价值（元/平方米）</v>
      </c>
      <c r="Q36" s="3426"/>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385"/>
      <c r="Y36" s="385"/>
      <c r="Z36" s="385"/>
      <c r="AA36" s="385"/>
      <c r="AB36" s="385"/>
      <c r="AC36" s="385"/>
    </row>
    <row r="37" spans="1:30" ht="15.75" thickBot="1">
      <c r="A37" s="427" t="s">
        <v>1789</v>
      </c>
      <c r="B37" s="428"/>
      <c r="C37" s="351" t="e">
        <f>R37</f>
        <v>#DIV/0!</v>
      </c>
      <c r="D37" s="351"/>
      <c r="E37" s="351"/>
      <c r="F37" s="351"/>
      <c r="G37" s="351"/>
      <c r="H37" s="351"/>
      <c r="I37" s="351"/>
      <c r="J37" s="351"/>
      <c r="K37" s="675"/>
      <c r="L37" s="2494"/>
      <c r="M37" s="2487"/>
      <c r="N37" s="2487"/>
      <c r="O37" s="2487"/>
      <c r="P37" s="3446" t="str">
        <f>A37</f>
        <v>估价对象XX用房的比较价值（楼面单价，元/平方米）</v>
      </c>
      <c r="Q37" s="3447"/>
      <c r="R37" s="3499" t="e">
        <f>IF(F1="售价",ROUND(IF(D36="简单平均",AVERAGE(R36:W36),R36*F36+T36*H36+V36*J36),0),ROUND(IF(D36="简单平均",AVERAGE(R36:V36),R36*F36+T36*H36+V36*J36),1))</f>
        <v>#DIV/0!</v>
      </c>
      <c r="S37" s="3499"/>
      <c r="T37" s="3499"/>
      <c r="U37" s="3499"/>
      <c r="V37" s="3499"/>
      <c r="W37" s="349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1790</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1791</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1792</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1793</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1674</v>
      </c>
      <c r="B46" s="441"/>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1711</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1676</v>
      </c>
      <c r="B49" s="444"/>
      <c r="C49" s="456" t="s">
        <v>1771</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1714</v>
      </c>
      <c r="B51" s="460" t="s">
        <v>1680</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1683</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1685</v>
      </c>
      <c r="B61" s="460" t="s">
        <v>1721</v>
      </c>
      <c r="C61" s="504" t="s">
        <v>1716</v>
      </c>
      <c r="D61" s="504" t="s">
        <v>1717</v>
      </c>
      <c r="E61" s="504" t="s">
        <v>1718</v>
      </c>
      <c r="F61" s="504" t="s">
        <v>1719</v>
      </c>
      <c r="G61" s="504" t="s">
        <v>1720</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1858</v>
      </c>
      <c r="C63" s="509" t="s">
        <v>1716</v>
      </c>
      <c r="D63" s="509" t="s">
        <v>1717</v>
      </c>
      <c r="E63" s="509" t="s">
        <v>1718</v>
      </c>
      <c r="F63" s="509" t="s">
        <v>1719</v>
      </c>
      <c r="G63" s="509" t="s">
        <v>1720</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1808</v>
      </c>
      <c r="C65" s="581" t="s">
        <v>1794</v>
      </c>
      <c r="D65" s="581" t="s">
        <v>1795</v>
      </c>
      <c r="E65" s="581" t="s">
        <v>1796</v>
      </c>
      <c r="F65" s="581" t="s">
        <v>1797</v>
      </c>
      <c r="G65" s="581" t="s">
        <v>1798</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1728</v>
      </c>
      <c r="C67" s="509" t="s">
        <v>1716</v>
      </c>
      <c r="D67" s="509" t="s">
        <v>1717</v>
      </c>
      <c r="E67" s="509" t="s">
        <v>1718</v>
      </c>
      <c r="F67" s="509" t="s">
        <v>1719</v>
      </c>
      <c r="G67" s="509" t="s">
        <v>1720</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1847</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1689</v>
      </c>
      <c r="B77" s="460" t="s">
        <v>1735</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1850</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1851</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1859</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1860</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1861</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1862</v>
      </c>
      <c r="B1" s="340"/>
      <c r="C1" s="341" t="s">
        <v>1912</v>
      </c>
      <c r="D1" s="651"/>
      <c r="E1" s="651"/>
      <c r="F1" s="650" t="s">
        <v>1762</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1457</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1459</v>
      </c>
      <c r="B3" s="536" t="e">
        <f>ROUND(IF(D3="",B2*10000/'数据-汇总表'!E3,B2*10000/D3),0)</f>
        <v>#DIV/0!</v>
      </c>
      <c r="C3" s="195" t="s">
        <v>1864</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1764</v>
      </c>
      <c r="B4" s="346"/>
      <c r="C4" s="3427" t="s">
        <v>1765</v>
      </c>
      <c r="D4" s="3428"/>
      <c r="E4" s="3429" t="s">
        <v>1766</v>
      </c>
      <c r="F4" s="3430"/>
      <c r="G4" s="3427" t="s">
        <v>1767</v>
      </c>
      <c r="H4" s="3428"/>
      <c r="I4" s="3427" t="s">
        <v>1768</v>
      </c>
      <c r="J4" s="3428"/>
      <c r="K4" s="537" t="s">
        <v>1769</v>
      </c>
      <c r="L4" s="2486"/>
      <c r="M4" s="2487"/>
      <c r="N4" s="2487"/>
      <c r="O4" s="2487"/>
      <c r="P4" s="3431" t="s">
        <v>1770</v>
      </c>
      <c r="Q4" s="3432"/>
      <c r="R4" s="3414" t="s">
        <v>1766</v>
      </c>
      <c r="S4" s="3415"/>
      <c r="T4" s="3414" t="s">
        <v>1767</v>
      </c>
      <c r="U4" s="3415"/>
      <c r="V4" s="3439" t="s">
        <v>1768</v>
      </c>
      <c r="W4" s="3439"/>
      <c r="X4" s="1264"/>
      <c r="Y4" s="3414" t="s">
        <v>1770</v>
      </c>
      <c r="Z4" s="3415"/>
      <c r="AA4" s="3409" t="s">
        <v>1766</v>
      </c>
      <c r="AB4" s="3410" t="s">
        <v>1767</v>
      </c>
      <c r="AC4" s="3409" t="s">
        <v>1768</v>
      </c>
    </row>
    <row r="5" spans="1:29" ht="15">
      <c r="A5" s="348"/>
      <c r="B5" s="349"/>
      <c r="C5" s="3420" t="s">
        <v>1668</v>
      </c>
      <c r="D5" s="3421"/>
      <c r="E5" s="3418" t="s">
        <v>1669</v>
      </c>
      <c r="F5" s="3419"/>
      <c r="G5" s="3420" t="s">
        <v>1670</v>
      </c>
      <c r="H5" s="3421"/>
      <c r="I5" s="3420" t="s">
        <v>1671</v>
      </c>
      <c r="J5" s="3421"/>
      <c r="K5" s="537"/>
      <c r="L5" s="2486"/>
      <c r="M5" s="2487"/>
      <c r="N5" s="2487"/>
      <c r="O5" s="2487"/>
      <c r="P5" s="3433"/>
      <c r="Q5" s="3434"/>
      <c r="R5" s="3416"/>
      <c r="S5" s="3417"/>
      <c r="T5" s="3416"/>
      <c r="U5" s="3417"/>
      <c r="V5" s="3439"/>
      <c r="W5" s="3439"/>
      <c r="X5" s="1264"/>
      <c r="Y5" s="3416"/>
      <c r="Z5" s="3417"/>
      <c r="AA5" s="3410"/>
      <c r="AB5" s="3410"/>
      <c r="AC5" s="3410"/>
    </row>
    <row r="6" spans="1:29" ht="15.75" thickBot="1">
      <c r="A6" s="350"/>
      <c r="B6" s="351"/>
      <c r="C6" s="3500" t="s">
        <v>1913</v>
      </c>
      <c r="D6" s="3501"/>
      <c r="E6" s="3502" t="s">
        <v>1913</v>
      </c>
      <c r="F6" s="3503"/>
      <c r="G6" s="3500" t="s">
        <v>1913</v>
      </c>
      <c r="H6" s="3501"/>
      <c r="I6" s="3500" t="s">
        <v>1913</v>
      </c>
      <c r="J6" s="3501"/>
      <c r="K6" s="537" t="s">
        <v>1673</v>
      </c>
      <c r="L6" s="2486"/>
      <c r="M6" s="2487"/>
      <c r="N6" s="2487"/>
      <c r="O6" s="2487"/>
      <c r="P6" s="3435"/>
      <c r="Q6" s="3436"/>
      <c r="R6" s="3416"/>
      <c r="S6" s="3417"/>
      <c r="T6" s="3437"/>
      <c r="U6" s="3438"/>
      <c r="V6" s="3439"/>
      <c r="W6" s="3439"/>
      <c r="X6" s="1264"/>
      <c r="Y6" s="3437"/>
      <c r="Z6" s="3438"/>
      <c r="AA6" s="3411"/>
      <c r="AB6" s="3411"/>
      <c r="AC6" s="3411"/>
    </row>
    <row r="7" spans="1:29" s="102" customFormat="1" ht="15.75" thickBot="1">
      <c r="A7" s="352" t="s">
        <v>1674</v>
      </c>
      <c r="B7" s="353"/>
      <c r="C7" s="354">
        <f>'数据-取费表'!B2</f>
        <v>45604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2" t="s">
        <v>1675</v>
      </c>
      <c r="Q7" s="3440"/>
      <c r="R7" s="664" t="s">
        <v>14</v>
      </c>
      <c r="S7" s="665">
        <f t="shared" ref="S7:S15" si="0">F7</f>
        <v>0</v>
      </c>
      <c r="T7" s="664" t="s">
        <v>14</v>
      </c>
      <c r="U7" s="665">
        <f t="shared" ref="U7:U15" si="1">H7</f>
        <v>0</v>
      </c>
      <c r="V7" s="664" t="s">
        <v>14</v>
      </c>
      <c r="W7" s="665">
        <f t="shared" ref="W7:W15" si="2">J7</f>
        <v>0</v>
      </c>
      <c r="X7" s="666"/>
      <c r="Y7" s="3412" t="s">
        <v>1675</v>
      </c>
      <c r="Z7" s="3413"/>
      <c r="AA7" s="50" t="e">
        <f>D7/F7</f>
        <v>#DIV/0!</v>
      </c>
      <c r="AB7" s="50" t="e">
        <f>D7/H7</f>
        <v>#DIV/0!</v>
      </c>
      <c r="AC7" s="50" t="e">
        <f>D7/J7</f>
        <v>#DIV/0!</v>
      </c>
    </row>
    <row r="8" spans="1:29" s="102" customFormat="1" ht="15.75" thickBot="1">
      <c r="A8" s="352" t="s">
        <v>1676</v>
      </c>
      <c r="B8" s="353"/>
      <c r="C8" s="358" t="s">
        <v>1677</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2" t="s">
        <v>1678</v>
      </c>
      <c r="Q8" s="3413"/>
      <c r="R8" s="664" t="s">
        <v>14</v>
      </c>
      <c r="S8" s="665">
        <f t="shared" si="0"/>
        <v>0</v>
      </c>
      <c r="T8" s="664" t="s">
        <v>14</v>
      </c>
      <c r="U8" s="665">
        <f t="shared" si="1"/>
        <v>0</v>
      </c>
      <c r="V8" s="664" t="s">
        <v>14</v>
      </c>
      <c r="W8" s="665">
        <f t="shared" si="2"/>
        <v>0</v>
      </c>
      <c r="X8" s="666"/>
      <c r="Y8" s="3412" t="s">
        <v>1678</v>
      </c>
      <c r="Z8" s="3413"/>
      <c r="AA8" s="50" t="e">
        <f t="shared" ref="AA8:AA40" si="3">D8/F8</f>
        <v>#DIV/0!</v>
      </c>
      <c r="AB8" s="50" t="e">
        <f t="shared" ref="AB8:AB40" si="4">D8/H8</f>
        <v>#DIV/0!</v>
      </c>
      <c r="AC8" s="50" t="e">
        <f t="shared" ref="AC8:AC40" si="5">D8/J8</f>
        <v>#DIV/0!</v>
      </c>
    </row>
    <row r="9" spans="1:29" s="102" customFormat="1">
      <c r="A9" s="359" t="s">
        <v>1679</v>
      </c>
      <c r="B9" s="60" t="s">
        <v>1680</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6" t="s">
        <v>1681</v>
      </c>
      <c r="Q9" s="530" t="str">
        <f t="shared" ref="Q9:Q15" si="6">B9</f>
        <v>用途</v>
      </c>
      <c r="R9" s="664" t="s">
        <v>14</v>
      </c>
      <c r="S9" s="665">
        <f t="shared" si="0"/>
        <v>100</v>
      </c>
      <c r="T9" s="664" t="s">
        <v>14</v>
      </c>
      <c r="U9" s="665">
        <f t="shared" si="1"/>
        <v>100</v>
      </c>
      <c r="V9" s="664" t="s">
        <v>14</v>
      </c>
      <c r="W9" s="665">
        <f t="shared" si="2"/>
        <v>100</v>
      </c>
      <c r="X9" s="666"/>
      <c r="Y9" s="3382" t="s">
        <v>1682</v>
      </c>
      <c r="Z9" s="50" t="str">
        <f t="shared" ref="Z9:Z15" si="7">Q9</f>
        <v>用途</v>
      </c>
      <c r="AA9" s="50">
        <f t="shared" si="3"/>
        <v>1</v>
      </c>
      <c r="AB9" s="50">
        <f t="shared" si="4"/>
        <v>1</v>
      </c>
      <c r="AC9" s="50">
        <f t="shared" si="5"/>
        <v>1</v>
      </c>
    </row>
    <row r="10" spans="1:29" s="366" customFormat="1" ht="27">
      <c r="A10" s="363"/>
      <c r="B10" s="364" t="s">
        <v>1683</v>
      </c>
      <c r="C10" s="371"/>
      <c r="D10" s="119">
        <v>100</v>
      </c>
      <c r="E10" s="371"/>
      <c r="F10" s="119">
        <f>ROUND(100/'数据-取费表'!G16,0)</f>
        <v>108</v>
      </c>
      <c r="G10" s="371"/>
      <c r="H10" s="119">
        <f>ROUND(100/'数据-取费表'!G16,0)</f>
        <v>108</v>
      </c>
      <c r="I10" s="371"/>
      <c r="J10" s="119">
        <f>ROUND(100/'数据-取费表'!G16,0)</f>
        <v>108</v>
      </c>
      <c r="K10" s="592"/>
      <c r="L10" s="2489"/>
      <c r="M10" s="2490"/>
      <c r="N10" s="2490"/>
      <c r="O10" s="2541"/>
      <c r="P10" s="3426"/>
      <c r="Q10" s="530" t="str">
        <f t="shared" si="6"/>
        <v>土地使用年限（年）</v>
      </c>
      <c r="R10" s="664" t="s">
        <v>14</v>
      </c>
      <c r="S10" s="665">
        <f t="shared" si="0"/>
        <v>108</v>
      </c>
      <c r="T10" s="664" t="s">
        <v>14</v>
      </c>
      <c r="U10" s="665">
        <f t="shared" si="1"/>
        <v>108</v>
      </c>
      <c r="V10" s="664" t="s">
        <v>14</v>
      </c>
      <c r="W10" s="665">
        <f t="shared" si="2"/>
        <v>108</v>
      </c>
      <c r="X10" s="666"/>
      <c r="Y10" s="3382"/>
      <c r="Z10" s="50" t="str">
        <f t="shared" si="7"/>
        <v>土地使用年限（年）</v>
      </c>
      <c r="AA10" s="50">
        <f t="shared" si="3"/>
        <v>0.92592592592592593</v>
      </c>
      <c r="AB10" s="50">
        <f t="shared" si="4"/>
        <v>0.92592592592592593</v>
      </c>
      <c r="AC10" s="50">
        <f t="shared" si="5"/>
        <v>0.92592592592592593</v>
      </c>
    </row>
    <row r="11" spans="1:29" ht="15">
      <c r="A11" s="367"/>
      <c r="B11" s="364" t="s">
        <v>1684</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6"/>
      <c r="Q11" s="530" t="str">
        <f t="shared" si="6"/>
        <v>容积率</v>
      </c>
      <c r="R11" s="664" t="s">
        <v>14</v>
      </c>
      <c r="S11" s="665" t="e">
        <f t="shared" si="0"/>
        <v>#N/A</v>
      </c>
      <c r="T11" s="664" t="s">
        <v>14</v>
      </c>
      <c r="U11" s="665" t="e">
        <f t="shared" si="1"/>
        <v>#N/A</v>
      </c>
      <c r="V11" s="664" t="s">
        <v>14</v>
      </c>
      <c r="W11" s="665" t="e">
        <f t="shared" si="2"/>
        <v>#N/A</v>
      </c>
      <c r="X11" s="666"/>
      <c r="Y11" s="338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26"/>
      <c r="Q12" s="530">
        <f t="shared" si="6"/>
        <v>111</v>
      </c>
      <c r="R12" s="664" t="s">
        <v>14</v>
      </c>
      <c r="S12" s="665">
        <f t="shared" si="0"/>
        <v>100</v>
      </c>
      <c r="T12" s="664" t="s">
        <v>14</v>
      </c>
      <c r="U12" s="665">
        <f t="shared" si="1"/>
        <v>100</v>
      </c>
      <c r="V12" s="664" t="s">
        <v>14</v>
      </c>
      <c r="W12" s="665">
        <f t="shared" si="2"/>
        <v>100</v>
      </c>
      <c r="X12" s="666"/>
      <c r="Y12" s="338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6"/>
      <c r="Q13" s="530">
        <f t="shared" si="6"/>
        <v>111</v>
      </c>
      <c r="R13" s="664" t="s">
        <v>14</v>
      </c>
      <c r="S13" s="665">
        <f t="shared" si="0"/>
        <v>100</v>
      </c>
      <c r="T13" s="664" t="s">
        <v>14</v>
      </c>
      <c r="U13" s="665">
        <f t="shared" si="1"/>
        <v>100</v>
      </c>
      <c r="V13" s="664" t="s">
        <v>14</v>
      </c>
      <c r="W13" s="665">
        <f t="shared" si="2"/>
        <v>100</v>
      </c>
      <c r="X13" s="666"/>
      <c r="Y13" s="338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6"/>
      <c r="Q14" s="530">
        <f t="shared" si="6"/>
        <v>111</v>
      </c>
      <c r="R14" s="664" t="s">
        <v>14</v>
      </c>
      <c r="S14" s="665">
        <f t="shared" si="0"/>
        <v>100</v>
      </c>
      <c r="T14" s="664" t="s">
        <v>14</v>
      </c>
      <c r="U14" s="665">
        <f t="shared" si="1"/>
        <v>100</v>
      </c>
      <c r="V14" s="664" t="s">
        <v>14</v>
      </c>
      <c r="W14" s="665">
        <f t="shared" si="2"/>
        <v>100</v>
      </c>
      <c r="X14" s="666"/>
      <c r="Y14" s="3382"/>
      <c r="Z14" s="50">
        <f t="shared" si="7"/>
        <v>111</v>
      </c>
      <c r="AA14" s="50">
        <f t="shared" si="3"/>
        <v>1</v>
      </c>
      <c r="AB14" s="50">
        <f t="shared" si="4"/>
        <v>1</v>
      </c>
      <c r="AC14" s="50">
        <f t="shared" si="5"/>
        <v>1</v>
      </c>
    </row>
    <row r="15" spans="1:29" ht="57">
      <c r="A15" s="379" t="s">
        <v>1685</v>
      </c>
      <c r="B15" s="554" t="s">
        <v>1914</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41" t="s">
        <v>1686</v>
      </c>
      <c r="Q15" s="1262" t="str">
        <f t="shared" si="6"/>
        <v>产业集聚程度</v>
      </c>
      <c r="R15" s="667" t="s">
        <v>14</v>
      </c>
      <c r="S15" s="668">
        <f t="shared" si="0"/>
        <v>100</v>
      </c>
      <c r="T15" s="667" t="s">
        <v>14</v>
      </c>
      <c r="U15" s="668">
        <f t="shared" si="1"/>
        <v>100</v>
      </c>
      <c r="V15" s="667" t="s">
        <v>14</v>
      </c>
      <c r="W15" s="668">
        <f t="shared" si="2"/>
        <v>100</v>
      </c>
      <c r="X15" s="1264"/>
      <c r="Y15" s="3441" t="s">
        <v>1686</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42"/>
      <c r="Q16" s="1262"/>
      <c r="R16" s="667"/>
      <c r="S16" s="668"/>
      <c r="T16" s="667"/>
      <c r="U16" s="668"/>
      <c r="V16" s="667"/>
      <c r="W16" s="668"/>
      <c r="X16" s="1264"/>
      <c r="Y16" s="3442"/>
      <c r="Z16" s="1263"/>
      <c r="AA16" s="1263">
        <v>1</v>
      </c>
      <c r="AB16" s="1263">
        <v>1</v>
      </c>
      <c r="AC16" s="1263">
        <v>1</v>
      </c>
    </row>
    <row r="17" spans="1:29" ht="85.5">
      <c r="A17" s="367"/>
      <c r="B17" s="556" t="s">
        <v>1828</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42"/>
      <c r="Q17" s="1262" t="str">
        <f>B17</f>
        <v>交通便捷度</v>
      </c>
      <c r="R17" s="667" t="s">
        <v>14</v>
      </c>
      <c r="S17" s="668">
        <f>F17</f>
        <v>100</v>
      </c>
      <c r="T17" s="667" t="s">
        <v>14</v>
      </c>
      <c r="U17" s="668">
        <f>H17</f>
        <v>100</v>
      </c>
      <c r="V17" s="667" t="s">
        <v>14</v>
      </c>
      <c r="W17" s="668">
        <f>J17</f>
        <v>100</v>
      </c>
      <c r="X17" s="1264"/>
      <c r="Y17" s="344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42"/>
      <c r="Q18" s="1262"/>
      <c r="R18" s="667"/>
      <c r="S18" s="668"/>
      <c r="T18" s="667"/>
      <c r="U18" s="668"/>
      <c r="V18" s="667"/>
      <c r="W18" s="668"/>
      <c r="X18" s="1264"/>
      <c r="Y18" s="3442"/>
      <c r="Z18" s="1263"/>
      <c r="AA18" s="1263">
        <v>1</v>
      </c>
      <c r="AB18" s="1263">
        <v>1</v>
      </c>
      <c r="AC18" s="1263">
        <v>1</v>
      </c>
    </row>
    <row r="19" spans="1:29" ht="15">
      <c r="A19" s="367"/>
      <c r="B19" s="556" t="s">
        <v>1866</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42"/>
      <c r="Q19" s="1262" t="str">
        <f t="shared" ref="Q19:Q33" si="8">B19</f>
        <v>区域土地利用方向</v>
      </c>
      <c r="R19" s="667" t="s">
        <v>14</v>
      </c>
      <c r="S19" s="668">
        <f>F19</f>
        <v>100</v>
      </c>
      <c r="T19" s="667" t="s">
        <v>14</v>
      </c>
      <c r="U19" s="668">
        <f>H19</f>
        <v>100</v>
      </c>
      <c r="V19" s="667" t="s">
        <v>14</v>
      </c>
      <c r="W19" s="668">
        <f>J19</f>
        <v>100</v>
      </c>
      <c r="X19" s="1264"/>
      <c r="Y19" s="344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442"/>
      <c r="Q20" s="1262"/>
      <c r="R20" s="667"/>
      <c r="S20" s="668"/>
      <c r="T20" s="667"/>
      <c r="U20" s="668"/>
      <c r="V20" s="667"/>
      <c r="W20" s="668"/>
      <c r="X20" s="1264"/>
      <c r="Y20" s="3442"/>
      <c r="Z20" s="1263"/>
      <c r="AA20" s="1263"/>
      <c r="AB20" s="1263"/>
      <c r="AC20" s="1263"/>
    </row>
    <row r="21" spans="1:29" ht="71.25">
      <c r="A21" s="348"/>
      <c r="B21" s="556" t="s">
        <v>1915</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42"/>
      <c r="Q21" s="1262" t="str">
        <f t="shared" si="8"/>
        <v>环境状况</v>
      </c>
      <c r="R21" s="667" t="s">
        <v>14</v>
      </c>
      <c r="S21" s="668">
        <f>F21</f>
        <v>100</v>
      </c>
      <c r="T21" s="667" t="s">
        <v>14</v>
      </c>
      <c r="U21" s="668">
        <f>H21</f>
        <v>100</v>
      </c>
      <c r="V21" s="667" t="s">
        <v>14</v>
      </c>
      <c r="W21" s="668">
        <f>J21</f>
        <v>100</v>
      </c>
      <c r="X21" s="1264"/>
      <c r="Y21" s="344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42"/>
      <c r="Q22" s="1262"/>
      <c r="R22" s="667"/>
      <c r="S22" s="668"/>
      <c r="T22" s="667"/>
      <c r="U22" s="668"/>
      <c r="V22" s="667"/>
      <c r="W22" s="668"/>
      <c r="X22" s="1264"/>
      <c r="Y22" s="3442"/>
      <c r="Z22" s="1263"/>
      <c r="AA22" s="1263">
        <v>1</v>
      </c>
      <c r="AB22" s="1263">
        <v>1</v>
      </c>
      <c r="AC22" s="1263">
        <v>1</v>
      </c>
    </row>
    <row r="23" spans="1:29" s="102" customFormat="1" ht="42.75">
      <c r="A23" s="443"/>
      <c r="B23" s="557" t="s">
        <v>1773</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42"/>
      <c r="Q23" s="530" t="str">
        <f t="shared" si="8"/>
        <v>公共配套设施</v>
      </c>
      <c r="R23" s="664" t="s">
        <v>14</v>
      </c>
      <c r="S23" s="665">
        <f>F23</f>
        <v>100</v>
      </c>
      <c r="T23" s="664" t="s">
        <v>14</v>
      </c>
      <c r="U23" s="665">
        <f>H23</f>
        <v>100</v>
      </c>
      <c r="V23" s="664" t="s">
        <v>14</v>
      </c>
      <c r="W23" s="665">
        <f>J23</f>
        <v>100</v>
      </c>
      <c r="X23" s="666"/>
      <c r="Y23" s="344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42"/>
      <c r="Q24" s="530"/>
      <c r="R24" s="664"/>
      <c r="S24" s="665"/>
      <c r="T24" s="664"/>
      <c r="U24" s="665"/>
      <c r="V24" s="664"/>
      <c r="W24" s="665"/>
      <c r="X24" s="666"/>
      <c r="Y24" s="3442"/>
      <c r="Z24" s="50"/>
      <c r="AA24" s="50">
        <v>1</v>
      </c>
      <c r="AB24" s="50">
        <v>1</v>
      </c>
      <c r="AC24" s="50">
        <v>1</v>
      </c>
    </row>
    <row r="25" spans="1:29" s="102" customFormat="1" ht="28.5">
      <c r="A25" s="443"/>
      <c r="B25" s="557" t="s">
        <v>1774</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42"/>
      <c r="Q25" s="530" t="str">
        <f t="shared" ref="Q25" si="9">B25</f>
        <v>基础设施水平</v>
      </c>
      <c r="R25" s="664" t="s">
        <v>14</v>
      </c>
      <c r="S25" s="665">
        <f>F25</f>
        <v>100</v>
      </c>
      <c r="T25" s="664" t="s">
        <v>14</v>
      </c>
      <c r="U25" s="665">
        <f>H25</f>
        <v>100</v>
      </c>
      <c r="V25" s="664" t="s">
        <v>14</v>
      </c>
      <c r="W25" s="665">
        <f>J25</f>
        <v>100</v>
      </c>
      <c r="X25" s="666"/>
      <c r="Y25" s="344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42"/>
      <c r="Q26" s="530"/>
      <c r="R26" s="664"/>
      <c r="S26" s="665"/>
      <c r="T26" s="664"/>
      <c r="U26" s="665"/>
      <c r="V26" s="664"/>
      <c r="W26" s="665"/>
      <c r="X26" s="666"/>
      <c r="Y26" s="3442"/>
      <c r="Z26" s="50"/>
      <c r="AA26" s="50">
        <v>1</v>
      </c>
      <c r="AB26" s="50">
        <v>1</v>
      </c>
      <c r="AC26" s="50">
        <v>1</v>
      </c>
    </row>
    <row r="27" spans="1:29" ht="15">
      <c r="A27" s="367"/>
      <c r="B27" s="401" t="s">
        <v>1775</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42"/>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42"/>
      <c r="Z27" s="1263" t="str">
        <f t="shared" ref="Z27:Z40" si="13">Q27</f>
        <v>临街状况</v>
      </c>
      <c r="AA27" s="1263">
        <f t="shared" si="3"/>
        <v>1</v>
      </c>
      <c r="AB27" s="1263">
        <f t="shared" si="4"/>
        <v>1</v>
      </c>
      <c r="AC27" s="1263">
        <f t="shared" si="5"/>
        <v>1</v>
      </c>
    </row>
    <row r="28" spans="1:29" ht="27">
      <c r="A28" s="367"/>
      <c r="B28" s="557" t="s">
        <v>1810</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42"/>
      <c r="Q28" s="1262" t="str">
        <f t="shared" si="8"/>
        <v>毗邻道路的类型与等级</v>
      </c>
      <c r="R28" s="667" t="s">
        <v>14</v>
      </c>
      <c r="S28" s="668">
        <f t="shared" si="10"/>
        <v>100</v>
      </c>
      <c r="T28" s="667" t="s">
        <v>14</v>
      </c>
      <c r="U28" s="668">
        <f t="shared" si="11"/>
        <v>100</v>
      </c>
      <c r="V28" s="667" t="s">
        <v>14</v>
      </c>
      <c r="W28" s="668">
        <f t="shared" si="12"/>
        <v>100</v>
      </c>
      <c r="X28" s="1264"/>
      <c r="Y28" s="344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42"/>
      <c r="Q29" s="1262"/>
      <c r="R29" s="667"/>
      <c r="S29" s="668"/>
      <c r="T29" s="667"/>
      <c r="U29" s="668"/>
      <c r="V29" s="667"/>
      <c r="W29" s="668"/>
      <c r="X29" s="1264"/>
      <c r="Y29" s="3442"/>
      <c r="Z29" s="1263"/>
      <c r="AA29" s="1263">
        <v>1</v>
      </c>
      <c r="AB29" s="1263">
        <v>1</v>
      </c>
      <c r="AC29" s="1263">
        <v>1</v>
      </c>
    </row>
    <row r="30" spans="1:29" ht="15">
      <c r="A30" s="367"/>
      <c r="B30" s="119" t="s">
        <v>1868</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42"/>
      <c r="Q30" s="1262" t="str">
        <f t="shared" si="8"/>
        <v>土地级别</v>
      </c>
      <c r="R30" s="667" t="s">
        <v>14</v>
      </c>
      <c r="S30" s="668">
        <f t="shared" si="10"/>
        <v>100</v>
      </c>
      <c r="T30" s="667" t="s">
        <v>14</v>
      </c>
      <c r="U30" s="668">
        <f t="shared" si="11"/>
        <v>100</v>
      </c>
      <c r="V30" s="667" t="s">
        <v>14</v>
      </c>
      <c r="W30" s="668">
        <f t="shared" si="12"/>
        <v>100</v>
      </c>
      <c r="X30" s="1264"/>
      <c r="Y30" s="3442"/>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42"/>
      <c r="Q31" s="1262">
        <f t="shared" si="8"/>
        <v>111</v>
      </c>
      <c r="R31" s="667" t="s">
        <v>14</v>
      </c>
      <c r="S31" s="668">
        <f t="shared" si="10"/>
        <v>100</v>
      </c>
      <c r="T31" s="667" t="s">
        <v>14</v>
      </c>
      <c r="U31" s="668">
        <f t="shared" si="11"/>
        <v>100</v>
      </c>
      <c r="V31" s="667" t="s">
        <v>14</v>
      </c>
      <c r="W31" s="668">
        <f t="shared" si="12"/>
        <v>100</v>
      </c>
      <c r="X31" s="1264"/>
      <c r="Y31" s="3442"/>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3" t="s">
        <v>1691</v>
      </c>
      <c r="Q32" s="1262">
        <f t="shared" si="8"/>
        <v>111</v>
      </c>
      <c r="R32" s="667" t="s">
        <v>14</v>
      </c>
      <c r="S32" s="668">
        <f t="shared" si="10"/>
        <v>100</v>
      </c>
      <c r="T32" s="667" t="s">
        <v>14</v>
      </c>
      <c r="U32" s="668">
        <f t="shared" si="11"/>
        <v>100</v>
      </c>
      <c r="V32" s="667" t="s">
        <v>14</v>
      </c>
      <c r="W32" s="668">
        <f t="shared" si="12"/>
        <v>100</v>
      </c>
      <c r="X32" s="1264"/>
      <c r="Y32" s="3444" t="s">
        <v>1691</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44"/>
      <c r="Q33" s="1262">
        <f t="shared" si="8"/>
        <v>111</v>
      </c>
      <c r="R33" s="669" t="s">
        <v>14</v>
      </c>
      <c r="S33" s="670">
        <f t="shared" si="10"/>
        <v>100</v>
      </c>
      <c r="T33" s="669" t="s">
        <v>14</v>
      </c>
      <c r="U33" s="670">
        <f t="shared" si="11"/>
        <v>100</v>
      </c>
      <c r="V33" s="669" t="s">
        <v>14</v>
      </c>
      <c r="W33" s="670">
        <f t="shared" si="12"/>
        <v>100</v>
      </c>
      <c r="X33" s="671"/>
      <c r="Y33" s="3444"/>
      <c r="Z33" s="672">
        <f t="shared" si="13"/>
        <v>111</v>
      </c>
      <c r="AA33" s="1263">
        <f t="shared" si="3"/>
        <v>1</v>
      </c>
      <c r="AB33" s="1263">
        <f t="shared" si="4"/>
        <v>1</v>
      </c>
      <c r="AC33" s="1263">
        <f t="shared" si="5"/>
        <v>1</v>
      </c>
    </row>
    <row r="34" spans="1:31" ht="15">
      <c r="A34" s="379" t="s">
        <v>1689</v>
      </c>
      <c r="B34" s="395" t="s">
        <v>1869</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44"/>
      <c r="Q34" s="1262" t="str">
        <f>B34</f>
        <v>宗地面积</v>
      </c>
      <c r="R34" s="667" t="s">
        <v>14</v>
      </c>
      <c r="S34" s="668" t="e">
        <f t="shared" si="10"/>
        <v>#N/A</v>
      </c>
      <c r="T34" s="667" t="s">
        <v>14</v>
      </c>
      <c r="U34" s="668" t="e">
        <f t="shared" si="11"/>
        <v>#N/A</v>
      </c>
      <c r="V34" s="667" t="s">
        <v>14</v>
      </c>
      <c r="W34" s="668" t="e">
        <f t="shared" si="12"/>
        <v>#N/A</v>
      </c>
      <c r="X34" s="1264"/>
      <c r="Y34" s="3444"/>
      <c r="Z34" s="1263" t="str">
        <f t="shared" si="13"/>
        <v>宗地面积</v>
      </c>
      <c r="AA34" s="1263" t="e">
        <f t="shared" si="3"/>
        <v>#N/A</v>
      </c>
      <c r="AB34" s="1263" t="e">
        <f t="shared" si="4"/>
        <v>#N/A</v>
      </c>
      <c r="AC34" s="1263" t="e">
        <f t="shared" si="5"/>
        <v>#N/A</v>
      </c>
    </row>
    <row r="35" spans="1:31" ht="15">
      <c r="A35" s="409"/>
      <c r="B35" s="364" t="s">
        <v>1870</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44"/>
      <c r="Q35" s="1262" t="str">
        <f t="shared" ref="Q35:Q40" si="14">B35</f>
        <v>宗地形状</v>
      </c>
      <c r="R35" s="667" t="s">
        <v>14</v>
      </c>
      <c r="S35" s="668">
        <f t="shared" si="10"/>
        <v>100</v>
      </c>
      <c r="T35" s="667" t="s">
        <v>14</v>
      </c>
      <c r="U35" s="668">
        <f t="shared" si="11"/>
        <v>100</v>
      </c>
      <c r="V35" s="667" t="s">
        <v>14</v>
      </c>
      <c r="W35" s="668">
        <f t="shared" si="12"/>
        <v>100</v>
      </c>
      <c r="X35" s="1264"/>
      <c r="Y35" s="3444"/>
      <c r="Z35" s="1263" t="str">
        <f t="shared" si="13"/>
        <v>宗地形状</v>
      </c>
      <c r="AA35" s="1263">
        <f t="shared" si="3"/>
        <v>1</v>
      </c>
      <c r="AB35" s="1263">
        <f t="shared" si="4"/>
        <v>1</v>
      </c>
      <c r="AC35" s="1263">
        <f t="shared" si="5"/>
        <v>1</v>
      </c>
    </row>
    <row r="36" spans="1:31" s="102" customFormat="1" ht="15">
      <c r="A36" s="410"/>
      <c r="B36" s="364" t="s">
        <v>1872</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44"/>
      <c r="Q36" s="1262" t="str">
        <f t="shared" si="14"/>
        <v>宗地开发程度</v>
      </c>
      <c r="R36" s="664" t="s">
        <v>14</v>
      </c>
      <c r="S36" s="665">
        <f t="shared" si="10"/>
        <v>100</v>
      </c>
      <c r="T36" s="664" t="s">
        <v>14</v>
      </c>
      <c r="U36" s="665">
        <f t="shared" si="11"/>
        <v>100</v>
      </c>
      <c r="V36" s="664" t="s">
        <v>14</v>
      </c>
      <c r="W36" s="665">
        <f t="shared" si="12"/>
        <v>100</v>
      </c>
      <c r="X36" s="666"/>
      <c r="Y36" s="3444"/>
      <c r="Z36" s="50" t="str">
        <f t="shared" si="13"/>
        <v>宗地开发程度</v>
      </c>
      <c r="AA36" s="50">
        <f t="shared" si="3"/>
        <v>1</v>
      </c>
      <c r="AB36" s="50">
        <f t="shared" si="4"/>
        <v>1</v>
      </c>
      <c r="AC36" s="50">
        <f t="shared" si="5"/>
        <v>1</v>
      </c>
    </row>
    <row r="37" spans="1:31" ht="15">
      <c r="A37" s="409"/>
      <c r="B37" s="364" t="s">
        <v>1873</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44" t="s">
        <v>1691</v>
      </c>
      <c r="Q37" s="1262" t="str">
        <f t="shared" si="14"/>
        <v>工程地质条件</v>
      </c>
      <c r="R37" s="667" t="s">
        <v>14</v>
      </c>
      <c r="S37" s="668">
        <f t="shared" si="10"/>
        <v>100</v>
      </c>
      <c r="T37" s="667" t="s">
        <v>14</v>
      </c>
      <c r="U37" s="668">
        <f t="shared" si="11"/>
        <v>100</v>
      </c>
      <c r="V37" s="667" t="s">
        <v>14</v>
      </c>
      <c r="W37" s="668">
        <f t="shared" si="12"/>
        <v>100</v>
      </c>
      <c r="X37" s="1264"/>
      <c r="Y37" s="3444" t="s">
        <v>1691</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44"/>
      <c r="Q38" s="1262">
        <f t="shared" si="14"/>
        <v>111</v>
      </c>
      <c r="R38" s="667" t="s">
        <v>14</v>
      </c>
      <c r="S38" s="668">
        <f t="shared" si="10"/>
        <v>100</v>
      </c>
      <c r="T38" s="667" t="s">
        <v>14</v>
      </c>
      <c r="U38" s="668">
        <f t="shared" si="11"/>
        <v>100</v>
      </c>
      <c r="V38" s="667" t="s">
        <v>14</v>
      </c>
      <c r="W38" s="668">
        <f t="shared" si="12"/>
        <v>100</v>
      </c>
      <c r="X38" s="1264"/>
      <c r="Y38" s="344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44"/>
      <c r="Q39" s="1262">
        <f t="shared" si="14"/>
        <v>111</v>
      </c>
      <c r="R39" s="667" t="s">
        <v>14</v>
      </c>
      <c r="S39" s="668">
        <f t="shared" si="10"/>
        <v>100</v>
      </c>
      <c r="T39" s="667" t="s">
        <v>14</v>
      </c>
      <c r="U39" s="668">
        <f t="shared" si="11"/>
        <v>100</v>
      </c>
      <c r="V39" s="667" t="s">
        <v>14</v>
      </c>
      <c r="W39" s="668">
        <f t="shared" si="12"/>
        <v>100</v>
      </c>
      <c r="X39" s="1264"/>
      <c r="Y39" s="3444"/>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44"/>
      <c r="Q40" s="1262">
        <f t="shared" si="14"/>
        <v>111</v>
      </c>
      <c r="R40" s="669" t="s">
        <v>14</v>
      </c>
      <c r="S40" s="670">
        <f t="shared" si="10"/>
        <v>100</v>
      </c>
      <c r="T40" s="669" t="s">
        <v>14</v>
      </c>
      <c r="U40" s="670">
        <f t="shared" si="11"/>
        <v>100</v>
      </c>
      <c r="V40" s="669" t="s">
        <v>14</v>
      </c>
      <c r="W40" s="670">
        <f t="shared" si="12"/>
        <v>100</v>
      </c>
      <c r="X40" s="671"/>
      <c r="Y40" s="3444"/>
      <c r="Z40" s="672">
        <f t="shared" si="13"/>
        <v>111</v>
      </c>
      <c r="AA40" s="1263">
        <f t="shared" si="3"/>
        <v>1</v>
      </c>
      <c r="AB40" s="1263">
        <f t="shared" si="4"/>
        <v>1</v>
      </c>
      <c r="AC40" s="1263">
        <f t="shared" si="5"/>
        <v>1</v>
      </c>
    </row>
    <row r="41" spans="1:31" ht="15">
      <c r="A41" s="416" t="s">
        <v>1839</v>
      </c>
      <c r="B41" s="1829" t="s">
        <v>1916</v>
      </c>
      <c r="C41" s="602" t="s">
        <v>0</v>
      </c>
      <c r="D41" s="418"/>
      <c r="E41" s="419"/>
      <c r="F41" s="420"/>
      <c r="G41" s="421"/>
      <c r="H41" s="422"/>
      <c r="I41" s="419"/>
      <c r="J41" s="422"/>
      <c r="K41" s="674"/>
      <c r="L41" s="2494"/>
      <c r="M41" s="2487"/>
      <c r="N41" s="2487"/>
      <c r="O41" s="2487"/>
      <c r="P41" s="3426" t="str">
        <f>A41</f>
        <v>成交单价</v>
      </c>
      <c r="Q41" s="3426"/>
      <c r="R41" s="3439">
        <f>E41</f>
        <v>0</v>
      </c>
      <c r="S41" s="3439"/>
      <c r="T41" s="3439">
        <f>G41</f>
        <v>0</v>
      </c>
      <c r="U41" s="3439"/>
      <c r="V41" s="3439">
        <f>I41</f>
        <v>0</v>
      </c>
      <c r="W41" s="3439"/>
      <c r="X41" s="385"/>
      <c r="Y41" s="673"/>
      <c r="Z41" s="385"/>
      <c r="AA41" s="385"/>
      <c r="AB41" s="385"/>
      <c r="AC41" s="385"/>
    </row>
    <row r="42" spans="1:31" ht="15.75" thickBot="1">
      <c r="A42" s="423" t="s">
        <v>1788</v>
      </c>
      <c r="B42" s="603"/>
      <c r="C42" s="426" t="e">
        <f>R43</f>
        <v>#DIV/0!</v>
      </c>
      <c r="D42" s="2140" t="s">
        <v>2132</v>
      </c>
      <c r="E42" s="426" t="e">
        <f>R42</f>
        <v>#DIV/0!</v>
      </c>
      <c r="F42" s="2141"/>
      <c r="G42" s="425" t="e">
        <f>T42</f>
        <v>#DIV/0!</v>
      </c>
      <c r="H42" s="2141"/>
      <c r="I42" s="426" t="e">
        <f>V42</f>
        <v>#DIV/0!</v>
      </c>
      <c r="J42" s="2141"/>
      <c r="K42" s="2143">
        <f>F42+H42+J42</f>
        <v>0</v>
      </c>
      <c r="L42" s="2494"/>
      <c r="M42" s="2487"/>
      <c r="N42" s="2487"/>
      <c r="O42" s="2487"/>
      <c r="P42" s="3426" t="str">
        <f>A42</f>
        <v>比较价值（元/平方米）</v>
      </c>
      <c r="Q42" s="3426"/>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75" thickBot="1">
      <c r="A43" s="427" t="s">
        <v>1789</v>
      </c>
      <c r="B43" s="428"/>
      <c r="C43" s="429" t="e">
        <f>R43</f>
        <v>#DIV/0!</v>
      </c>
      <c r="D43" s="429"/>
      <c r="E43" s="429"/>
      <c r="F43" s="429"/>
      <c r="G43" s="429"/>
      <c r="H43" s="429"/>
      <c r="I43" s="429"/>
      <c r="J43" s="429"/>
      <c r="K43" s="675"/>
      <c r="L43" s="2494"/>
      <c r="M43" s="2487"/>
      <c r="N43" s="2487"/>
      <c r="O43" s="2487"/>
      <c r="P43" s="3446" t="str">
        <f>A43</f>
        <v>估价对象XX用房的比较价值（楼面单价，元/平方米）</v>
      </c>
      <c r="Q43" s="3447"/>
      <c r="R43" s="3448" t="e">
        <f>ROUND(IF(D42="简单平均",AVERAGE(R42:W42),R42*F42+T42*H42+V42*J42),0)</f>
        <v>#DIV/0!</v>
      </c>
      <c r="S43" s="3448"/>
      <c r="T43" s="3448"/>
      <c r="U43" s="3448"/>
      <c r="V43" s="3448"/>
      <c r="W43" s="344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1790</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1791</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1792</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1876</v>
      </c>
      <c r="B50" s="605" t="s">
        <v>1877</v>
      </c>
      <c r="C50" s="1830" t="s">
        <v>1878</v>
      </c>
      <c r="D50" s="1831" t="s">
        <v>1879</v>
      </c>
      <c r="E50" s="606" t="s">
        <v>1880</v>
      </c>
      <c r="F50" s="607" t="s">
        <v>1881</v>
      </c>
      <c r="G50" s="3427" t="s">
        <v>1882</v>
      </c>
      <c r="H50" s="3449"/>
      <c r="I50" s="1263" t="s">
        <v>1917</v>
      </c>
      <c r="J50" s="1263">
        <f>项目基本情况!F35</f>
        <v>0</v>
      </c>
      <c r="K50" s="1833" t="s">
        <v>1884</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1885</v>
      </c>
      <c r="B51" s="609" t="e">
        <f>C43</f>
        <v>#DIV/0!</v>
      </c>
      <c r="C51" s="610">
        <v>1</v>
      </c>
      <c r="D51" s="890">
        <v>1</v>
      </c>
      <c r="E51" s="610">
        <f>'数据-汇总表'!E8+'数据-汇总表'!E9</f>
        <v>42863.29</v>
      </c>
      <c r="F51" s="611" t="e">
        <f t="shared" ref="F51:F60" si="15">ROUND(B51*E51/10000,0)</f>
        <v>#DIV/0!</v>
      </c>
      <c r="G51" s="3450"/>
      <c r="H51" s="342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1886</v>
      </c>
      <c r="B52" s="210" t="e">
        <f>ROUND($C$43*C52*D52,0)</f>
        <v>#DIV/0!</v>
      </c>
      <c r="C52" s="163">
        <f t="shared" ref="C52:C60" si="16">IF($C$50="北京市系数",I52,J52)</f>
        <v>0.6</v>
      </c>
      <c r="D52" s="891">
        <v>0.25</v>
      </c>
      <c r="E52" s="614"/>
      <c r="F52" s="611" t="e">
        <f t="shared" si="15"/>
        <v>#DIV/0!</v>
      </c>
      <c r="G52" s="2750" t="s">
        <v>1887</v>
      </c>
      <c r="H52" s="834" t="str">
        <f>项目基本情况!B37</f>
        <v>七级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1888</v>
      </c>
      <c r="B53" s="210" t="e">
        <f t="shared" ref="B53:B60" si="17">ROUND($C$43*C53*D53,0)</f>
        <v>#DIV/0!</v>
      </c>
      <c r="C53" s="163">
        <f t="shared" si="16"/>
        <v>0.3</v>
      </c>
      <c r="D53" s="891">
        <v>0.25</v>
      </c>
      <c r="E53" s="614"/>
      <c r="F53" s="611" t="e">
        <f t="shared" si="15"/>
        <v>#DIV/0!</v>
      </c>
      <c r="G53" s="2751"/>
      <c r="H53" s="834" t="str">
        <f>项目基本情况!B37</f>
        <v>七级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1889</v>
      </c>
      <c r="B54" s="210" t="e">
        <f t="shared" si="17"/>
        <v>#DIV/0!</v>
      </c>
      <c r="C54" s="163">
        <f t="shared" si="16"/>
        <v>0.25</v>
      </c>
      <c r="D54" s="891">
        <v>0.25</v>
      </c>
      <c r="E54" s="614"/>
      <c r="F54" s="611" t="e">
        <f t="shared" si="15"/>
        <v>#DIV/0!</v>
      </c>
      <c r="G54" s="2751"/>
      <c r="H54" s="834" t="str">
        <f>项目基本情况!B37</f>
        <v>七级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1890</v>
      </c>
      <c r="B56" s="210" t="e">
        <f t="shared" si="17"/>
        <v>#DIV/0!</v>
      </c>
      <c r="C56" s="163">
        <f t="shared" si="16"/>
        <v>0</v>
      </c>
      <c r="D56" s="891">
        <v>0.25</v>
      </c>
      <c r="E56" s="209">
        <f>'数据-汇总表'!E11</f>
        <v>0</v>
      </c>
      <c r="F56" s="611" t="e">
        <f t="shared" si="15"/>
        <v>#DIV/0!</v>
      </c>
      <c r="G56" s="1834" t="s">
        <v>1891</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1892</v>
      </c>
      <c r="B57" s="210" t="e">
        <f t="shared" si="17"/>
        <v>#DIV/0!</v>
      </c>
      <c r="C57" s="163">
        <f t="shared" si="16"/>
        <v>0</v>
      </c>
      <c r="D57" s="891">
        <v>0.25</v>
      </c>
      <c r="E57" s="209">
        <f>'数据-汇总表'!E12</f>
        <v>0</v>
      </c>
      <c r="F57" s="611" t="e">
        <f t="shared" si="15"/>
        <v>#DIV/0!</v>
      </c>
      <c r="G57" s="839" t="s">
        <v>1893</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1894</v>
      </c>
      <c r="B58" s="210" t="e">
        <f t="shared" si="17"/>
        <v>#DIV/0!</v>
      </c>
      <c r="C58" s="163">
        <f t="shared" si="16"/>
        <v>0</v>
      </c>
      <c r="D58" s="891">
        <v>0.25</v>
      </c>
      <c r="E58" s="209">
        <f>'数据-汇总表'!E13</f>
        <v>0</v>
      </c>
      <c r="F58" s="611" t="e">
        <f t="shared" si="15"/>
        <v>#DIV/0!</v>
      </c>
      <c r="G58" s="839" t="s">
        <v>1895</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1896</v>
      </c>
      <c r="B59" s="210" t="e">
        <f t="shared" si="17"/>
        <v>#DIV/0!</v>
      </c>
      <c r="C59" s="163">
        <f t="shared" si="16"/>
        <v>0.15</v>
      </c>
      <c r="D59" s="891">
        <v>0.25</v>
      </c>
      <c r="E59" s="209">
        <f>'数据-汇总表'!E14</f>
        <v>15639.329999999913</v>
      </c>
      <c r="F59" s="611" t="e">
        <f t="shared" si="15"/>
        <v>#DIV/0!</v>
      </c>
      <c r="G59" s="1834" t="s">
        <v>1887</v>
      </c>
      <c r="H59" s="834" t="str">
        <f>项目基本情况!B37</f>
        <v>七级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1897</v>
      </c>
      <c r="B60" s="210" t="e">
        <f t="shared" si="17"/>
        <v>#DIV/0!</v>
      </c>
      <c r="C60" s="163">
        <f t="shared" si="16"/>
        <v>0</v>
      </c>
      <c r="D60" s="891">
        <v>0.25</v>
      </c>
      <c r="E60" s="209">
        <f>'数据-汇总表'!E15</f>
        <v>0</v>
      </c>
      <c r="F60" s="611" t="e">
        <f t="shared" si="15"/>
        <v>#DIV/0!</v>
      </c>
      <c r="G60" s="1835" t="s">
        <v>1891</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1898</v>
      </c>
      <c r="B61" s="616" t="s">
        <v>22</v>
      </c>
      <c r="C61" s="616" t="s">
        <v>23</v>
      </c>
      <c r="D61" s="616" t="s">
        <v>392</v>
      </c>
      <c r="E61" s="616">
        <f>IF(B41="楼面地价",SUM(E51:E60),'数据-汇总表'!D3)</f>
        <v>20242.14</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1793</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1899</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1918</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1711</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1676</v>
      </c>
      <c r="B68" s="444"/>
      <c r="C68" s="456" t="s">
        <v>1771</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1714</v>
      </c>
      <c r="B70" s="460" t="s">
        <v>1680</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1683</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1684</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1685</v>
      </c>
      <c r="B83" s="460" t="s">
        <v>1824</v>
      </c>
      <c r="C83" s="504" t="s">
        <v>1716</v>
      </c>
      <c r="D83" s="504" t="s">
        <v>1717</v>
      </c>
      <c r="E83" s="504" t="s">
        <v>1718</v>
      </c>
      <c r="F83" s="504" t="s">
        <v>1719</v>
      </c>
      <c r="G83" s="504" t="s">
        <v>1720</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1721</v>
      </c>
      <c r="C85" s="509" t="s">
        <v>1716</v>
      </c>
      <c r="D85" s="509" t="s">
        <v>1717</v>
      </c>
      <c r="E85" s="509" t="s">
        <v>1718</v>
      </c>
      <c r="F85" s="509" t="s">
        <v>1719</v>
      </c>
      <c r="G85" s="509" t="s">
        <v>1720</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1901</v>
      </c>
      <c r="C87" s="504" t="s">
        <v>1716</v>
      </c>
      <c r="D87" s="504" t="s">
        <v>1717</v>
      </c>
      <c r="E87" s="504" t="s">
        <v>1718</v>
      </c>
      <c r="F87" s="504" t="s">
        <v>1719</v>
      </c>
      <c r="G87" s="504" t="s">
        <v>1720</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1902</v>
      </c>
      <c r="C89" s="504" t="s">
        <v>1716</v>
      </c>
      <c r="D89" s="504" t="s">
        <v>1717</v>
      </c>
      <c r="E89" s="504" t="s">
        <v>1718</v>
      </c>
      <c r="F89" s="504" t="s">
        <v>1719</v>
      </c>
      <c r="G89" s="504" t="s">
        <v>1720</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1773</v>
      </c>
      <c r="C91" s="504" t="s">
        <v>1716</v>
      </c>
      <c r="D91" s="504" t="s">
        <v>1717</v>
      </c>
      <c r="E91" s="504" t="s">
        <v>1718</v>
      </c>
      <c r="F91" s="504" t="s">
        <v>1719</v>
      </c>
      <c r="G91" s="504" t="s">
        <v>1720</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1919</v>
      </c>
      <c r="C93" s="581" t="s">
        <v>1794</v>
      </c>
      <c r="D93" s="581" t="s">
        <v>1795</v>
      </c>
      <c r="E93" s="581" t="s">
        <v>1796</v>
      </c>
      <c r="F93" s="581" t="s">
        <v>1797</v>
      </c>
      <c r="G93" s="581" t="s">
        <v>1798</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1903</v>
      </c>
      <c r="D95" s="470" t="s">
        <v>1904</v>
      </c>
      <c r="E95" s="470" t="s">
        <v>1905</v>
      </c>
      <c r="F95" s="470" t="s">
        <v>1906</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1810</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1868</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1689</v>
      </c>
      <c r="B107" s="460" t="s">
        <v>1907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1908</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1910</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1911</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906</v>
      </c>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390"/>
      <c r="B4" s="3221" t="s">
        <v>915</v>
      </c>
      <c r="C4" s="3221"/>
      <c r="D4" s="3221"/>
      <c r="E4" s="1390"/>
    </row>
    <row r="5" spans="1:5" ht="16.5" thickTop="1">
      <c r="B5" s="3219" t="s">
        <v>907</v>
      </c>
      <c r="C5" s="1391" t="s">
        <v>908</v>
      </c>
      <c r="D5" s="797">
        <f ca="1">结果表!H101</f>
        <v>123578</v>
      </c>
    </row>
    <row r="6" spans="1:5" ht="15.75">
      <c r="B6" s="3219"/>
      <c r="C6" s="1391" t="s">
        <v>909</v>
      </c>
      <c r="D6" s="797" t="str">
        <f ca="1">NUMBERSTRING(INT(D5*10000),2)&amp;"元整"</f>
        <v>壹拾贰亿叁仟伍佰柒拾捌万元整</v>
      </c>
    </row>
    <row r="7" spans="1:5" ht="15.75">
      <c r="B7" s="3224"/>
      <c r="C7" s="1392" t="s">
        <v>910</v>
      </c>
      <c r="D7" s="798">
        <f ca="1">结果表!H102</f>
        <v>18719</v>
      </c>
    </row>
    <row r="8" spans="1:5" ht="15.75">
      <c r="B8" s="3225" t="str">
        <f>结果表!E103</f>
        <v>2.估价师知悉的法定优先受偿款</v>
      </c>
      <c r="C8" s="1393" t="s">
        <v>911</v>
      </c>
      <c r="D8" s="798">
        <f>结果表!H103</f>
        <v>0</v>
      </c>
    </row>
    <row r="9" spans="1:5" ht="15.75">
      <c r="B9" s="3227"/>
      <c r="C9" s="1391" t="s">
        <v>909</v>
      </c>
      <c r="D9" s="797" t="str">
        <f>NUMBERSTRING(INT(D8*10000),2)&amp;"元整"</f>
        <v>零元整</v>
      </c>
    </row>
    <row r="10" spans="1:5" ht="15">
      <c r="B10" s="1394" t="s">
        <v>914</v>
      </c>
      <c r="C10" s="1395" t="s">
        <v>912</v>
      </c>
      <c r="D10" s="799">
        <f>结果表!H104</f>
        <v>0</v>
      </c>
    </row>
    <row r="11" spans="1:5" ht="15">
      <c r="B11" s="1394" t="s">
        <v>916</v>
      </c>
      <c r="C11" s="1395" t="s">
        <v>917</v>
      </c>
      <c r="D11" s="799">
        <f>结果表!H105</f>
        <v>0</v>
      </c>
    </row>
    <row r="12" spans="1:5" ht="15">
      <c r="B12" s="1394" t="s">
        <v>918</v>
      </c>
      <c r="C12" s="1395" t="s">
        <v>917</v>
      </c>
      <c r="D12" s="799">
        <f>结果表!H106</f>
        <v>0</v>
      </c>
    </row>
    <row r="13" spans="1:5" ht="15.75">
      <c r="B13" s="3218" t="str">
        <f>结果表!E107</f>
        <v>3.房地产抵押价值</v>
      </c>
      <c r="C13" s="1396" t="s">
        <v>908</v>
      </c>
      <c r="D13" s="800">
        <f ca="1">结果表!H107</f>
        <v>123578</v>
      </c>
    </row>
    <row r="14" spans="1:5" ht="15.75">
      <c r="B14" s="3219"/>
      <c r="C14" s="1391" t="s">
        <v>909</v>
      </c>
      <c r="D14" s="797" t="str">
        <f ca="1">NUMBERSTRING(INT(D13*10000),2)&amp;"元整"</f>
        <v>壹拾贰亿叁仟伍佰柒拾捌万元整</v>
      </c>
    </row>
    <row r="15" spans="1:5" ht="15">
      <c r="B15" s="3224"/>
      <c r="C15" s="1392" t="s">
        <v>919</v>
      </c>
      <c r="D15" s="806">
        <f ca="1">结果表!H108</f>
        <v>18719</v>
      </c>
    </row>
    <row r="16" spans="1:5" ht="15">
      <c r="B16" s="3225" t="str">
        <f>结果表!E109</f>
        <v>——</v>
      </c>
      <c r="C16" s="1396" t="s">
        <v>920</v>
      </c>
      <c r="D16" s="1397" t="str">
        <f>结果表!H109</f>
        <v>——</v>
      </c>
    </row>
    <row r="17" spans="1:5" ht="15.75">
      <c r="B17" s="3226"/>
      <c r="C17" s="1391" t="s">
        <v>921</v>
      </c>
      <c r="D17" s="797" t="e">
        <f>NUMBERSTRING(INT(D16*10000),2)&amp;"元整"</f>
        <v>#VALUE!</v>
      </c>
    </row>
    <row r="18" spans="1:5" ht="15">
      <c r="B18" s="3227"/>
      <c r="C18" s="1392" t="s">
        <v>910</v>
      </c>
      <c r="D18" s="806" t="str">
        <f>结果表!H110</f>
        <v>——</v>
      </c>
    </row>
    <row r="19" spans="1:5" ht="15.75">
      <c r="B19" s="3218" t="str">
        <f>结果表!E111</f>
        <v>——</v>
      </c>
      <c r="C19" s="1396" t="s">
        <v>908</v>
      </c>
      <c r="D19" s="798" t="str">
        <f>结果表!H111</f>
        <v>——</v>
      </c>
    </row>
    <row r="20" spans="1:5" ht="15.75">
      <c r="B20" s="3219"/>
      <c r="C20" s="1391" t="s">
        <v>921</v>
      </c>
      <c r="D20" s="797" t="e">
        <f>NUMBERSTRING(INT(D19*10000),2)&amp;"元整"</f>
        <v>#VALUE!</v>
      </c>
    </row>
    <row r="21" spans="1:5" ht="15.75" thickBot="1">
      <c r="B21" s="3220"/>
      <c r="C21" s="1398" t="s">
        <v>919</v>
      </c>
      <c r="D21" s="807" t="str">
        <f>结果表!H112</f>
        <v>——</v>
      </c>
    </row>
    <row r="22" spans="1:5" ht="15" thickTop="1">
      <c r="B22" s="1399" t="s">
        <v>922</v>
      </c>
    </row>
    <row r="24" spans="1:5" ht="18.75">
      <c r="A24" s="1400"/>
      <c r="B24" s="1401" t="s">
        <v>913</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2077</v>
      </c>
      <c r="C1" s="3507" t="s">
        <v>2078</v>
      </c>
      <c r="D1" s="3508"/>
      <c r="E1" s="3508"/>
      <c r="F1" s="3508"/>
      <c r="G1" s="3508"/>
      <c r="H1" s="3508"/>
      <c r="I1" s="3508"/>
      <c r="J1" s="3508"/>
      <c r="K1" s="3508"/>
      <c r="L1" s="3508"/>
      <c r="M1" s="3508"/>
      <c r="N1" s="3508"/>
      <c r="O1" s="3508"/>
      <c r="P1" s="3508"/>
      <c r="Q1" s="3508"/>
      <c r="R1" s="3508"/>
      <c r="S1" s="3509"/>
      <c r="T1" s="929" t="s">
        <v>2079</v>
      </c>
    </row>
    <row r="2" spans="1:45" s="625" customFormat="1">
      <c r="A2" s="930"/>
      <c r="B2" s="622" t="s">
        <v>2080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2081</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2082</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2083</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2087</v>
      </c>
      <c r="B17" s="1986" t="s">
        <v>2088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2089</v>
      </c>
      <c r="E19" s="1252"/>
      <c r="F19" s="1252"/>
      <c r="G19" s="1252"/>
      <c r="H19" s="996"/>
      <c r="I19" s="151"/>
      <c r="J19" s="151"/>
      <c r="K19" s="151"/>
      <c r="L19" s="151"/>
      <c r="M19" s="151"/>
      <c r="N19" s="151"/>
      <c r="O19" s="151"/>
      <c r="P19" s="151"/>
      <c r="Q19" s="151"/>
      <c r="R19" s="151"/>
      <c r="S19" s="121"/>
    </row>
    <row r="20" spans="1:45" ht="16.5" thickBot="1">
      <c r="A20" s="632" t="s">
        <v>2090</v>
      </c>
      <c r="B20" s="286" t="e">
        <f ca="1">IF(D20="——",S22,S22-F20)</f>
        <v>#REF!</v>
      </c>
      <c r="C20" s="151"/>
      <c r="D20" s="1988"/>
      <c r="E20" s="1253"/>
      <c r="F20" s="929" t="e">
        <f ca="1">SUMIF(INDIRECT("'"&amp;H20&amp;"'"&amp;"!A:A"),"承租人权益价值",INDIRECT("'"&amp;H20&amp;"'"&amp;"!c:c"))</f>
        <v>#REF!</v>
      </c>
      <c r="G20" s="929" t="s">
        <v>2091</v>
      </c>
      <c r="H20" s="1989"/>
      <c r="I20" s="151"/>
      <c r="J20" s="151"/>
      <c r="K20" s="151"/>
      <c r="L20" s="151"/>
      <c r="M20" s="151"/>
      <c r="N20" s="151"/>
      <c r="O20" s="151"/>
      <c r="P20" s="151"/>
      <c r="Q20" s="151"/>
      <c r="R20" s="151"/>
      <c r="S20" s="121"/>
    </row>
    <row r="21" spans="1:45" ht="15.75">
      <c r="A21" s="632" t="s">
        <v>2092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0</v>
      </c>
      <c r="C22" s="3504" t="s">
        <v>27</v>
      </c>
      <c r="D22" s="3505"/>
      <c r="E22" s="3505"/>
      <c r="F22" s="3505"/>
      <c r="G22" s="3505"/>
      <c r="H22" s="3505"/>
      <c r="I22" s="3505"/>
      <c r="J22" s="3505"/>
      <c r="K22" s="3505"/>
      <c r="L22" s="3505"/>
      <c r="M22" s="3505"/>
      <c r="N22" s="3505"/>
      <c r="O22" s="3505"/>
      <c r="P22" s="3505"/>
      <c r="Q22" s="3506"/>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2099</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2075</v>
      </c>
      <c r="B1" s="4"/>
      <c r="C1" s="4"/>
      <c r="D1" s="4"/>
      <c r="E1" s="4"/>
      <c r="F1" s="2544"/>
      <c r="G1" s="2544"/>
      <c r="H1" s="2544"/>
      <c r="I1" s="2544"/>
      <c r="J1" s="2544"/>
      <c r="K1" s="2544"/>
      <c r="L1" s="2544"/>
      <c r="M1" s="2544"/>
      <c r="N1" s="2544"/>
      <c r="O1" s="2544"/>
      <c r="P1" s="2544"/>
    </row>
    <row r="2" spans="1:16" ht="15.75">
      <c r="A2" s="1983" t="s">
        <v>2067</v>
      </c>
      <c r="B2" s="2387">
        <f ca="1">SUMIF(B6:B13,"&lt;&gt;#ref!",B6:B13)</f>
        <v>37676</v>
      </c>
      <c r="C2" s="1983" t="s">
        <v>2068</v>
      </c>
      <c r="D2" s="1983" t="s">
        <v>2069</v>
      </c>
      <c r="E2" s="2397">
        <f ca="1">SUMIF(E6:E13,"&lt;&gt;#ref!",E6:E13)</f>
        <v>66017.299999999916</v>
      </c>
      <c r="F2" s="2544"/>
      <c r="G2" s="2544"/>
      <c r="H2" s="2544"/>
      <c r="I2" s="2544"/>
      <c r="J2" s="2544"/>
      <c r="K2" s="2544"/>
      <c r="L2" s="2544"/>
      <c r="M2" s="2544"/>
      <c r="N2" s="2544"/>
      <c r="O2" s="2544"/>
      <c r="P2" s="2544"/>
    </row>
    <row r="3" spans="1:16" ht="15.75">
      <c r="A3" s="1983" t="s">
        <v>2070</v>
      </c>
      <c r="B3" s="2387">
        <f ca="1">ROUND(B2*10000/E2,0)</f>
        <v>5707</v>
      </c>
      <c r="C3" s="1983" t="s">
        <v>2076</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2071</v>
      </c>
      <c r="B5" s="2395" t="s">
        <v>2072</v>
      </c>
      <c r="C5" s="1984"/>
      <c r="D5" s="2544"/>
      <c r="E5" s="2396" t="s">
        <v>2073</v>
      </c>
      <c r="F5" s="2544"/>
      <c r="G5" s="2544"/>
      <c r="H5" s="2544"/>
      <c r="I5" s="2544"/>
      <c r="J5" s="2544"/>
      <c r="K5" s="2544"/>
      <c r="L5" s="2544"/>
      <c r="M5" s="2544"/>
      <c r="N5" s="2544"/>
      <c r="O5" s="2544"/>
      <c r="P5" s="2544"/>
    </row>
    <row r="6" spans="1:16" ht="15.75">
      <c r="A6" s="2394" t="s">
        <v>2074</v>
      </c>
      <c r="B6" s="2387">
        <f ca="1">SUMIF(INDIRECT("'"&amp;A6&amp;"'"&amp;"!A:A"),"总价",INDIRECT("'"&amp;A6&amp;"'"&amp;"!B:B"))</f>
        <v>37676</v>
      </c>
      <c r="C6" s="1983" t="s">
        <v>2068</v>
      </c>
      <c r="D6" s="2544"/>
      <c r="E6" s="2397">
        <f ca="1">SUMIF(INDIRECT("'"&amp;A6&amp;"'"&amp;"!C:C"),"建筑面积",INDIRECT("'"&amp;A6&amp;"'"&amp;"!D:D"))</f>
        <v>66017.299999999916</v>
      </c>
      <c r="F6" s="2544"/>
      <c r="G6" s="2544"/>
      <c r="H6" s="2544"/>
      <c r="I6" s="2544"/>
      <c r="J6" s="2544"/>
      <c r="K6" s="2544"/>
      <c r="L6" s="2544"/>
      <c r="M6" s="2544"/>
      <c r="N6" s="2544"/>
      <c r="O6" s="2544"/>
      <c r="P6" s="2544"/>
    </row>
    <row r="7" spans="1:16" ht="15.75">
      <c r="A7" s="2394"/>
      <c r="B7" s="2387" t="e">
        <f ca="1">SUMIF(INDIRECT("'"&amp;A7&amp;"'"&amp;"!A:A"),"总价",INDIRECT("'"&amp;A7&amp;"'"&amp;"!B:B"))</f>
        <v>#REF!</v>
      </c>
      <c r="C7" s="1983" t="s">
        <v>2068</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2068</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2068</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2068</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2068</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2068</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2068</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V2" activeCellId="2" sqref="E37 E42 V2:V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1920</v>
      </c>
      <c r="B1" s="189"/>
      <c r="C1" s="193" t="s">
        <v>1921</v>
      </c>
      <c r="D1" s="333">
        <f>SUM(D33:D34,D37:D42)</f>
        <v>66017.299999999916</v>
      </c>
      <c r="E1" s="1841"/>
      <c r="F1" s="1841"/>
      <c r="G1" s="1841"/>
      <c r="H1" s="1841"/>
      <c r="I1" s="1841"/>
      <c r="J1" s="1841"/>
      <c r="K1" s="1056"/>
      <c r="L1" s="1842" t="s">
        <v>1922</v>
      </c>
      <c r="M1" s="810">
        <f>SUMPRODUCT((区片价!B5:B9=I2)*(区片价!C3:G3=E2)*(区片价!C5:G9))</f>
        <v>0</v>
      </c>
      <c r="N1" s="813">
        <f>SUMPRODUCT((因素修正幅度!B5:B9=I2)*(因素修正幅度!C3:G3=E2)*(因素修正幅度!C5:G9))</f>
        <v>0</v>
      </c>
      <c r="O1" s="1843"/>
      <c r="P1" s="1843"/>
      <c r="Q1" s="1056"/>
      <c r="R1" s="1128" t="s">
        <v>1923</v>
      </c>
      <c r="S1" s="1128" t="s">
        <v>1924</v>
      </c>
      <c r="T1" s="1128" t="s">
        <v>1925</v>
      </c>
      <c r="U1" s="1128" t="s">
        <v>1926</v>
      </c>
      <c r="V1" s="1128" t="s">
        <v>1927</v>
      </c>
      <c r="W1" s="1132"/>
      <c r="X1" s="1132"/>
      <c r="Y1" s="1132"/>
      <c r="Z1" s="1132"/>
      <c r="AA1" s="1132"/>
      <c r="AB1" s="1132"/>
      <c r="AC1" s="1133"/>
      <c r="AD1" s="1134"/>
      <c r="AE1" s="1134"/>
      <c r="AF1" s="1134"/>
      <c r="AG1" s="1134"/>
      <c r="AH1" s="1134"/>
      <c r="AI1" s="1134"/>
      <c r="AJ1" s="1135"/>
    </row>
    <row r="2" spans="1:36" ht="15.75">
      <c r="A2" s="193" t="s">
        <v>1928</v>
      </c>
      <c r="B2" s="196">
        <f>C30</f>
        <v>37676</v>
      </c>
      <c r="C2" s="1845" t="s">
        <v>1929</v>
      </c>
      <c r="D2" s="162" t="s">
        <v>1930</v>
      </c>
      <c r="E2" s="3119" t="s">
        <v>671</v>
      </c>
      <c r="F2" s="162" t="s">
        <v>1931</v>
      </c>
      <c r="G2" s="163" t="str">
        <f>IF(E2="商业",项目基本情况!B37,IF(E2="办公",项目基本情况!C37,IF(E2="住宅",项目基本情况!D37,IF(E2="工业",项目基本情况!E37,项目基本情况!F37))))</f>
        <v>七级</v>
      </c>
      <c r="H2" s="162" t="s">
        <v>1932</v>
      </c>
      <c r="I2" s="163" t="str">
        <f>IF(E2="商业",项目基本情况!B38,IF(E2="办公",项目基本情况!C38,IF(E2="住宅",项目基本情况!D38,IF(E2="工业",项目基本情况!E38,项目基本情况!F38))))</f>
        <v>Ⅶ-房1</v>
      </c>
      <c r="J2" s="1841"/>
      <c r="K2" s="1056"/>
      <c r="L2" s="1846" t="s">
        <v>1933</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1.5019</v>
      </c>
      <c r="T2" s="3063">
        <f t="shared" ref="T2:T16" si="0">ROUND($C$5*$C$22*$C$23*$C$24*S2*$C$28,0)</f>
        <v>10824</v>
      </c>
      <c r="U2" s="1129">
        <f>面积指标!I5</f>
        <v>7558.56</v>
      </c>
      <c r="V2" s="3063">
        <f>ROUND(T2*U2/10000,0)</f>
        <v>8181</v>
      </c>
      <c r="W2" s="1132"/>
      <c r="X2" s="1132"/>
      <c r="Y2" s="1132"/>
      <c r="Z2" s="1132"/>
      <c r="AA2" s="1132"/>
      <c r="AB2" s="1132"/>
      <c r="AC2" s="1133"/>
      <c r="AD2" s="1134"/>
      <c r="AE2" s="1134"/>
      <c r="AF2" s="1134"/>
      <c r="AG2" s="1134"/>
      <c r="AH2" s="1134"/>
      <c r="AI2" s="1134"/>
      <c r="AJ2" s="1135"/>
    </row>
    <row r="3" spans="1:36" ht="15.75">
      <c r="A3" s="195" t="s">
        <v>1934</v>
      </c>
      <c r="B3" s="196">
        <f>ROUND(B2*10000/D1,0)</f>
        <v>5707</v>
      </c>
      <c r="C3" s="1845" t="s">
        <v>1935</v>
      </c>
      <c r="D3" s="162" t="s">
        <v>1936</v>
      </c>
      <c r="E3" s="3117" t="s">
        <v>2435</v>
      </c>
      <c r="F3" s="1847" t="s">
        <v>6116</v>
      </c>
      <c r="G3" s="708">
        <f>IF(F3="宗地容积率",'数据-汇总表'!I4,IF(F3="估价对象容积率",'数据-汇总表'!I6,'数据-汇总表'!I7))</f>
        <v>2</v>
      </c>
      <c r="H3" s="162" t="s">
        <v>1937</v>
      </c>
      <c r="I3" s="729">
        <v>6</v>
      </c>
      <c r="J3" s="1841" t="s">
        <v>1938</v>
      </c>
      <c r="K3" s="1056"/>
      <c r="L3" s="1846" t="s">
        <v>1939</v>
      </c>
      <c r="M3" s="811">
        <f>SUMPRODUCT((区片价!B30:B54=I2)*(区片价!C3:G3=E2)*(区片价!C30:G54))</f>
        <v>0</v>
      </c>
      <c r="N3" s="813">
        <f>SUMPRODUCT((因素修正幅度!B30:B54=I2)*(因素修正幅度!C3:G3=E2)*(因素修正幅度!C30:G54))</f>
        <v>0</v>
      </c>
      <c r="O3" s="1056"/>
      <c r="P3" s="1056"/>
      <c r="Q3" s="1056"/>
      <c r="R3" s="1128">
        <v>2</v>
      </c>
      <c r="S3" s="3063">
        <f>ROUND(SUMPRODUCT((B106:B110=R3)*(C105:N105=G2)*(C106:N110)),4)</f>
        <v>1.1838</v>
      </c>
      <c r="T3" s="3063">
        <f t="shared" si="0"/>
        <v>8531</v>
      </c>
      <c r="U3" s="1129">
        <f>面积指标!I6</f>
        <v>7882.5</v>
      </c>
      <c r="V3" s="3063">
        <f t="shared" ref="V3:V16" si="1">ROUND(T3*U3/10000,0)</f>
        <v>6725</v>
      </c>
      <c r="W3" s="1132"/>
      <c r="X3" s="1132"/>
      <c r="Y3" s="1132"/>
      <c r="Z3" s="1132"/>
      <c r="AA3" s="1132"/>
      <c r="AB3" s="1132"/>
      <c r="AC3" s="1133"/>
      <c r="AD3" s="1134"/>
      <c r="AE3" s="1134"/>
      <c r="AF3" s="1134"/>
      <c r="AG3" s="1134"/>
      <c r="AH3" s="1134"/>
      <c r="AI3" s="1134"/>
      <c r="AJ3" s="1135"/>
    </row>
    <row r="4" spans="1:36" ht="15.75">
      <c r="A4" s="3517"/>
      <c r="B4" s="3518"/>
      <c r="C4" s="3518"/>
      <c r="D4" s="3519"/>
      <c r="E4" s="3519"/>
      <c r="F4" s="3519"/>
      <c r="G4" s="3519"/>
      <c r="H4" s="3519"/>
      <c r="I4" s="3519"/>
      <c r="J4" s="3520"/>
      <c r="K4" s="1056"/>
      <c r="L4" s="1846" t="s">
        <v>1940</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1.0004999999999999</v>
      </c>
      <c r="T4" s="3063">
        <f t="shared" si="0"/>
        <v>7210</v>
      </c>
      <c r="U4" s="1129">
        <f>面积指标!I7</f>
        <v>7825.72</v>
      </c>
      <c r="V4" s="3063">
        <f t="shared" si="1"/>
        <v>5642</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1941</v>
      </c>
      <c r="C5" s="709">
        <f>ROUND(IF(E2="商业",C6*C7*C17+C20,(IF(E2="住宅",C6*C13*C17+C20,IF(E2="办公",C6*C12*C17+C20,C6+C20)))),0)</f>
        <v>7171</v>
      </c>
      <c r="D5" s="1251">
        <f>ROUND(C6*C17+C20,0)</f>
        <v>7171</v>
      </c>
      <c r="E5" s="1251"/>
      <c r="F5" s="1850"/>
      <c r="G5" s="1851"/>
      <c r="H5" s="1851"/>
      <c r="I5" s="1851"/>
      <c r="J5" s="1852"/>
      <c r="K5" s="1853"/>
      <c r="L5" s="1846" t="s">
        <v>1942</v>
      </c>
      <c r="M5" s="811">
        <f>SUMPRODUCT((区片价!B87:B126=I2)*(区片价!C3:G3=E2)*(区片价!C87:G126))</f>
        <v>0</v>
      </c>
      <c r="N5" s="813">
        <f>SUMPRODUCT((因素修正幅度!B87:B126=I2)*(因素修正幅度!C3:G3=E2)*(因素修正幅度!C87:G126))</f>
        <v>0</v>
      </c>
      <c r="O5" s="1056"/>
      <c r="P5" s="1056"/>
      <c r="Q5" s="1056"/>
      <c r="R5" s="1128">
        <v>4</v>
      </c>
      <c r="S5" s="3063">
        <f>ROUND(SUMPRODUCT((B106:B110=R5)*(C105:N105=G2)*(C106:N110)),4)</f>
        <v>0.88239999999999996</v>
      </c>
      <c r="T5" s="3063">
        <f t="shared" si="0"/>
        <v>6359</v>
      </c>
      <c r="U5" s="1129">
        <f>面积指标!I8</f>
        <v>7570.61</v>
      </c>
      <c r="V5" s="3063">
        <f t="shared" si="1"/>
        <v>4814</v>
      </c>
      <c r="W5" s="1132"/>
      <c r="X5" s="1132"/>
      <c r="Y5" s="1132"/>
      <c r="Z5" s="1132"/>
      <c r="AA5" s="1132"/>
      <c r="AB5" s="1132"/>
      <c r="AC5" s="1854"/>
      <c r="AD5" s="1855"/>
      <c r="AE5" s="1855"/>
      <c r="AF5" s="1855"/>
      <c r="AG5" s="1855"/>
      <c r="AH5" s="1855"/>
      <c r="AI5" s="1855"/>
      <c r="AJ5" s="1856"/>
    </row>
    <row r="6" spans="1:36" ht="15.75" thickBot="1">
      <c r="A6" s="1858" t="s">
        <v>1943</v>
      </c>
      <c r="B6" s="1859" t="s">
        <v>1944</v>
      </c>
      <c r="C6" s="710">
        <f>SUMIF(L1:L12,G2,M1:M12)</f>
        <v>8440</v>
      </c>
      <c r="D6" s="1860"/>
      <c r="E6" s="1861"/>
      <c r="F6" s="1861"/>
      <c r="G6" s="1862"/>
      <c r="H6" s="1862"/>
      <c r="I6" s="1862"/>
      <c r="J6" s="1863"/>
      <c r="K6" s="1291"/>
      <c r="L6" s="1846" t="s">
        <v>1945</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0.84799999999999998</v>
      </c>
      <c r="T6" s="3063">
        <f t="shared" si="0"/>
        <v>6111</v>
      </c>
      <c r="U6" s="1129">
        <f>面积指标!I9</f>
        <v>7472.25</v>
      </c>
      <c r="V6" s="3063">
        <f t="shared" si="1"/>
        <v>4566</v>
      </c>
      <c r="W6" s="1132"/>
      <c r="X6" s="1132"/>
      <c r="Y6" s="1132"/>
      <c r="Z6" s="1132"/>
      <c r="AA6" s="1132"/>
      <c r="AB6" s="1132"/>
      <c r="AC6" s="1854"/>
      <c r="AD6" s="1855"/>
      <c r="AE6" s="1855"/>
      <c r="AF6" s="1855"/>
      <c r="AG6" s="1855"/>
      <c r="AH6" s="1855"/>
      <c r="AI6" s="1855"/>
      <c r="AJ6" s="1856"/>
    </row>
    <row r="7" spans="1:36" ht="24.75" thickBot="1">
      <c r="A7" s="3012" t="s">
        <v>3233</v>
      </c>
      <c r="B7" s="1864" t="s">
        <v>1946</v>
      </c>
      <c r="C7" s="711">
        <f>IF(C8="不临65条商业街",1,ROUND(1+(1.6*E8+1.2*E9+0.8*E10+0.4*E11)*C9,4))</f>
        <v>1</v>
      </c>
      <c r="D7" s="1865" t="s">
        <v>1947</v>
      </c>
      <c r="E7" s="730"/>
      <c r="F7" s="1866"/>
      <c r="G7" s="1867"/>
      <c r="H7" s="1867"/>
      <c r="I7" s="1867"/>
      <c r="J7" s="1868"/>
      <c r="K7" s="1291"/>
      <c r="L7" s="1846" t="s">
        <v>1948</v>
      </c>
      <c r="M7" s="811">
        <f>SUMPRODUCT((区片价!B190:B233=I2)*(区片价!C3:G3=E2)*(区片价!C190:G233))</f>
        <v>8440</v>
      </c>
      <c r="N7" s="813">
        <f>SUMPRODUCT((因素修正幅度!B190:B233=I2)*(因素修正幅度!C3:G3=E2)*(因素修正幅度!C190:G233))</f>
        <v>0.13</v>
      </c>
      <c r="O7" s="1056"/>
      <c r="P7" s="1056"/>
      <c r="Q7" s="1056"/>
      <c r="R7" s="1128">
        <v>6</v>
      </c>
      <c r="S7" s="3209">
        <v>0.83850000000000002</v>
      </c>
      <c r="T7" s="3063">
        <f t="shared" si="0"/>
        <v>6043</v>
      </c>
      <c r="U7" s="1129">
        <f>面积指标!I10+面积指标!I11</f>
        <v>4553.6499999999996</v>
      </c>
      <c r="V7" s="3063">
        <f t="shared" si="1"/>
        <v>2752</v>
      </c>
      <c r="W7" s="1266" t="s">
        <v>1949</v>
      </c>
      <c r="X7" s="1130" t="str">
        <f>G2</f>
        <v>七级</v>
      </c>
      <c r="Y7" s="1130" t="s">
        <v>1950</v>
      </c>
      <c r="Z7" s="1131">
        <f>G3</f>
        <v>2</v>
      </c>
      <c r="AA7" s="1132"/>
      <c r="AB7" s="1132"/>
      <c r="AC7" s="1133"/>
      <c r="AD7" s="1134"/>
      <c r="AE7" s="1134"/>
      <c r="AF7" s="1134"/>
      <c r="AG7" s="1134"/>
      <c r="AH7" s="1134"/>
      <c r="AI7" s="1134"/>
      <c r="AJ7" s="1135"/>
    </row>
    <row r="8" spans="1:36" ht="25.5">
      <c r="A8" s="3009"/>
      <c r="B8" s="162" t="s">
        <v>1951</v>
      </c>
      <c r="C8" s="1869" t="s">
        <v>6117</v>
      </c>
      <c r="D8" s="712" t="s">
        <v>112</v>
      </c>
      <c r="E8" s="713" t="e">
        <f>ROUND(C11/E7,4)</f>
        <v>#DIV/0!</v>
      </c>
      <c r="F8" s="1870" t="s">
        <v>1952</v>
      </c>
      <c r="G8" s="1871"/>
      <c r="H8" s="1871"/>
      <c r="I8" s="1871"/>
      <c r="J8" s="1872"/>
      <c r="K8" s="1056"/>
      <c r="L8" s="1846" t="s">
        <v>1953</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514" t="s">
        <v>1954</v>
      </c>
      <c r="X8" s="3515"/>
      <c r="Y8" s="1136" t="s">
        <v>1955</v>
      </c>
      <c r="Z8" s="1136" t="s">
        <v>1956</v>
      </c>
      <c r="AA8" s="1136" t="s">
        <v>1957</v>
      </c>
      <c r="AB8" s="1136" t="s">
        <v>1958</v>
      </c>
      <c r="AC8" s="1136" t="s">
        <v>1959</v>
      </c>
      <c r="AD8" s="1136" t="s">
        <v>1960</v>
      </c>
      <c r="AE8" s="1136" t="s">
        <v>1961</v>
      </c>
      <c r="AF8" s="1136" t="s">
        <v>1962</v>
      </c>
      <c r="AG8" s="1136" t="s">
        <v>1963</v>
      </c>
      <c r="AH8" s="1136" t="s">
        <v>1964</v>
      </c>
      <c r="AI8" s="1136" t="s">
        <v>1965</v>
      </c>
      <c r="AJ8" s="1136" t="s">
        <v>1966</v>
      </c>
    </row>
    <row r="9" spans="1:36" ht="15">
      <c r="A9" s="3009"/>
      <c r="B9" s="162" t="s">
        <v>1967</v>
      </c>
      <c r="C9" s="714">
        <f>SUMIF(修正!C71:C138,C8,修正!E71:E138)</f>
        <v>0</v>
      </c>
      <c r="D9" s="163" t="s">
        <v>113</v>
      </c>
      <c r="E9" s="163" t="e">
        <f>ROUND(C11/E7,4)</f>
        <v>#DIV/0!</v>
      </c>
      <c r="F9" s="1870" t="s">
        <v>1968</v>
      </c>
      <c r="G9" s="1871"/>
      <c r="H9" s="1871"/>
      <c r="I9" s="1871"/>
      <c r="J9" s="1872"/>
      <c r="K9" s="1056"/>
      <c r="L9" s="1846" t="s">
        <v>1969</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516"/>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1970</v>
      </c>
      <c r="C10" s="163">
        <f>SUMIF(修正!C71:C138,C8,修正!F71:F138)</f>
        <v>0</v>
      </c>
      <c r="D10" s="163" t="s">
        <v>114</v>
      </c>
      <c r="E10" s="163" t="e">
        <f>ROUND(C11/E7,4)</f>
        <v>#DIV/0!</v>
      </c>
      <c r="F10" s="1870" t="s">
        <v>1971</v>
      </c>
      <c r="G10" s="1871"/>
      <c r="H10" s="1871"/>
      <c r="I10" s="1871"/>
      <c r="J10" s="1872"/>
      <c r="K10" s="1056"/>
      <c r="L10" s="1846" t="s">
        <v>1972</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51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1973</v>
      </c>
      <c r="C11" s="715">
        <f>C10/4</f>
        <v>0</v>
      </c>
      <c r="D11" s="715" t="s">
        <v>115</v>
      </c>
      <c r="E11" s="715" t="e">
        <f>ROUND(C11/E7,4)</f>
        <v>#DIV/0!</v>
      </c>
      <c r="F11" s="1874" t="s">
        <v>1974</v>
      </c>
      <c r="G11" s="1875"/>
      <c r="H11" s="1875"/>
      <c r="I11" s="1875"/>
      <c r="J11" s="1876"/>
      <c r="K11" s="1056"/>
      <c r="L11" s="1846" t="s">
        <v>1975</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3234</v>
      </c>
      <c r="B12" s="3013" t="s">
        <v>3235</v>
      </c>
      <c r="C12" s="3014">
        <v>1</v>
      </c>
      <c r="D12" s="3015" t="s">
        <v>3236</v>
      </c>
      <c r="E12" s="3016" t="s">
        <v>3237</v>
      </c>
      <c r="F12" s="3017"/>
      <c r="G12" s="3018"/>
      <c r="H12" s="3018"/>
      <c r="I12" s="3018"/>
      <c r="J12" s="3019"/>
      <c r="K12" s="1056"/>
      <c r="L12" s="1795" t="s">
        <v>1978</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3238</v>
      </c>
      <c r="B13" s="1877" t="s">
        <v>1976</v>
      </c>
      <c r="C13" s="711">
        <f>ROUND(C16*D16*E16*F16*G16*H16*I16*J16,4)</f>
        <v>0</v>
      </c>
      <c r="D13" s="1878" t="s">
        <v>1977</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1979</v>
      </c>
      <c r="C14" s="1883" t="s">
        <v>1980</v>
      </c>
      <c r="D14" s="1260" t="s">
        <v>1981</v>
      </c>
      <c r="E14" s="27" t="s">
        <v>1982</v>
      </c>
      <c r="F14" s="3020" t="s">
        <v>3239</v>
      </c>
      <c r="G14" s="3020" t="s">
        <v>3239</v>
      </c>
      <c r="H14" s="3020" t="s">
        <v>3239</v>
      </c>
      <c r="I14" s="3020" t="s">
        <v>3239</v>
      </c>
      <c r="J14" s="3020" t="s">
        <v>3239</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3240</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1983</v>
      </c>
      <c r="C16" s="3024"/>
      <c r="D16" s="3024"/>
      <c r="E16" s="3024"/>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3241</v>
      </c>
      <c r="B17" s="3027" t="s">
        <v>3242</v>
      </c>
      <c r="C17" s="3036">
        <f>ROUND(IF(OR(E2="工业",E2="公共服务"),1,IF(AND(E18=0,E19=0),1,IF(AND(E18=J24,E19=G19),0.8,IF(E19=0,1+E17*(-0.2),1+E17*G17*(-0.2))))),4)</f>
        <v>0.85199999999999998</v>
      </c>
      <c r="D17" s="3028" t="s">
        <v>3243</v>
      </c>
      <c r="E17" s="3036">
        <f>ROUND(G18/I18,2)</f>
        <v>0.74</v>
      </c>
      <c r="F17" s="3028" t="s">
        <v>3246</v>
      </c>
      <c r="G17" s="3036">
        <f>ROUND(E19/G19,2)</f>
        <v>1</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3244</v>
      </c>
      <c r="E18" s="2356">
        <v>20</v>
      </c>
      <c r="F18" s="3030" t="s">
        <v>3247</v>
      </c>
      <c r="G18" s="3034">
        <f>ROUND(1-(1/(POWER(1+G24,E18))),4)</f>
        <v>0.6573</v>
      </c>
      <c r="H18" s="3030" t="s">
        <v>3249</v>
      </c>
      <c r="I18" s="3034">
        <f>ROUND(1-(1/(POWER(1+G24,J24))),4)</f>
        <v>0.88249999999999995</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3245</v>
      </c>
      <c r="E19" s="3043">
        <f>'数据-基础表'!I13+'数据-基础表'!K13</f>
        <v>50377.97</v>
      </c>
      <c r="F19" s="3044" t="s">
        <v>3248</v>
      </c>
      <c r="G19" s="3043">
        <f>'数据-基础表'!I13+'数据-基础表'!K13</f>
        <v>50377.97</v>
      </c>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521" t="s">
        <v>3250</v>
      </c>
      <c r="B20" s="159" t="s">
        <v>1988</v>
      </c>
      <c r="C20" s="3031">
        <f>ROUND(IF(F21="与级别开发程度一致",0,(G21-E21)/C21),0)</f>
        <v>-20</v>
      </c>
      <c r="D20" s="3046" t="s">
        <v>1992</v>
      </c>
      <c r="E20" s="3047"/>
      <c r="F20" s="3527" t="s">
        <v>1989</v>
      </c>
      <c r="G20" s="3528"/>
      <c r="H20" s="3032" t="s">
        <v>6119</v>
      </c>
      <c r="I20" s="3032" t="s">
        <v>6120</v>
      </c>
      <c r="J20" s="3033" t="s">
        <v>6121</v>
      </c>
      <c r="K20" s="1888" t="s">
        <v>6122</v>
      </c>
      <c r="L20" s="1888" t="s">
        <v>6123</v>
      </c>
      <c r="M20" s="1888" t="s">
        <v>6124</v>
      </c>
      <c r="N20" s="1888" t="s">
        <v>6125</v>
      </c>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522"/>
      <c r="B21" s="2001" t="s">
        <v>1991</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6118</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1994</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1995</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5" t="s">
        <v>1996</v>
      </c>
      <c r="E23" s="717">
        <v>44197</v>
      </c>
      <c r="F23" s="1895" t="s">
        <v>1997</v>
      </c>
      <c r="G23" s="718">
        <f>'数据-取费表'!B2</f>
        <v>45604</v>
      </c>
      <c r="H23" s="3048" t="s">
        <v>3251</v>
      </c>
      <c r="I23" s="3049" t="str">
        <f>IF(H23="季度增幅（自定义）",SUMIF(N25:N28,E2,O25:O28),"")</f>
        <v/>
      </c>
      <c r="J23" s="3140" t="s">
        <v>6126</v>
      </c>
      <c r="K23" s="1061"/>
      <c r="L23" s="1896" t="s">
        <v>1998</v>
      </c>
      <c r="M23" s="1240">
        <f>ROUND(SUMIF(地价!B2:G2,E2,地价!B16:G16),0)</f>
        <v>350</v>
      </c>
      <c r="N23" s="1897" t="s">
        <v>1999</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2000</v>
      </c>
      <c r="C24" s="720">
        <f>ROUND(POWER(1+G24,J24-I24)*(POWER(1+G24,I24)-1)/(POWER(1+G24,J24)-1),4)</f>
        <v>0.93049999999999999</v>
      </c>
      <c r="D24" s="1901" t="s">
        <v>2001</v>
      </c>
      <c r="E24" s="1247">
        <f>存贷款利率!E27/100</f>
        <v>4.3499999999999997E-2</v>
      </c>
      <c r="F24" s="1901" t="s">
        <v>1993</v>
      </c>
      <c r="G24" s="724">
        <f>SUMIF(M30:Q30,E2,M33:Q33)</f>
        <v>5.5E-2</v>
      </c>
      <c r="H24" s="1901" t="s">
        <v>2002</v>
      </c>
      <c r="I24" s="725">
        <f>SUMIF('数据-取费表'!C6:C15,E2,'数据-取费表'!F6:F15)/COUNTIF('数据-取费表'!C6:C15,E2)</f>
        <v>32.15</v>
      </c>
      <c r="J24" s="726">
        <f>IF(E2="住宅",70,IF(E2="商业",40,50))</f>
        <v>40</v>
      </c>
      <c r="K24" s="1061"/>
      <c r="L24" s="1902" t="s">
        <v>2003</v>
      </c>
      <c r="M24" s="1241">
        <f>ROUND(SUMPRODUCT((地价!A4:A16=YEAR(G23)&amp;"-"&amp;ROUNDUP(MONTH(G23)/3,0))*(地价!B2:G2=E2)*(地价!B4:G16)),0)</f>
        <v>0</v>
      </c>
      <c r="N24" s="1903" t="s">
        <v>2004</v>
      </c>
      <c r="O24" s="1904" t="s">
        <v>2005</v>
      </c>
      <c r="P24" s="1905" t="s">
        <v>2006</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6127</v>
      </c>
      <c r="C25" s="461">
        <f>IF(B25="容积率修正",IF(G3&lt;10,D26,J26),C27)</f>
        <v>0.83850000000000002</v>
      </c>
      <c r="D25" s="1908"/>
      <c r="E25" s="1908"/>
      <c r="F25" s="1908"/>
      <c r="G25" s="1908"/>
      <c r="H25" s="1908"/>
      <c r="I25" s="1908"/>
      <c r="J25" s="1909"/>
      <c r="K25" s="1061"/>
      <c r="L25" s="2552"/>
      <c r="M25" s="2552"/>
      <c r="N25" s="1910" t="s">
        <v>2007</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2008</v>
      </c>
      <c r="B26" s="1911" t="s">
        <v>2009</v>
      </c>
      <c r="C26" s="1911" t="s">
        <v>3252</v>
      </c>
      <c r="D26" s="1262">
        <f>IF(E26=G26,F26,IF(G3&lt;10,ROUND(F26+(H26-F26)*(G3-E26)/(G26-E26),4),"——"))</f>
        <v>1.0427</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11" t="s">
        <v>3253</v>
      </c>
      <c r="J26" s="374" t="str">
        <f>IF(G3&gt;=10,D115,"——")</f>
        <v>——</v>
      </c>
      <c r="K26" s="1061"/>
      <c r="L26" s="2552"/>
      <c r="M26" s="2552"/>
      <c r="N26" s="1910" t="s">
        <v>2010</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2011</v>
      </c>
      <c r="B27" s="1912" t="s">
        <v>2012</v>
      </c>
      <c r="C27" s="791">
        <f>ROUND(IF(I3&lt;6,SUMPRODUCT((B106:B110=I3)*(C105:N105=G2)*(C106:N110)),SUMIF(C105:N105,G2,C112:N112)),4)</f>
        <v>0.83850000000000002</v>
      </c>
      <c r="D27" s="1841"/>
      <c r="E27" s="1841"/>
      <c r="F27" s="1913"/>
      <c r="G27" s="1914"/>
      <c r="H27" s="1915"/>
      <c r="I27" s="1916"/>
      <c r="J27" s="1917"/>
      <c r="K27" s="1056"/>
      <c r="L27" s="1843"/>
      <c r="M27" s="1843"/>
      <c r="N27" s="1910" t="s">
        <v>2013</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2014</v>
      </c>
      <c r="C28" s="716">
        <f>SUMIF(A47:A101,E2,B47:B101)</f>
        <v>1.0421</v>
      </c>
      <c r="D28" s="1893"/>
      <c r="E28" s="1918"/>
      <c r="F28" s="1918"/>
      <c r="G28" s="1918"/>
      <c r="H28" s="1918"/>
      <c r="I28" s="1918"/>
      <c r="J28" s="1919"/>
      <c r="K28" s="1061"/>
      <c r="L28" s="2552"/>
      <c r="M28" s="2552"/>
      <c r="N28" s="1920" t="s">
        <v>2015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2016</v>
      </c>
      <c r="C29" s="721"/>
      <c r="D29" s="1867"/>
      <c r="E29" s="1867"/>
      <c r="F29" s="1922"/>
      <c r="G29" s="1867"/>
      <c r="H29" s="1867"/>
      <c r="I29" s="1867"/>
      <c r="J29" s="1868"/>
      <c r="K29" s="1056"/>
      <c r="L29" s="1843"/>
      <c r="M29" s="1843"/>
      <c r="N29" s="2549" t="s">
        <v>2017</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2018</v>
      </c>
      <c r="C30" s="2144">
        <f>IF(B25="容积率修正",E33+SUM(E37:E42),SUM(V2:V16)+SUM(E37:E42))</f>
        <v>37676</v>
      </c>
      <c r="D30" s="1924"/>
      <c r="E30" s="1841"/>
      <c r="F30" s="1925"/>
      <c r="G30" s="1841"/>
      <c r="H30" s="1841"/>
      <c r="I30" s="1841"/>
      <c r="J30" s="1926"/>
      <c r="K30" s="1056"/>
      <c r="L30" s="3055" t="s">
        <v>1930</v>
      </c>
      <c r="M30" s="3056" t="s">
        <v>1984</v>
      </c>
      <c r="N30" s="3056" t="s">
        <v>1985</v>
      </c>
      <c r="O30" s="3056" t="s">
        <v>1986</v>
      </c>
      <c r="P30" s="3056" t="s">
        <v>1987</v>
      </c>
      <c r="Q30" s="3059" t="s">
        <v>3257</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2019</v>
      </c>
      <c r="C31" s="722">
        <f>E34+SUM(I37:I42)</f>
        <v>1248</v>
      </c>
      <c r="D31" s="1928"/>
      <c r="E31" s="1929"/>
      <c r="F31" s="1930"/>
      <c r="G31" s="1929"/>
      <c r="H31" s="1929"/>
      <c r="I31" s="1929"/>
      <c r="J31" s="1931"/>
      <c r="K31" s="1056"/>
      <c r="L31" s="3057" t="s">
        <v>1990</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2020</v>
      </c>
      <c r="C32" s="1934" t="s">
        <v>2021</v>
      </c>
      <c r="D32" s="1934" t="s">
        <v>2022</v>
      </c>
      <c r="E32" s="1935" t="s">
        <v>2023</v>
      </c>
      <c r="F32" s="1936"/>
      <c r="G32" s="1880"/>
      <c r="H32" s="1880"/>
      <c r="I32" s="1880"/>
      <c r="J32" s="1881"/>
      <c r="K32" s="1056"/>
      <c r="L32" s="3058" t="s">
        <v>1993</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2024</v>
      </c>
      <c r="C33" s="167">
        <f>ROUND(C5*C22*C23*C24*C25*C28,0)</f>
        <v>6043</v>
      </c>
      <c r="D33" s="1939">
        <f>'数据-基础表'!I13</f>
        <v>42863.29</v>
      </c>
      <c r="E33" s="727">
        <f>ROUND(C33*D33/10000,0)</f>
        <v>25902</v>
      </c>
      <c r="F33" s="3050" t="s">
        <v>3255</v>
      </c>
      <c r="G33" s="1940"/>
      <c r="H33" s="1940"/>
      <c r="I33" s="1940"/>
      <c r="J33" s="1941"/>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2025</v>
      </c>
      <c r="C34" s="179" t="e">
        <f>ROUND(IF(E2="工业",C33*M42,IF(B25="楼层修正",SUM(V2:V16)*M41*10000/D34,C33*M41)),0)</f>
        <v>#DIV/0!</v>
      </c>
      <c r="D34" s="1944"/>
      <c r="E34" s="727">
        <f>ROUND(IF(B25="楼层修正",SUM(V2:V16)*M40,C34*D34/10000),0)</f>
        <v>0</v>
      </c>
      <c r="F34" s="1945" t="s">
        <v>2026</v>
      </c>
      <c r="G34" s="1946"/>
      <c r="H34" s="1946"/>
      <c r="I34" s="1946"/>
      <c r="J34" s="1947"/>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2027</v>
      </c>
      <c r="C35" s="3051" t="s">
        <v>3256</v>
      </c>
      <c r="D35" s="1880"/>
      <c r="E35" s="1950"/>
      <c r="F35" s="1950"/>
      <c r="G35" s="1878" t="s">
        <v>2028</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2021</v>
      </c>
      <c r="D36" s="433" t="s">
        <v>2022</v>
      </c>
      <c r="E36" s="433" t="s">
        <v>2023</v>
      </c>
      <c r="F36" s="333" t="s">
        <v>2029</v>
      </c>
      <c r="G36" s="1953" t="s">
        <v>2021</v>
      </c>
      <c r="H36" s="1953" t="s">
        <v>2022</v>
      </c>
      <c r="I36" s="1953" t="s">
        <v>2023</v>
      </c>
      <c r="J36" s="235"/>
      <c r="K36" s="1963" t="s">
        <v>3260</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25"/>
      <c r="B37" s="1954" t="s">
        <v>2030</v>
      </c>
      <c r="C37" s="167">
        <f>ROUND(D5*C22*C23*C24*C28*F37,0)</f>
        <v>4324</v>
      </c>
      <c r="D37" s="1939">
        <f>'数据-基础表'!K13</f>
        <v>7514.68</v>
      </c>
      <c r="E37" s="163">
        <f>ROUND(C37*D37/10000,0)</f>
        <v>3249</v>
      </c>
      <c r="F37" s="163">
        <f>SUMIF(修正!A57:A68,G2,修正!B57:B68)</f>
        <v>0.6</v>
      </c>
      <c r="G37" s="163">
        <f>ROUND(IF(E2="工业",C37*$M$42,C37*$M$41),0)</f>
        <v>1081</v>
      </c>
      <c r="H37" s="163">
        <f>D37</f>
        <v>7514.68</v>
      </c>
      <c r="I37" s="163">
        <f>ROUND(G37*H37/10000,0)</f>
        <v>812</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26"/>
      <c r="B38" s="1883" t="s">
        <v>2031</v>
      </c>
      <c r="C38" s="167">
        <f>ROUND(D5*C22*C23*C24*C28*F38,0)</f>
        <v>2162</v>
      </c>
      <c r="D38" s="1939"/>
      <c r="E38" s="163">
        <f t="shared" ref="E38:E42" si="4">ROUND(C38*D38/10000,0)</f>
        <v>0</v>
      </c>
      <c r="F38" s="163">
        <f>SUMIF(修正!A57:A68,G2,修正!C57:C68)</f>
        <v>0.3</v>
      </c>
      <c r="G38" s="163">
        <f>ROUND(IF(E2="工业",C38*$M$42,C38*$M$41),0)</f>
        <v>541</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26"/>
      <c r="B39" s="1883" t="s">
        <v>3254</v>
      </c>
      <c r="C39" s="167">
        <f>ROUND(D5*C22*C23*C24*C28*F39,0)</f>
        <v>1802</v>
      </c>
      <c r="D39" s="1939"/>
      <c r="E39" s="163">
        <f t="shared" si="4"/>
        <v>0</v>
      </c>
      <c r="F39" s="163">
        <f>SUMIF(修正!A57:A68,G2,修正!D57:D68)</f>
        <v>0.25</v>
      </c>
      <c r="G39" s="163">
        <f>ROUND(IF(E2="工业",C39*$M$42,C39*$M$41),0)</f>
        <v>451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2032</v>
      </c>
      <c r="C40" s="163">
        <f>ROUND(D5*C22*C23*C24*C28*F40,0)</f>
        <v>1802</v>
      </c>
      <c r="D40" s="1939"/>
      <c r="E40" s="163">
        <f t="shared" si="4"/>
        <v>0</v>
      </c>
      <c r="F40" s="167">
        <f>SUMIF(修正!A57:A68,G2,修正!E57:E68)</f>
        <v>0.25</v>
      </c>
      <c r="G40" s="163">
        <f>ROUND(IF(E2="工业",C40*$M$42,C40*$M$41),0)</f>
        <v>451</v>
      </c>
      <c r="H40" s="163">
        <f t="shared" si="5"/>
        <v>0</v>
      </c>
      <c r="I40" s="163">
        <f t="shared" si="6"/>
        <v>0</v>
      </c>
      <c r="J40" s="939"/>
      <c r="L40" s="1956" t="s">
        <v>2033</v>
      </c>
      <c r="M40" s="1957"/>
      <c r="Z40" s="1057"/>
      <c r="AA40" s="1057"/>
      <c r="AB40" s="1057"/>
      <c r="AC40" s="1057"/>
      <c r="AD40" s="1057"/>
      <c r="AE40" s="1057"/>
      <c r="AF40" s="1057"/>
      <c r="AG40" s="1057"/>
      <c r="AH40" s="1057"/>
      <c r="AI40" s="1057"/>
      <c r="AJ40" s="1057"/>
    </row>
    <row r="41" spans="1:37" s="1056" customFormat="1">
      <c r="A41" s="1955"/>
      <c r="B41" s="1883" t="s">
        <v>2034</v>
      </c>
      <c r="C41" s="163">
        <f>ROUND(D5*C22*C23*C44*C28*F41,0)</f>
        <v>1861</v>
      </c>
      <c r="D41" s="1939"/>
      <c r="E41" s="163">
        <f t="shared" si="4"/>
        <v>0</v>
      </c>
      <c r="F41" s="167">
        <f>SUMIF(修正!A57:A68,G2,修正!F57:F68)</f>
        <v>0.25</v>
      </c>
      <c r="G41" s="163">
        <f>ROUND(IF(E2="工业",C41*$M$42,C41*$M$41),0)</f>
        <v>465</v>
      </c>
      <c r="H41" s="163">
        <f t="shared" si="5"/>
        <v>0</v>
      </c>
      <c r="I41" s="163">
        <f t="shared" si="6"/>
        <v>0</v>
      </c>
      <c r="J41" s="939"/>
      <c r="L41" s="3062" t="s">
        <v>3262</v>
      </c>
      <c r="M41" s="1958">
        <v>0.25</v>
      </c>
      <c r="Z41" s="1057"/>
      <c r="AA41" s="1057"/>
      <c r="AB41" s="1057"/>
      <c r="AC41" s="1057"/>
      <c r="AD41" s="1057"/>
      <c r="AE41" s="1057"/>
      <c r="AF41" s="1057"/>
      <c r="AG41" s="1057"/>
      <c r="AH41" s="1057"/>
      <c r="AI41" s="1057"/>
      <c r="AJ41" s="1057"/>
    </row>
    <row r="42" spans="1:37" s="1056" customFormat="1" ht="13.5" thickBot="1">
      <c r="A42" s="1942"/>
      <c r="B42" s="1959" t="s">
        <v>2035</v>
      </c>
      <c r="C42" s="179">
        <f>ROUND(D5*C22*C23*C44*C28*F42,0)</f>
        <v>1117</v>
      </c>
      <c r="D42" s="1944">
        <f>'数据-基础表'!M13</f>
        <v>15639.329999999913</v>
      </c>
      <c r="E42" s="179">
        <f t="shared" si="4"/>
        <v>1747</v>
      </c>
      <c r="F42" s="723">
        <f>SUMIF(修正!A57:A68,G2,修正!G57:G68)</f>
        <v>0.15</v>
      </c>
      <c r="G42" s="179">
        <f>ROUND(IF(E2="工业",C42*$M$42,C42*$M$41),0)</f>
        <v>279</v>
      </c>
      <c r="H42" s="179">
        <f t="shared" si="5"/>
        <v>15639.329999999913</v>
      </c>
      <c r="I42" s="179">
        <f t="shared" si="6"/>
        <v>436</v>
      </c>
      <c r="J42" s="1960"/>
      <c r="L42" s="1961" t="s">
        <v>1987</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2116</v>
      </c>
      <c r="C44" s="333">
        <f>ROUND(POWER(1+E44,H44-G44)*(POWER(1+E44,G44)-1)/(POWER(1+E44,H44)-1),4)</f>
        <v>0.96140000000000003</v>
      </c>
      <c r="D44" s="163" t="s">
        <v>1993</v>
      </c>
      <c r="E44" s="1990">
        <f>G24</f>
        <v>5.5E-2</v>
      </c>
      <c r="F44" s="163" t="s">
        <v>2002</v>
      </c>
      <c r="G44" s="175">
        <f>项目基本情况!F15</f>
        <v>42.15</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2036</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2037</v>
      </c>
      <c r="B48" s="1967">
        <f>1+E50</f>
        <v>1.0421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2038</v>
      </c>
      <c r="B49" s="1261" t="s">
        <v>2039</v>
      </c>
      <c r="C49" s="1261" t="s">
        <v>2040</v>
      </c>
      <c r="D49" s="1261" t="s">
        <v>2041</v>
      </c>
      <c r="E49" s="701" t="s">
        <v>2042</v>
      </c>
      <c r="F49" s="1970" t="s">
        <v>2043</v>
      </c>
      <c r="G49" s="1261" t="s">
        <v>310</v>
      </c>
      <c r="H49" s="1971" t="s">
        <v>2044</v>
      </c>
      <c r="I49" s="1261" t="s">
        <v>2045</v>
      </c>
      <c r="J49" s="530" t="s">
        <v>1716</v>
      </c>
      <c r="K49" s="530" t="s">
        <v>1717</v>
      </c>
      <c r="L49" s="530" t="s">
        <v>1718</v>
      </c>
      <c r="M49" s="530" t="s">
        <v>1719</v>
      </c>
      <c r="N49" s="530" t="s">
        <v>1720</v>
      </c>
      <c r="AA49" s="1057"/>
      <c r="AB49" s="1057"/>
      <c r="AC49" s="1057"/>
      <c r="AD49" s="1057"/>
      <c r="AE49" s="1057"/>
      <c r="AF49" s="1057"/>
      <c r="AG49" s="1057"/>
      <c r="AH49" s="1057"/>
      <c r="AI49" s="1057"/>
      <c r="AJ49" s="1057"/>
      <c r="AK49" s="1057"/>
    </row>
    <row r="50" spans="1:37" s="1056" customFormat="1" ht="38.25">
      <c r="A50" s="1969" t="s">
        <v>2046</v>
      </c>
      <c r="B50" s="1972" t="str">
        <f>估价对象房地状况!C4</f>
        <v>估价对象位于XX商圈，周边商业氛围成熟，人流量大，商业繁华度好</v>
      </c>
      <c r="C50" s="1886" t="s">
        <v>4347</v>
      </c>
      <c r="D50" s="1002">
        <f t="shared" ref="D50:D58" si="7">SUMIF($J$49:$N$49,C50,J50:N50)</f>
        <v>0</v>
      </c>
      <c r="E50" s="702">
        <f>ROUND(SUM(D50:D58),4)</f>
        <v>4.2099999999999999E-2</v>
      </c>
      <c r="F50" s="1674">
        <f>IF(E2="商业",SUMIF(L1:L12,G2,N1:N12),"——")</f>
        <v>0.13</v>
      </c>
      <c r="G50" s="1000">
        <f>H50</f>
        <v>1.95E-2</v>
      </c>
      <c r="H50" s="1003">
        <f t="shared" ref="H50:H58" si="8">IFERROR(ROUNDDOWN($F$50*I50/2,4),"——")</f>
        <v>1.95E-2</v>
      </c>
      <c r="I50" s="3068">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38.25">
      <c r="A51" s="1969" t="s">
        <v>2047</v>
      </c>
      <c r="B51" s="1261" t="str">
        <f>估价对象房地状况!C18</f>
        <v>估价对象周边道路状况、公共交通通达情况、停车便捷程度，综合评价交通便捷度较好</v>
      </c>
      <c r="C51" s="1886" t="s">
        <v>4348</v>
      </c>
      <c r="D51" s="1002">
        <f t="shared" si="7"/>
        <v>1.43E-2</v>
      </c>
      <c r="E51" s="703"/>
      <c r="F51" s="1674"/>
      <c r="G51" s="1000">
        <f t="shared" ref="G51:G58" si="12">H51</f>
        <v>1.43E-2</v>
      </c>
      <c r="H51" s="1003">
        <f t="shared" si="8"/>
        <v>1.43E-2</v>
      </c>
      <c r="I51" s="3068">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0" t="s">
        <v>3264</v>
      </c>
      <c r="B52" s="1261">
        <f>估价对象房地状况!C19</f>
        <v>0</v>
      </c>
      <c r="C52" s="1886" t="s">
        <v>4348</v>
      </c>
      <c r="D52" s="1002">
        <f t="shared" si="7"/>
        <v>7.7999999999999996E-3</v>
      </c>
      <c r="E52" s="703"/>
      <c r="F52" s="1674"/>
      <c r="G52" s="1000">
        <f t="shared" si="12"/>
        <v>7.7999999999999996E-3</v>
      </c>
      <c r="H52" s="1003">
        <f t="shared" si="8"/>
        <v>7.7999999999999996E-3</v>
      </c>
      <c r="I52" s="3068">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69" t="s">
        <v>2048</v>
      </c>
      <c r="B53" s="1973" t="s">
        <v>2049</v>
      </c>
      <c r="C53" s="1886" t="s">
        <v>4348</v>
      </c>
      <c r="D53" s="1002">
        <f t="shared" si="7"/>
        <v>3.2000000000000002E-3</v>
      </c>
      <c r="E53" s="703"/>
      <c r="F53" s="1674"/>
      <c r="G53" s="1000">
        <f t="shared" si="12"/>
        <v>3.2000000000000002E-3</v>
      </c>
      <c r="H53" s="1003">
        <f t="shared" si="8"/>
        <v>3.2000000000000002E-3</v>
      </c>
      <c r="I53" s="3068">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69" t="s">
        <v>2050</v>
      </c>
      <c r="B54" s="1261">
        <f>估价对象房地状况!C24</f>
        <v>0</v>
      </c>
      <c r="C54" s="1886" t="s">
        <v>4348</v>
      </c>
      <c r="D54" s="1002">
        <f t="shared" si="7"/>
        <v>5.1999999999999998E-3</v>
      </c>
      <c r="E54" s="703"/>
      <c r="F54" s="1674"/>
      <c r="G54" s="1000">
        <f t="shared" si="12"/>
        <v>5.1999999999999998E-3</v>
      </c>
      <c r="H54" s="1003">
        <f t="shared" si="8"/>
        <v>5.1999999999999998E-3</v>
      </c>
      <c r="I54" s="3068">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69" t="s">
        <v>2051</v>
      </c>
      <c r="B55" s="1974" t="s">
        <v>2052</v>
      </c>
      <c r="C55" s="1886" t="s">
        <v>4348</v>
      </c>
      <c r="D55" s="1002">
        <f t="shared" si="7"/>
        <v>3.2000000000000002E-3</v>
      </c>
      <c r="E55" s="703"/>
      <c r="F55" s="1674"/>
      <c r="G55" s="1000">
        <f t="shared" si="12"/>
        <v>3.2000000000000002E-3</v>
      </c>
      <c r="H55" s="1003">
        <f t="shared" si="8"/>
        <v>3.2000000000000002E-3</v>
      </c>
      <c r="I55" s="3068">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5.5">
      <c r="A56" s="1975" t="s">
        <v>2053</v>
      </c>
      <c r="B56" s="1239" t="str">
        <f>估价对象房地状况!C21</f>
        <v>估价对象所在区域公共配套设施齐备情况</v>
      </c>
      <c r="C56" s="1886" t="s">
        <v>4347</v>
      </c>
      <c r="D56" s="1002">
        <f t="shared" si="7"/>
        <v>0</v>
      </c>
      <c r="E56" s="703"/>
      <c r="F56" s="1674"/>
      <c r="G56" s="1000">
        <f t="shared" si="12"/>
        <v>3.2000000000000002E-3</v>
      </c>
      <c r="H56" s="1003">
        <f t="shared" si="8"/>
        <v>3.2000000000000002E-3</v>
      </c>
      <c r="I56" s="3068">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5.5">
      <c r="A57" s="1975" t="s">
        <v>2054</v>
      </c>
      <c r="B57" s="1261" t="str">
        <f>估价对象房地状况!C22</f>
        <v>估价对象所在区域基础设施水平</v>
      </c>
      <c r="C57" s="1886" t="s">
        <v>4348</v>
      </c>
      <c r="D57" s="1002">
        <f t="shared" si="7"/>
        <v>5.1999999999999998E-3</v>
      </c>
      <c r="E57" s="703"/>
      <c r="F57" s="1674"/>
      <c r="G57" s="1000">
        <f t="shared" si="12"/>
        <v>5.1999999999999998E-3</v>
      </c>
      <c r="H57" s="1003">
        <f t="shared" si="8"/>
        <v>5.1999999999999998E-3</v>
      </c>
      <c r="I57" s="3068">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6.25" thickBot="1">
      <c r="A58" s="1976" t="s">
        <v>2055</v>
      </c>
      <c r="B58" s="1977" t="str">
        <f>估价对象房地状况!C20</f>
        <v>区域自然环境：；人文环境；综合评价环境状况一般</v>
      </c>
      <c r="C58" s="1886" t="s">
        <v>4348</v>
      </c>
      <c r="D58" s="1002">
        <f t="shared" si="7"/>
        <v>3.2000000000000002E-3</v>
      </c>
      <c r="E58" s="704"/>
      <c r="F58" s="1674"/>
      <c r="G58" s="1000">
        <f t="shared" si="12"/>
        <v>3.2000000000000002E-3</v>
      </c>
      <c r="H58" s="1003">
        <f t="shared" si="8"/>
        <v>3.2000000000000002E-3</v>
      </c>
      <c r="I58" s="3069">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6" t="s">
        <v>2056</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2038</v>
      </c>
      <c r="B60" s="1261"/>
      <c r="C60" s="1261" t="s">
        <v>2040</v>
      </c>
      <c r="D60" s="1261" t="s">
        <v>2041</v>
      </c>
      <c r="E60" s="701" t="s">
        <v>2042</v>
      </c>
      <c r="F60" s="1970" t="s">
        <v>2057</v>
      </c>
      <c r="G60" s="1261" t="s">
        <v>310</v>
      </c>
      <c r="H60" s="1971" t="s">
        <v>2044</v>
      </c>
      <c r="I60" s="1261" t="s">
        <v>2045</v>
      </c>
      <c r="J60" s="530" t="s">
        <v>1716</v>
      </c>
      <c r="K60" s="530" t="s">
        <v>1717</v>
      </c>
      <c r="L60" s="530" t="s">
        <v>1718</v>
      </c>
      <c r="M60" s="530" t="s">
        <v>1719</v>
      </c>
      <c r="N60" s="530" t="s">
        <v>1720</v>
      </c>
      <c r="AA60" s="1057"/>
      <c r="AB60" s="1057"/>
      <c r="AC60" s="1057"/>
      <c r="AD60" s="1057"/>
      <c r="AE60" s="1057"/>
      <c r="AF60" s="1057"/>
      <c r="AG60" s="1057"/>
      <c r="AH60" s="1057"/>
      <c r="AI60" s="1057"/>
      <c r="AJ60" s="1057"/>
      <c r="AK60" s="1057"/>
    </row>
    <row r="61" spans="1:37" s="1056" customFormat="1" ht="38.25">
      <c r="A61" s="1969" t="s">
        <v>2058</v>
      </c>
      <c r="B61" s="1972" t="str">
        <f>估价对象房地状况!C17</f>
        <v>估价对象位于XX商圈，周边办公楼项目较多，入驻率高，办公集聚程度较好</v>
      </c>
      <c r="C61" s="1886"/>
      <c r="D61" s="1002">
        <f t="shared" ref="D61:D69" si="13">SUMIF($J$60:$N$60,C61,J61:N61)</f>
        <v>0</v>
      </c>
      <c r="E61" s="702">
        <f>ROUND(SUM(D61:D69),4)</f>
        <v>0</v>
      </c>
      <c r="F61" s="1674" t="str">
        <f>IF(E2="办公",SUMIF(L1:L12,G2,N1:N12),"——")</f>
        <v>——</v>
      </c>
      <c r="G61" s="1000"/>
      <c r="H61" s="1003" t="str">
        <f t="shared" ref="H61:H69" si="14">IFERROR(ROUNDDOWN($F$61*I61/2,4),"——")</f>
        <v>——</v>
      </c>
      <c r="I61" s="3068">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69" t="s">
        <v>2047</v>
      </c>
      <c r="B62" s="1261" t="str">
        <f>估价对象房地状况!C18</f>
        <v>估价对象周边道路状况、公共交通通达情况、停车便捷程度，综合评价交通便捷度较好</v>
      </c>
      <c r="C62" s="1886"/>
      <c r="D62" s="1002">
        <f t="shared" si="13"/>
        <v>0</v>
      </c>
      <c r="E62" s="703"/>
      <c r="F62" s="1674"/>
      <c r="G62" s="1000"/>
      <c r="H62" s="1003" t="str">
        <f t="shared" si="14"/>
        <v>——</v>
      </c>
      <c r="I62" s="3068">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0" t="s">
        <v>3264</v>
      </c>
      <c r="B63" s="1261">
        <f>估价对象房地状况!C19</f>
        <v>0</v>
      </c>
      <c r="C63" s="1886"/>
      <c r="D63" s="1002">
        <f t="shared" si="13"/>
        <v>0</v>
      </c>
      <c r="E63" s="703"/>
      <c r="F63" s="1674"/>
      <c r="G63" s="1000"/>
      <c r="H63" s="1003" t="str">
        <f t="shared" si="14"/>
        <v>——</v>
      </c>
      <c r="I63" s="3068">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69" t="s">
        <v>2048</v>
      </c>
      <c r="B64" s="1973" t="s">
        <v>2049</v>
      </c>
      <c r="C64" s="1886"/>
      <c r="D64" s="1002">
        <f t="shared" si="13"/>
        <v>0</v>
      </c>
      <c r="E64" s="703"/>
      <c r="F64" s="1674"/>
      <c r="G64" s="1000"/>
      <c r="H64" s="1003" t="str">
        <f t="shared" si="14"/>
        <v>——</v>
      </c>
      <c r="I64" s="3068">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69" t="s">
        <v>2050</v>
      </c>
      <c r="B65" s="1261">
        <f>估价对象房地状况!C24</f>
        <v>0</v>
      </c>
      <c r="C65" s="1886"/>
      <c r="D65" s="1002">
        <f t="shared" si="13"/>
        <v>0</v>
      </c>
      <c r="E65" s="703"/>
      <c r="F65" s="1674"/>
      <c r="G65" s="1000"/>
      <c r="H65" s="1003" t="str">
        <f t="shared" si="14"/>
        <v>——</v>
      </c>
      <c r="I65" s="3068">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69" t="s">
        <v>2051</v>
      </c>
      <c r="B66" s="1974" t="s">
        <v>2052</v>
      </c>
      <c r="C66" s="1886"/>
      <c r="D66" s="1002">
        <f t="shared" si="13"/>
        <v>0</v>
      </c>
      <c r="E66" s="703"/>
      <c r="F66" s="1674"/>
      <c r="G66" s="1000"/>
      <c r="H66" s="1003" t="str">
        <f t="shared" si="14"/>
        <v>——</v>
      </c>
      <c r="I66" s="3068">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69" t="s">
        <v>2053</v>
      </c>
      <c r="B67" s="1239" t="str">
        <f>估价对象房地状况!C21</f>
        <v>估价对象所在区域公共配套设施齐备情况</v>
      </c>
      <c r="C67" s="1886"/>
      <c r="D67" s="1002">
        <f t="shared" si="13"/>
        <v>0</v>
      </c>
      <c r="E67" s="703"/>
      <c r="F67" s="1674"/>
      <c r="G67" s="1000"/>
      <c r="H67" s="1003" t="str">
        <f t="shared" si="14"/>
        <v>——</v>
      </c>
      <c r="I67" s="3068">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69" t="s">
        <v>2054</v>
      </c>
      <c r="B68" s="1239" t="str">
        <f>估价对象房地状况!C22</f>
        <v>估价对象所在区域基础设施水平</v>
      </c>
      <c r="C68" s="1886"/>
      <c r="D68" s="1002">
        <f t="shared" si="13"/>
        <v>0</v>
      </c>
      <c r="E68" s="703"/>
      <c r="F68" s="1674"/>
      <c r="G68" s="1000"/>
      <c r="H68" s="1003" t="str">
        <f t="shared" si="14"/>
        <v>——</v>
      </c>
      <c r="I68" s="3068">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6" t="s">
        <v>2055</v>
      </c>
      <c r="B69" s="1978" t="str">
        <f>估价对象房地状况!C20</f>
        <v>区域自然环境：；人文环境；综合评价环境状况一般</v>
      </c>
      <c r="C69" s="1886"/>
      <c r="D69" s="1002">
        <f t="shared" si="13"/>
        <v>0</v>
      </c>
      <c r="E69" s="704"/>
      <c r="F69" s="1674"/>
      <c r="G69" s="1000"/>
      <c r="H69" s="1003" t="str">
        <f t="shared" si="14"/>
        <v>——</v>
      </c>
      <c r="I69" s="3069">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6" t="s">
        <v>2059</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2038</v>
      </c>
      <c r="B71" s="1261"/>
      <c r="C71" s="1261" t="s">
        <v>2040</v>
      </c>
      <c r="D71" s="1261" t="s">
        <v>2041</v>
      </c>
      <c r="E71" s="701" t="s">
        <v>2042</v>
      </c>
      <c r="F71" s="1970" t="s">
        <v>2057</v>
      </c>
      <c r="G71" s="1261" t="s">
        <v>310</v>
      </c>
      <c r="H71" s="1971" t="s">
        <v>2044</v>
      </c>
      <c r="I71" s="1261" t="s">
        <v>2045</v>
      </c>
      <c r="J71" s="530" t="s">
        <v>1716</v>
      </c>
      <c r="K71" s="530" t="s">
        <v>1717</v>
      </c>
      <c r="L71" s="530" t="s">
        <v>1718</v>
      </c>
      <c r="M71" s="530" t="s">
        <v>1719</v>
      </c>
      <c r="N71" s="530" t="s">
        <v>1720</v>
      </c>
      <c r="AA71" s="1057"/>
      <c r="AB71" s="1057"/>
      <c r="AC71" s="1057"/>
      <c r="AD71" s="1057"/>
      <c r="AE71" s="1057"/>
      <c r="AF71" s="1057"/>
      <c r="AG71" s="1057"/>
      <c r="AH71" s="1057"/>
      <c r="AI71" s="1057"/>
      <c r="AJ71" s="1057"/>
      <c r="AK71" s="1057"/>
    </row>
    <row r="72" spans="1:37" s="1056" customFormat="1" ht="51">
      <c r="A72" s="1969" t="s">
        <v>2060</v>
      </c>
      <c r="B72" s="1972" t="str">
        <f>估价对象房地状况!C15</f>
        <v>估价对象周边居住用地比例、居住小区规模和社区发展完善程度，综合评价居住社区成熟度一般</v>
      </c>
      <c r="C72" s="1886"/>
      <c r="D72" s="1002">
        <f t="shared" ref="D72:D80" si="18">SUMIF($J$71:$N$71,C72,J72:N72)</f>
        <v>0</v>
      </c>
      <c r="E72" s="702">
        <f>ROUND(SUM(D72:D80),4)</f>
        <v>0</v>
      </c>
      <c r="F72" s="1674"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69" t="s">
        <v>2047</v>
      </c>
      <c r="B73" s="1261" t="str">
        <f>估价对象房地状况!C18</f>
        <v>估价对象周边道路状况、公共交通通达情况、停车便捷程度，综合评价交通便捷度较好</v>
      </c>
      <c r="C73" s="1886"/>
      <c r="D73" s="1002">
        <f t="shared" si="18"/>
        <v>0</v>
      </c>
      <c r="E73" s="705"/>
      <c r="F73" s="1674"/>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3" customFormat="1" ht="36">
      <c r="A74" s="3070" t="s">
        <v>3264</v>
      </c>
      <c r="B74" s="1261">
        <f>估价对象房地状况!C19</f>
        <v>0</v>
      </c>
      <c r="C74" s="1886"/>
      <c r="D74" s="1002">
        <f t="shared" si="18"/>
        <v>0</v>
      </c>
      <c r="E74" s="705"/>
      <c r="F74" s="1674"/>
      <c r="G74" s="1000"/>
      <c r="H74" s="1003" t="str">
        <f t="shared" si="19"/>
        <v>——</v>
      </c>
      <c r="I74" s="3068">
        <v>0.1</v>
      </c>
      <c r="J74" s="1001">
        <f t="shared" si="20"/>
        <v>0</v>
      </c>
      <c r="K74" s="1001">
        <f t="shared" si="21"/>
        <v>0</v>
      </c>
      <c r="L74" s="1001">
        <v>0</v>
      </c>
      <c r="M74" s="1001">
        <f t="shared" si="22"/>
        <v>0</v>
      </c>
      <c r="N74" s="1001">
        <f t="shared" si="22"/>
        <v>0</v>
      </c>
      <c r="O74" s="1056"/>
      <c r="P74" s="1056"/>
      <c r="Q74" s="1056"/>
      <c r="AA74" s="1979"/>
      <c r="AB74" s="1057"/>
      <c r="AC74" s="1057"/>
      <c r="AD74" s="1057"/>
      <c r="AE74" s="1057"/>
      <c r="AF74" s="1057"/>
      <c r="AG74" s="1057"/>
      <c r="AH74" s="1979"/>
      <c r="AI74" s="1979"/>
      <c r="AJ74" s="1979"/>
      <c r="AK74" s="1979"/>
    </row>
    <row r="75" spans="1:37" ht="14.25">
      <c r="A75" s="1969" t="s">
        <v>2061</v>
      </c>
      <c r="B75" s="1261">
        <f>估价对象房地状况!C24</f>
        <v>0</v>
      </c>
      <c r="C75" s="1886"/>
      <c r="D75" s="1002">
        <f t="shared" si="18"/>
        <v>0</v>
      </c>
      <c r="E75" s="705"/>
      <c r="F75" s="1674"/>
      <c r="G75" s="1000"/>
      <c r="H75" s="1003" t="str">
        <f t="shared" si="19"/>
        <v>——</v>
      </c>
      <c r="I75" s="3068">
        <v>0.05</v>
      </c>
      <c r="J75" s="1001">
        <f t="shared" si="20"/>
        <v>0</v>
      </c>
      <c r="K75" s="1001">
        <f t="shared" si="21"/>
        <v>0</v>
      </c>
      <c r="L75" s="1001">
        <v>0</v>
      </c>
      <c r="M75" s="1001">
        <f t="shared" si="22"/>
        <v>0</v>
      </c>
      <c r="N75" s="1001">
        <f t="shared" si="22"/>
        <v>0</v>
      </c>
      <c r="O75" s="1056"/>
      <c r="P75" s="1056"/>
      <c r="Q75" s="1843"/>
      <c r="Z75" s="1844"/>
      <c r="AA75" s="1894"/>
      <c r="AG75" s="1058"/>
      <c r="AK75" s="1894"/>
    </row>
    <row r="76" spans="1:37" ht="25.5">
      <c r="A76" s="1969" t="s">
        <v>2053</v>
      </c>
      <c r="B76" s="1239" t="str">
        <f>估价对象房地状况!C21</f>
        <v>估价对象所在区域公共配套设施齐备情况</v>
      </c>
      <c r="C76" s="1886"/>
      <c r="D76" s="1002">
        <f t="shared" si="18"/>
        <v>0</v>
      </c>
      <c r="E76" s="705"/>
      <c r="F76" s="1674"/>
      <c r="G76" s="1000"/>
      <c r="H76" s="1003" t="str">
        <f t="shared" si="19"/>
        <v>——</v>
      </c>
      <c r="I76" s="3068">
        <v>0.08</v>
      </c>
      <c r="J76" s="1001">
        <f t="shared" si="20"/>
        <v>0</v>
      </c>
      <c r="K76" s="1001">
        <f t="shared" si="21"/>
        <v>0</v>
      </c>
      <c r="L76" s="1001">
        <v>0</v>
      </c>
      <c r="M76" s="1001">
        <f t="shared" si="22"/>
        <v>0</v>
      </c>
      <c r="N76" s="1001">
        <f t="shared" si="22"/>
        <v>0</v>
      </c>
      <c r="O76" s="1056"/>
      <c r="P76" s="1056"/>
      <c r="Z76" s="1844"/>
      <c r="AA76" s="1894"/>
      <c r="AG76" s="1058"/>
      <c r="AK76" s="1894"/>
    </row>
    <row r="77" spans="1:37" ht="25.5">
      <c r="A77" s="1969" t="s">
        <v>2054</v>
      </c>
      <c r="B77" s="1239" t="str">
        <f>估价对象房地状况!C22</f>
        <v>估价对象所在区域基础设施水平</v>
      </c>
      <c r="C77" s="1886"/>
      <c r="D77" s="1002">
        <f t="shared" si="18"/>
        <v>0</v>
      </c>
      <c r="E77" s="705"/>
      <c r="F77" s="1674"/>
      <c r="G77" s="1000"/>
      <c r="H77" s="1003" t="str">
        <f t="shared" si="19"/>
        <v>——</v>
      </c>
      <c r="I77" s="3068">
        <v>0.09</v>
      </c>
      <c r="J77" s="1001">
        <f t="shared" si="20"/>
        <v>0</v>
      </c>
      <c r="K77" s="1001">
        <f t="shared" si="21"/>
        <v>0</v>
      </c>
      <c r="L77" s="1001">
        <v>0</v>
      </c>
      <c r="M77" s="1001">
        <f t="shared" si="22"/>
        <v>0</v>
      </c>
      <c r="N77" s="1001">
        <f t="shared" si="22"/>
        <v>0</v>
      </c>
      <c r="O77" s="1056"/>
      <c r="P77" s="1056"/>
      <c r="Z77" s="1844"/>
      <c r="AA77" s="1894"/>
      <c r="AG77" s="1058"/>
      <c r="AK77" s="1894"/>
    </row>
    <row r="78" spans="1:37" ht="24">
      <c r="A78" s="1969" t="s">
        <v>2051</v>
      </c>
      <c r="B78" s="1974" t="s">
        <v>2052</v>
      </c>
      <c r="C78" s="1886"/>
      <c r="D78" s="1002">
        <f t="shared" si="18"/>
        <v>0</v>
      </c>
      <c r="E78" s="705"/>
      <c r="F78" s="1674"/>
      <c r="G78" s="1000"/>
      <c r="H78" s="1003" t="str">
        <f t="shared" si="19"/>
        <v>——</v>
      </c>
      <c r="I78" s="3068">
        <v>0.05</v>
      </c>
      <c r="J78" s="1001">
        <f t="shared" si="20"/>
        <v>0</v>
      </c>
      <c r="K78" s="1001">
        <f t="shared" si="21"/>
        <v>0</v>
      </c>
      <c r="L78" s="1001">
        <v>0</v>
      </c>
      <c r="M78" s="1001">
        <f t="shared" si="22"/>
        <v>0</v>
      </c>
      <c r="N78" s="1001">
        <f t="shared" si="22"/>
        <v>0</v>
      </c>
      <c r="O78" s="1843"/>
      <c r="P78" s="1843"/>
      <c r="Z78" s="1844"/>
      <c r="AA78" s="1894"/>
      <c r="AG78" s="1058"/>
      <c r="AK78" s="1894"/>
    </row>
    <row r="79" spans="1:37" ht="25.5">
      <c r="A79" s="1969" t="s">
        <v>2055</v>
      </c>
      <c r="B79" s="1972" t="str">
        <f>估价对象房地状况!C20</f>
        <v>区域自然环境：；人文环境；综合评价环境状况一般</v>
      </c>
      <c r="C79" s="1886"/>
      <c r="D79" s="1002">
        <f t="shared" si="18"/>
        <v>0</v>
      </c>
      <c r="E79" s="705"/>
      <c r="F79" s="1674"/>
      <c r="G79" s="1000"/>
      <c r="H79" s="1003" t="str">
        <f t="shared" si="19"/>
        <v>——</v>
      </c>
      <c r="I79" s="3068">
        <v>0.12</v>
      </c>
      <c r="J79" s="1001">
        <f t="shared" si="20"/>
        <v>0</v>
      </c>
      <c r="K79" s="1001">
        <f t="shared" si="21"/>
        <v>0</v>
      </c>
      <c r="L79" s="1001">
        <v>0</v>
      </c>
      <c r="M79" s="1001">
        <f t="shared" si="22"/>
        <v>0</v>
      </c>
      <c r="N79" s="1001">
        <f t="shared" si="22"/>
        <v>0</v>
      </c>
      <c r="Z79" s="1844"/>
      <c r="AA79" s="1894"/>
      <c r="AG79" s="1058"/>
      <c r="AK79" s="1894"/>
    </row>
    <row r="80" spans="1:37" ht="24.75" thickBot="1">
      <c r="A80" s="1976" t="s">
        <v>2062</v>
      </c>
      <c r="B80" s="1980"/>
      <c r="C80" s="1886"/>
      <c r="D80" s="1002">
        <f t="shared" si="18"/>
        <v>0</v>
      </c>
      <c r="E80" s="706"/>
      <c r="F80" s="1674"/>
      <c r="G80" s="1000"/>
      <c r="H80" s="1003" t="str">
        <f t="shared" si="19"/>
        <v>——</v>
      </c>
      <c r="I80" s="3069">
        <v>0.05</v>
      </c>
      <c r="J80" s="1001">
        <f t="shared" si="20"/>
        <v>0</v>
      </c>
      <c r="K80" s="1001">
        <f t="shared" si="21"/>
        <v>0</v>
      </c>
      <c r="L80" s="1001">
        <v>0</v>
      </c>
      <c r="M80" s="1001">
        <f t="shared" si="22"/>
        <v>0</v>
      </c>
      <c r="N80" s="1001">
        <f t="shared" si="22"/>
        <v>0</v>
      </c>
      <c r="Z80" s="1844"/>
      <c r="AA80" s="1894"/>
      <c r="AG80" s="1058"/>
      <c r="AK80" s="1894"/>
    </row>
    <row r="81" spans="1:37" ht="15">
      <c r="A81" s="1966" t="s">
        <v>2063</v>
      </c>
      <c r="B81" s="1967">
        <f>1+E83</f>
        <v>1</v>
      </c>
      <c r="C81" s="699"/>
      <c r="D81" s="699"/>
      <c r="E81" s="700"/>
      <c r="F81" s="1968"/>
      <c r="G81" s="3"/>
      <c r="H81" s="3"/>
      <c r="I81" s="3"/>
      <c r="J81" s="4"/>
      <c r="K81" s="4"/>
      <c r="L81" s="4"/>
      <c r="M81" s="4"/>
      <c r="N81" s="4"/>
      <c r="Z81" s="1844"/>
      <c r="AA81" s="1894"/>
      <c r="AG81" s="1058"/>
      <c r="AK81" s="1894"/>
    </row>
    <row r="82" spans="1:37" ht="24.75">
      <c r="A82" s="1969" t="s">
        <v>2038</v>
      </c>
      <c r="B82" s="1261"/>
      <c r="C82" s="1261" t="s">
        <v>2040</v>
      </c>
      <c r="D82" s="1261" t="s">
        <v>2041</v>
      </c>
      <c r="E82" s="701" t="s">
        <v>2042</v>
      </c>
      <c r="F82" s="1970" t="s">
        <v>2057</v>
      </c>
      <c r="G82" s="1261" t="s">
        <v>310</v>
      </c>
      <c r="H82" s="1971" t="s">
        <v>2044</v>
      </c>
      <c r="I82" s="1261" t="s">
        <v>2045</v>
      </c>
      <c r="J82" s="530" t="s">
        <v>1716</v>
      </c>
      <c r="K82" s="530" t="s">
        <v>1717</v>
      </c>
      <c r="L82" s="530" t="s">
        <v>1718</v>
      </c>
      <c r="M82" s="530" t="s">
        <v>1719</v>
      </c>
      <c r="N82" s="530" t="s">
        <v>1720</v>
      </c>
      <c r="Z82" s="1844"/>
      <c r="AA82" s="1894"/>
      <c r="AG82" s="1058"/>
      <c r="AK82" s="1894"/>
    </row>
    <row r="83" spans="1:37" ht="38.25">
      <c r="A83" s="1969" t="s">
        <v>2064</v>
      </c>
      <c r="B83" s="1261" t="str">
        <f>估价对象房地状况!G15</f>
        <v>估价对象位于XX开发区，园区建设成熟度XX，产业集聚程度XX</v>
      </c>
      <c r="C83" s="1886"/>
      <c r="D83" s="1002">
        <f t="shared" ref="D83:D90" si="23">SUMIF($J$82:$N$82,C83,J83:N83)</f>
        <v>0</v>
      </c>
      <c r="E83" s="702">
        <f>ROUND(SUM(D83:D90),4)</f>
        <v>0</v>
      </c>
      <c r="F83" s="1674"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4"/>
      <c r="AA83" s="1894"/>
      <c r="AG83" s="1058"/>
      <c r="AK83" s="1894"/>
    </row>
    <row r="84" spans="1:37" ht="38.25">
      <c r="A84" s="1969" t="s">
        <v>2047</v>
      </c>
      <c r="B84" s="1261" t="str">
        <f>估价对象房地状况!G16</f>
        <v>估价对象周边道路状况、公共交通通达情况、停车便捷程度，综合评价交通便捷度较好</v>
      </c>
      <c r="C84" s="1886"/>
      <c r="D84" s="1002">
        <f t="shared" si="23"/>
        <v>0</v>
      </c>
      <c r="E84" s="705"/>
      <c r="F84" s="1674"/>
      <c r="G84" s="1000"/>
      <c r="H84" s="1003" t="str">
        <f t="shared" si="24"/>
        <v>——</v>
      </c>
      <c r="I84" s="3068">
        <v>0.3</v>
      </c>
      <c r="J84" s="1001">
        <f t="shared" si="25"/>
        <v>0</v>
      </c>
      <c r="K84" s="1001">
        <f t="shared" si="26"/>
        <v>0</v>
      </c>
      <c r="L84" s="1001">
        <v>0</v>
      </c>
      <c r="M84" s="1001">
        <f t="shared" si="27"/>
        <v>0</v>
      </c>
      <c r="N84" s="1001">
        <f t="shared" si="27"/>
        <v>0</v>
      </c>
      <c r="Z84" s="1844"/>
      <c r="AA84" s="1894"/>
      <c r="AG84" s="1058"/>
      <c r="AK84" s="1894"/>
    </row>
    <row r="85" spans="1:37" ht="36">
      <c r="A85" s="3070" t="s">
        <v>3265</v>
      </c>
      <c r="B85" s="1261">
        <f>估价对象房地状况!G17</f>
        <v>0</v>
      </c>
      <c r="C85" s="1886"/>
      <c r="D85" s="1002">
        <f t="shared" si="23"/>
        <v>0</v>
      </c>
      <c r="E85" s="705"/>
      <c r="F85" s="1674"/>
      <c r="G85" s="1000"/>
      <c r="H85" s="1003" t="str">
        <f t="shared" si="24"/>
        <v>——</v>
      </c>
      <c r="I85" s="3068">
        <v>0.1</v>
      </c>
      <c r="J85" s="1001">
        <f t="shared" si="25"/>
        <v>0</v>
      </c>
      <c r="K85" s="1001">
        <f t="shared" si="26"/>
        <v>0</v>
      </c>
      <c r="L85" s="1001">
        <v>0</v>
      </c>
      <c r="M85" s="1001">
        <f t="shared" si="27"/>
        <v>0</v>
      </c>
      <c r="N85" s="1001">
        <f t="shared" si="27"/>
        <v>0</v>
      </c>
      <c r="Z85" s="1844"/>
      <c r="AA85" s="1894"/>
      <c r="AG85" s="1058"/>
      <c r="AK85" s="1894"/>
    </row>
    <row r="86" spans="1:37" ht="14.25">
      <c r="A86" s="1969" t="s">
        <v>2061</v>
      </c>
      <c r="B86" s="1261">
        <f>估价对象房地状况!G22</f>
        <v>0</v>
      </c>
      <c r="C86" s="1886"/>
      <c r="D86" s="1002">
        <f t="shared" si="23"/>
        <v>0</v>
      </c>
      <c r="E86" s="705"/>
      <c r="F86" s="1674"/>
      <c r="G86" s="1000"/>
      <c r="H86" s="1003" t="str">
        <f t="shared" si="24"/>
        <v>——</v>
      </c>
      <c r="I86" s="3068">
        <v>0.05</v>
      </c>
      <c r="J86" s="1001">
        <f t="shared" si="25"/>
        <v>0</v>
      </c>
      <c r="K86" s="1001">
        <f t="shared" si="26"/>
        <v>0</v>
      </c>
      <c r="L86" s="1001">
        <v>0</v>
      </c>
      <c r="M86" s="1001">
        <f t="shared" si="27"/>
        <v>0</v>
      </c>
      <c r="N86" s="1001">
        <f t="shared" si="27"/>
        <v>0</v>
      </c>
      <c r="Z86" s="1844"/>
      <c r="AA86" s="1894"/>
      <c r="AG86" s="1058"/>
      <c r="AK86" s="1894"/>
    </row>
    <row r="87" spans="1:37" ht="25.5">
      <c r="A87" s="1969" t="s">
        <v>2053</v>
      </c>
      <c r="B87" s="1239" t="str">
        <f>估价对象房地状况!G19</f>
        <v>估价对象所在区域公共配套设施齐备情况</v>
      </c>
      <c r="C87" s="1886"/>
      <c r="D87" s="1002">
        <f t="shared" si="23"/>
        <v>0</v>
      </c>
      <c r="E87" s="705"/>
      <c r="F87" s="1674"/>
      <c r="G87" s="1000"/>
      <c r="H87" s="1003" t="str">
        <f t="shared" si="24"/>
        <v>——</v>
      </c>
      <c r="I87" s="3068">
        <v>0.06</v>
      </c>
      <c r="J87" s="1001">
        <f t="shared" si="25"/>
        <v>0</v>
      </c>
      <c r="K87" s="1001">
        <f t="shared" si="26"/>
        <v>0</v>
      </c>
      <c r="L87" s="1001">
        <v>0</v>
      </c>
      <c r="M87" s="1001">
        <f t="shared" si="27"/>
        <v>0</v>
      </c>
      <c r="N87" s="1001">
        <f t="shared" si="27"/>
        <v>0</v>
      </c>
    </row>
    <row r="88" spans="1:37" ht="25.5">
      <c r="A88" s="1969" t="s">
        <v>2054</v>
      </c>
      <c r="B88" s="1239" t="str">
        <f>估价对象房地状况!G20</f>
        <v>估价对象所在区域基础设施水平</v>
      </c>
      <c r="C88" s="1886"/>
      <c r="D88" s="1002">
        <f t="shared" si="23"/>
        <v>0</v>
      </c>
      <c r="E88" s="705"/>
      <c r="F88" s="1674"/>
      <c r="G88" s="1000"/>
      <c r="H88" s="1003" t="str">
        <f t="shared" si="24"/>
        <v>——</v>
      </c>
      <c r="I88" s="3068">
        <v>0.12</v>
      </c>
      <c r="J88" s="1001">
        <f t="shared" si="25"/>
        <v>0</v>
      </c>
      <c r="K88" s="1001">
        <f t="shared" si="26"/>
        <v>0</v>
      </c>
      <c r="L88" s="1001">
        <v>0</v>
      </c>
      <c r="M88" s="1001">
        <f t="shared" si="27"/>
        <v>0</v>
      </c>
      <c r="N88" s="1001">
        <f t="shared" si="27"/>
        <v>0</v>
      </c>
    </row>
    <row r="89" spans="1:37" ht="24">
      <c r="A89" s="1969" t="s">
        <v>2051</v>
      </c>
      <c r="B89" s="1974" t="s">
        <v>2065</v>
      </c>
      <c r="C89" s="1886"/>
      <c r="D89" s="1002">
        <f t="shared" si="23"/>
        <v>0</v>
      </c>
      <c r="E89" s="705"/>
      <c r="F89" s="1674"/>
      <c r="G89" s="1000"/>
      <c r="H89" s="1003" t="str">
        <f t="shared" si="24"/>
        <v>——</v>
      </c>
      <c r="I89" s="3068">
        <v>0.06</v>
      </c>
      <c r="J89" s="1001">
        <f t="shared" si="25"/>
        <v>0</v>
      </c>
      <c r="K89" s="1001">
        <f t="shared" si="26"/>
        <v>0</v>
      </c>
      <c r="L89" s="1001">
        <v>0</v>
      </c>
      <c r="M89" s="1001">
        <f t="shared" si="27"/>
        <v>0</v>
      </c>
      <c r="N89" s="1001">
        <f t="shared" si="27"/>
        <v>0</v>
      </c>
    </row>
    <row r="90" spans="1:37" ht="39" thickBot="1">
      <c r="A90" s="1976" t="s">
        <v>2066</v>
      </c>
      <c r="B90" s="1981" t="str">
        <f>估价对象房地状况!G18</f>
        <v>该园区内是否有污染型企业，绿化情况，卫生条件，整体环境状况判断</v>
      </c>
      <c r="C90" s="1886"/>
      <c r="D90" s="1002">
        <f t="shared" si="23"/>
        <v>0</v>
      </c>
      <c r="E90" s="706"/>
      <c r="F90" s="1674"/>
      <c r="G90" s="1000"/>
      <c r="H90" s="1003" t="str">
        <f t="shared" si="24"/>
        <v>——</v>
      </c>
      <c r="I90" s="3069">
        <v>0.05</v>
      </c>
      <c r="J90" s="1001">
        <f t="shared" si="25"/>
        <v>0</v>
      </c>
      <c r="K90" s="1001">
        <f t="shared" si="26"/>
        <v>0</v>
      </c>
      <c r="L90" s="1001">
        <v>0</v>
      </c>
      <c r="M90" s="1001">
        <f t="shared" si="27"/>
        <v>0</v>
      </c>
      <c r="N90" s="1001">
        <f t="shared" si="27"/>
        <v>0</v>
      </c>
    </row>
    <row r="91" spans="1:37" ht="15">
      <c r="A91" s="3078" t="s">
        <v>2608</v>
      </c>
      <c r="B91" s="3079">
        <f>1+E93</f>
        <v>1</v>
      </c>
      <c r="C91" s="3072"/>
      <c r="D91" s="3073"/>
      <c r="E91" s="1674"/>
      <c r="F91" s="1674"/>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8"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38.25">
      <c r="A94" s="3080" t="s">
        <v>3268</v>
      </c>
      <c r="B94" s="3071" t="str">
        <f>估价对象房地状况!C18</f>
        <v>估价对象周边道路状况、公共交通通达情况、停车便捷程度，综合评价交通便捷度较好</v>
      </c>
      <c r="C94" s="1886"/>
      <c r="D94" s="2309">
        <f t="shared" ref="D94:D101" si="31">SUMIF($J$60:$N$60,C94,J94:N94)</f>
        <v>0</v>
      </c>
      <c r="E94" s="3084"/>
      <c r="F94" s="1674"/>
      <c r="G94" s="3074"/>
      <c r="H94" s="3118" t="str">
        <f>IFERROR(ROUNDDOWN($F$93*I94/2,4),"——")</f>
        <v>——</v>
      </c>
      <c r="I94" s="3068">
        <v>0.26</v>
      </c>
      <c r="J94" s="1911">
        <f t="shared" si="28"/>
        <v>0</v>
      </c>
      <c r="K94" s="1911">
        <f t="shared" si="29"/>
        <v>0</v>
      </c>
      <c r="L94" s="1911">
        <v>0</v>
      </c>
      <c r="M94" s="1911">
        <f t="shared" si="30"/>
        <v>0</v>
      </c>
      <c r="N94" s="1911">
        <f t="shared" si="30"/>
        <v>0</v>
      </c>
    </row>
    <row r="95" spans="1:37" ht="36">
      <c r="A95" s="3070" t="s">
        <v>3264</v>
      </c>
      <c r="B95" s="3071">
        <f>估价对象房地状况!C19</f>
        <v>0</v>
      </c>
      <c r="C95" s="1886"/>
      <c r="D95" s="2309">
        <f t="shared" si="31"/>
        <v>0</v>
      </c>
      <c r="E95" s="3084"/>
      <c r="F95" s="1674"/>
      <c r="G95" s="3074"/>
      <c r="H95" s="3118"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3269</v>
      </c>
      <c r="B96" s="3086" t="s">
        <v>3280</v>
      </c>
      <c r="C96" s="1886"/>
      <c r="D96" s="2309">
        <f t="shared" si="31"/>
        <v>0</v>
      </c>
      <c r="E96" s="3084"/>
      <c r="F96" s="1674"/>
      <c r="G96" s="3074"/>
      <c r="H96" s="3118" t="str">
        <f t="shared" si="32"/>
        <v>——</v>
      </c>
      <c r="I96" s="3068">
        <v>0.05</v>
      </c>
      <c r="J96" s="1911">
        <f t="shared" si="28"/>
        <v>0</v>
      </c>
      <c r="K96" s="1911">
        <f t="shared" si="29"/>
        <v>0</v>
      </c>
      <c r="L96" s="1911">
        <v>0</v>
      </c>
      <c r="M96" s="1911">
        <f t="shared" si="30"/>
        <v>0</v>
      </c>
      <c r="N96" s="1911">
        <f t="shared" si="30"/>
        <v>0</v>
      </c>
    </row>
    <row r="97" spans="1:14" ht="24">
      <c r="A97" s="3080" t="s">
        <v>3270</v>
      </c>
      <c r="B97" s="3071">
        <f>估价对象房地状况!C24</f>
        <v>0</v>
      </c>
      <c r="C97" s="1886"/>
      <c r="D97" s="2309">
        <f t="shared" si="31"/>
        <v>0</v>
      </c>
      <c r="E97" s="3084"/>
      <c r="F97" s="1674"/>
      <c r="G97" s="3074"/>
      <c r="H97" s="3118" t="str">
        <f t="shared" si="32"/>
        <v>——</v>
      </c>
      <c r="I97" s="3068">
        <v>0.05</v>
      </c>
      <c r="J97" s="1911">
        <f t="shared" si="28"/>
        <v>0</v>
      </c>
      <c r="K97" s="1911">
        <f t="shared" si="29"/>
        <v>0</v>
      </c>
      <c r="L97" s="1911">
        <v>0</v>
      </c>
      <c r="M97" s="1911">
        <f t="shared" si="30"/>
        <v>0</v>
      </c>
      <c r="N97" s="1911">
        <f t="shared" si="30"/>
        <v>0</v>
      </c>
    </row>
    <row r="98" spans="1:14" ht="24">
      <c r="A98" s="3080" t="s">
        <v>3271</v>
      </c>
      <c r="B98" s="3087" t="s">
        <v>3281</v>
      </c>
      <c r="C98" s="1886"/>
      <c r="D98" s="2309">
        <f t="shared" si="31"/>
        <v>0</v>
      </c>
      <c r="E98" s="3084"/>
      <c r="F98" s="1674"/>
      <c r="G98" s="3074"/>
      <c r="H98" s="3118" t="str">
        <f t="shared" si="32"/>
        <v>——</v>
      </c>
      <c r="I98" s="3068">
        <v>0.06</v>
      </c>
      <c r="J98" s="1911">
        <f t="shared" si="28"/>
        <v>0</v>
      </c>
      <c r="K98" s="1911">
        <f t="shared" si="29"/>
        <v>0</v>
      </c>
      <c r="L98" s="1911">
        <v>0</v>
      </c>
      <c r="M98" s="1911">
        <f t="shared" si="30"/>
        <v>0</v>
      </c>
      <c r="N98" s="1911">
        <f t="shared" si="30"/>
        <v>0</v>
      </c>
    </row>
    <row r="99" spans="1:14" ht="25.5">
      <c r="A99" s="3080" t="s">
        <v>3272</v>
      </c>
      <c r="B99" s="3071" t="str">
        <f>估价对象房地状况!C21</f>
        <v>估价对象所在区域公共配套设施齐备情况</v>
      </c>
      <c r="C99" s="1886"/>
      <c r="D99" s="2309">
        <f t="shared" si="31"/>
        <v>0</v>
      </c>
      <c r="E99" s="3084"/>
      <c r="F99" s="1674"/>
      <c r="G99" s="3074"/>
      <c r="H99" s="3118" t="str">
        <f t="shared" si="32"/>
        <v>——</v>
      </c>
      <c r="I99" s="3068">
        <v>0.06</v>
      </c>
      <c r="J99" s="1911">
        <f t="shared" si="28"/>
        <v>0</v>
      </c>
      <c r="K99" s="1911">
        <f t="shared" si="29"/>
        <v>0</v>
      </c>
      <c r="L99" s="1911">
        <v>0</v>
      </c>
      <c r="M99" s="1911">
        <f t="shared" si="30"/>
        <v>0</v>
      </c>
      <c r="N99" s="1911">
        <f t="shared" si="30"/>
        <v>0</v>
      </c>
    </row>
    <row r="100" spans="1:14" ht="25.5">
      <c r="A100" s="3080" t="s">
        <v>3273</v>
      </c>
      <c r="B100" s="3071" t="str">
        <f>估价对象房地状况!C22</f>
        <v>估价对象所在区域基础设施水平</v>
      </c>
      <c r="C100" s="1886"/>
      <c r="D100" s="2309">
        <f t="shared" si="31"/>
        <v>0</v>
      </c>
      <c r="E100" s="3084"/>
      <c r="F100" s="1674"/>
      <c r="G100" s="3074"/>
      <c r="H100" s="3118" t="str">
        <f t="shared" si="32"/>
        <v>——</v>
      </c>
      <c r="I100" s="3068">
        <v>0.09</v>
      </c>
      <c r="J100" s="1911">
        <f t="shared" si="28"/>
        <v>0</v>
      </c>
      <c r="K100" s="1911">
        <f t="shared" si="29"/>
        <v>0</v>
      </c>
      <c r="L100" s="1911">
        <v>0</v>
      </c>
      <c r="M100" s="1911">
        <f t="shared" si="30"/>
        <v>0</v>
      </c>
      <c r="N100" s="1911">
        <f t="shared" si="30"/>
        <v>0</v>
      </c>
    </row>
    <row r="101" spans="1:14" ht="26.25" thickBot="1">
      <c r="A101" s="3081" t="s">
        <v>3274</v>
      </c>
      <c r="B101" s="3088" t="str">
        <f>估价对象房地状况!C20</f>
        <v>区域自然环境：；人文环境；综合评价环境状况一般</v>
      </c>
      <c r="C101" s="1886"/>
      <c r="D101" s="2309">
        <f t="shared" si="31"/>
        <v>0</v>
      </c>
      <c r="E101" s="3085"/>
      <c r="F101" s="1674"/>
      <c r="G101" s="3074"/>
      <c r="H101" s="3118" t="str">
        <f t="shared" si="32"/>
        <v>——</v>
      </c>
      <c r="I101" s="3069">
        <v>7.0000000000000007E-2</v>
      </c>
      <c r="J101" s="1911">
        <f t="shared" si="28"/>
        <v>0</v>
      </c>
      <c r="K101" s="1911">
        <f t="shared" si="29"/>
        <v>0</v>
      </c>
      <c r="L101" s="1911">
        <v>0</v>
      </c>
      <c r="M101" s="1911">
        <f t="shared" si="30"/>
        <v>0</v>
      </c>
      <c r="N101" s="1911">
        <f t="shared" si="30"/>
        <v>0</v>
      </c>
    </row>
    <row r="103" spans="1:14">
      <c r="A103" s="3523" t="s">
        <v>3289</v>
      </c>
      <c r="B103" s="3523"/>
      <c r="C103" s="3523"/>
      <c r="D103" s="3523"/>
      <c r="E103" s="3523"/>
      <c r="F103" s="3523"/>
      <c r="G103" s="3523"/>
      <c r="H103" s="3523"/>
      <c r="I103" s="3523"/>
      <c r="J103" s="3523"/>
      <c r="K103" s="1666"/>
      <c r="L103" s="1666"/>
      <c r="M103" s="1666"/>
      <c r="N103" s="1666"/>
    </row>
    <row r="104" spans="1:14">
      <c r="A104" s="3524" t="s">
        <v>3290</v>
      </c>
      <c r="B104" s="3524" t="s">
        <v>3291</v>
      </c>
      <c r="C104" s="3090" t="s">
        <v>3292</v>
      </c>
      <c r="D104" s="3091"/>
      <c r="E104" s="3091"/>
      <c r="F104" s="3091"/>
      <c r="G104" s="3091"/>
      <c r="H104" s="3091"/>
      <c r="I104" s="3091"/>
      <c r="J104" s="3092"/>
      <c r="K104" s="3093"/>
      <c r="L104" s="3093"/>
      <c r="M104" s="3093"/>
      <c r="N104" s="3093"/>
    </row>
    <row r="105" spans="1:14">
      <c r="A105" s="3524"/>
      <c r="B105" s="3524"/>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510"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1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1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1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1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11"/>
      <c r="B111" s="3094" t="s">
        <v>3263</v>
      </c>
      <c r="C111" s="3095">
        <f>$I$3</f>
        <v>6</v>
      </c>
      <c r="D111" s="3095">
        <f t="shared" ref="D111:M111" si="33">$I$3</f>
        <v>6</v>
      </c>
      <c r="E111" s="3095">
        <f t="shared" si="33"/>
        <v>6</v>
      </c>
      <c r="F111" s="3095">
        <f t="shared" si="33"/>
        <v>6</v>
      </c>
      <c r="G111" s="3095">
        <f t="shared" si="33"/>
        <v>6</v>
      </c>
      <c r="H111" s="3095">
        <f t="shared" si="33"/>
        <v>6</v>
      </c>
      <c r="I111" s="3095">
        <f t="shared" si="33"/>
        <v>6</v>
      </c>
      <c r="J111" s="3095">
        <f t="shared" si="33"/>
        <v>6</v>
      </c>
      <c r="K111" s="3095">
        <f t="shared" si="33"/>
        <v>6</v>
      </c>
      <c r="L111" s="3095">
        <f t="shared" si="33"/>
        <v>6</v>
      </c>
      <c r="M111" s="3095">
        <f t="shared" si="33"/>
        <v>6</v>
      </c>
      <c r="N111" s="3095">
        <f>$I$3</f>
        <v>6</v>
      </c>
    </row>
    <row r="112" spans="1:14">
      <c r="A112" s="3512"/>
      <c r="B112" s="3094">
        <v>6</v>
      </c>
      <c r="C112" s="3089">
        <f>(-0.5556*(C111^2)-0.2719*C111+8944)*(10^(-4))</f>
        <v>0.8922367000000001</v>
      </c>
      <c r="D112" s="3089">
        <f>(-0.5556*(D111^2)-0.2719*D111+8944)*(10^(-4))</f>
        <v>0.8922367000000001</v>
      </c>
      <c r="E112" s="3089">
        <f>(-0.7912*(E111^2)-11.3794*E111+8482)*(10^(-4))</f>
        <v>0.83852404000000014</v>
      </c>
      <c r="F112" s="3089">
        <f t="shared" ref="F112:I112" si="34">(-0.7912*(F111^2)-11.3794*F111+8482)*(10^(-4))</f>
        <v>0.83852404000000014</v>
      </c>
      <c r="G112" s="3089">
        <f t="shared" si="34"/>
        <v>0.83852404000000014</v>
      </c>
      <c r="H112" s="3089">
        <f t="shared" si="34"/>
        <v>0.83852404000000014</v>
      </c>
      <c r="I112" s="3089">
        <f t="shared" si="34"/>
        <v>0.83852404000000014</v>
      </c>
      <c r="J112" s="3089">
        <f>(-0.989*(J111^2)-63.78*J111+7771)*(10^(-4))</f>
        <v>0.73527160000000003</v>
      </c>
      <c r="K112" s="3089">
        <f t="shared" ref="K112:N112" si="35">(-0.989*(K111^2)-63.78*K111+7771)*(10^(-4))</f>
        <v>0.73527160000000003</v>
      </c>
      <c r="L112" s="3089">
        <f t="shared" si="35"/>
        <v>0.73527160000000003</v>
      </c>
      <c r="M112" s="3089">
        <f t="shared" si="35"/>
        <v>0.73527160000000003</v>
      </c>
      <c r="N112" s="3089">
        <f t="shared" si="35"/>
        <v>0.73527160000000003</v>
      </c>
    </row>
    <row r="113" spans="1:14">
      <c r="A113" s="3513" t="s">
        <v>3306</v>
      </c>
      <c r="B113" s="3513"/>
      <c r="C113" s="3513"/>
      <c r="D113" s="3513"/>
      <c r="E113" s="3513"/>
      <c r="F113" s="3513"/>
      <c r="G113" s="3513"/>
      <c r="H113" s="3513"/>
      <c r="I113" s="3513"/>
      <c r="J113" s="351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3307</v>
      </c>
      <c r="B116" s="3114">
        <f>G3</f>
        <v>2</v>
      </c>
      <c r="C116" s="3099" t="s">
        <v>3308</v>
      </c>
      <c r="D116" s="3100">
        <f>SUMPRODUCT((A118:A122=F116)*(B117:M117=H116)*B118:M122)</f>
        <v>0.92100000000000004</v>
      </c>
      <c r="E116" s="162" t="s">
        <v>3309</v>
      </c>
      <c r="F116" s="3101" t="str">
        <f>E2</f>
        <v>商业</v>
      </c>
      <c r="G116" s="162" t="s">
        <v>3310</v>
      </c>
      <c r="H116" s="3101" t="str">
        <f>G2</f>
        <v>七级</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6">I118</f>
        <v>0.81259999999999999</v>
      </c>
      <c r="K118" s="3089">
        <f t="shared" si="36"/>
        <v>0.81259999999999999</v>
      </c>
      <c r="L118" s="3089">
        <f t="shared" si="36"/>
        <v>0.81259999999999999</v>
      </c>
      <c r="M118" s="3109">
        <f t="shared" si="36"/>
        <v>0.81259999999999999</v>
      </c>
      <c r="N118" s="3097"/>
    </row>
    <row r="119" spans="1:14">
      <c r="A119" s="3057" t="s">
        <v>3324</v>
      </c>
      <c r="B119" s="3089">
        <f>ROUND(0.993-0.0112*B116,4)</f>
        <v>0.97060000000000002</v>
      </c>
      <c r="C119" s="3089">
        <f>B119</f>
        <v>0.97060000000000002</v>
      </c>
      <c r="D119" s="3089">
        <f>ROUND(0.9415-0.0142*B116,4)</f>
        <v>0.91310000000000002</v>
      </c>
      <c r="E119" s="3089">
        <f t="shared" ref="E119:H120" si="37">D119</f>
        <v>0.91310000000000002</v>
      </c>
      <c r="F119" s="3089">
        <f t="shared" si="37"/>
        <v>0.91310000000000002</v>
      </c>
      <c r="G119" s="3089">
        <f t="shared" si="37"/>
        <v>0.91310000000000002</v>
      </c>
      <c r="H119" s="3089">
        <f t="shared" si="37"/>
        <v>0.91310000000000002</v>
      </c>
      <c r="I119" s="3089">
        <f>ROUND(0.838-0.0182*B116,4)</f>
        <v>0.80159999999999998</v>
      </c>
      <c r="J119" s="3089">
        <f t="shared" si="36"/>
        <v>0.80159999999999998</v>
      </c>
      <c r="K119" s="3089">
        <f t="shared" si="36"/>
        <v>0.80159999999999998</v>
      </c>
      <c r="L119" s="3089">
        <f t="shared" si="36"/>
        <v>0.80159999999999998</v>
      </c>
      <c r="M119" s="3109">
        <f t="shared" si="36"/>
        <v>0.80159999999999998</v>
      </c>
      <c r="N119" s="3097"/>
    </row>
    <row r="120" spans="1:14">
      <c r="A120" s="3057" t="s">
        <v>3325</v>
      </c>
      <c r="B120" s="3089">
        <f>ROUND(0.9448-0.0115*B116,4)</f>
        <v>0.92179999999999995</v>
      </c>
      <c r="C120" s="3089">
        <f>B120</f>
        <v>0.92179999999999995</v>
      </c>
      <c r="D120" s="3089">
        <f>ROUND(0.937-0.0145*B116,4)</f>
        <v>0.90800000000000003</v>
      </c>
      <c r="E120" s="3089">
        <f t="shared" si="37"/>
        <v>0.90800000000000003</v>
      </c>
      <c r="F120" s="3089">
        <f t="shared" si="37"/>
        <v>0.90800000000000003</v>
      </c>
      <c r="G120" s="3089">
        <f t="shared" si="37"/>
        <v>0.90800000000000003</v>
      </c>
      <c r="H120" s="3089">
        <f t="shared" si="37"/>
        <v>0.90800000000000003</v>
      </c>
      <c r="I120" s="3089">
        <f>ROUND(0.7965-0.0185*B116,4)</f>
        <v>0.75949999999999995</v>
      </c>
      <c r="J120" s="3089">
        <f t="shared" si="36"/>
        <v>0.75949999999999995</v>
      </c>
      <c r="K120" s="3089">
        <f t="shared" si="36"/>
        <v>0.75949999999999995</v>
      </c>
      <c r="L120" s="3089">
        <f t="shared" si="36"/>
        <v>0.75949999999999995</v>
      </c>
      <c r="M120" s="3109">
        <f t="shared" si="36"/>
        <v>0.75949999999999995</v>
      </c>
      <c r="N120" s="3097"/>
    </row>
    <row r="121" spans="1:14" ht="13.5" thickBot="1">
      <c r="A121" s="3110" t="s">
        <v>3326</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6"/>
        <v>0.55249999999999999</v>
      </c>
      <c r="K121" s="3111">
        <f t="shared" si="36"/>
        <v>0.55249999999999999</v>
      </c>
      <c r="L121" s="3111">
        <f t="shared" si="36"/>
        <v>0.55249999999999999</v>
      </c>
      <c r="M121" s="3112">
        <f t="shared" si="36"/>
        <v>0.55249999999999999</v>
      </c>
      <c r="N121" s="3097"/>
    </row>
    <row r="122" spans="1:14">
      <c r="A122" s="3113" t="s">
        <v>2608</v>
      </c>
      <c r="B122" s="3089">
        <f>ROUND(0.9404-0.0106*B116,4)</f>
        <v>0.91920000000000002</v>
      </c>
      <c r="C122" s="3089">
        <f>B122</f>
        <v>0.91920000000000002</v>
      </c>
      <c r="D122" s="3089">
        <f>ROUND(0.8955-0.0135*B116,4)</f>
        <v>0.86850000000000005</v>
      </c>
      <c r="E122" s="3089">
        <f t="shared" ref="E122:H122" si="38">D122</f>
        <v>0.86850000000000005</v>
      </c>
      <c r="F122" s="3089">
        <f t="shared" si="38"/>
        <v>0.86850000000000005</v>
      </c>
      <c r="G122" s="3089">
        <f t="shared" si="38"/>
        <v>0.86850000000000005</v>
      </c>
      <c r="H122" s="3089">
        <f t="shared" si="38"/>
        <v>0.86850000000000005</v>
      </c>
      <c r="I122" s="3089">
        <f>ROUND(0.7632-0.0166*B116,4)</f>
        <v>0.73</v>
      </c>
      <c r="J122" s="3089">
        <f t="shared" si="36"/>
        <v>0.73</v>
      </c>
      <c r="K122" s="3089">
        <f t="shared" si="36"/>
        <v>0.73</v>
      </c>
      <c r="L122" s="3089">
        <f t="shared" si="36"/>
        <v>0.73</v>
      </c>
      <c r="M122" s="3109">
        <f t="shared" si="36"/>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2590</v>
      </c>
      <c r="B1" s="2811" t="s">
        <v>2591</v>
      </c>
      <c r="C1" s="2811" t="s">
        <v>2592</v>
      </c>
      <c r="D1" s="2811" t="s">
        <v>2593</v>
      </c>
      <c r="E1" s="2811" t="s">
        <v>2594</v>
      </c>
      <c r="F1" s="2811" t="s">
        <v>2595</v>
      </c>
      <c r="G1" s="2811" t="s">
        <v>2596</v>
      </c>
      <c r="H1" s="2811" t="s">
        <v>2597</v>
      </c>
      <c r="I1" s="2811" t="s">
        <v>2598</v>
      </c>
      <c r="J1" s="2811" t="s">
        <v>2599</v>
      </c>
      <c r="K1" s="2811" t="s">
        <v>2600</v>
      </c>
      <c r="L1" s="2811" t="s">
        <v>2601</v>
      </c>
      <c r="M1" s="2812" t="s">
        <v>2602</v>
      </c>
    </row>
    <row r="2" spans="1:13" ht="19.5" customHeight="1">
      <c r="A2" s="2814" t="s">
        <v>2603</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2604</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2605</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2606</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2607</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2608</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2609</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2610</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2611</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2612</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2613</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2614</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2615</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2616</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2617</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2618</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2619</v>
      </c>
      <c r="B18" s="2836"/>
      <c r="C18" s="2837"/>
      <c r="D18" s="2837"/>
      <c r="E18" s="2836"/>
      <c r="F18" s="2837"/>
      <c r="G18" s="2837"/>
    </row>
    <row r="19" spans="1:13" ht="19.5" customHeight="1" thickBot="1">
      <c r="A19" s="2834" t="s">
        <v>2620</v>
      </c>
      <c r="B19" s="2839" t="s">
        <v>2621</v>
      </c>
      <c r="C19" s="2839" t="s">
        <v>2622</v>
      </c>
      <c r="D19" s="2840"/>
      <c r="E19" s="2834" t="s">
        <v>2623</v>
      </c>
      <c r="F19" s="2841"/>
      <c r="G19" s="2841"/>
    </row>
    <row r="20" spans="1:13" ht="19.5" customHeight="1">
      <c r="A20" s="3536" t="s">
        <v>2603</v>
      </c>
      <c r="B20" s="3529" t="s">
        <v>2624</v>
      </c>
      <c r="C20" s="2842" t="s">
        <v>2435</v>
      </c>
      <c r="D20" s="2843"/>
      <c r="E20" s="2844">
        <v>1</v>
      </c>
      <c r="F20" s="2845" t="s">
        <v>2436</v>
      </c>
      <c r="G20" s="2845"/>
    </row>
    <row r="21" spans="1:13" ht="19.5" customHeight="1">
      <c r="A21" s="3537"/>
      <c r="B21" s="3530"/>
      <c r="C21" s="2846" t="s">
        <v>2437</v>
      </c>
      <c r="D21" s="2847"/>
      <c r="E21" s="2848">
        <v>1</v>
      </c>
      <c r="F21" s="2845" t="s">
        <v>2438</v>
      </c>
      <c r="G21" s="2845"/>
    </row>
    <row r="22" spans="1:13" ht="19.5" customHeight="1">
      <c r="A22" s="3537"/>
      <c r="B22" s="3530"/>
      <c r="C22" s="2846" t="s">
        <v>2439</v>
      </c>
      <c r="D22" s="2847"/>
      <c r="E22" s="2848">
        <v>0.9</v>
      </c>
      <c r="F22" s="2845" t="s">
        <v>2440</v>
      </c>
      <c r="G22" s="2845"/>
    </row>
    <row r="23" spans="1:13" ht="19.5" customHeight="1">
      <c r="A23" s="3537"/>
      <c r="B23" s="3530"/>
      <c r="C23" s="2846" t="s">
        <v>2441</v>
      </c>
      <c r="D23" s="2847"/>
      <c r="E23" s="2848">
        <v>0.9</v>
      </c>
      <c r="F23" s="2845" t="s">
        <v>2442</v>
      </c>
      <c r="G23" s="2845"/>
    </row>
    <row r="24" spans="1:13" ht="19.5" customHeight="1">
      <c r="A24" s="3537"/>
      <c r="B24" s="3530"/>
      <c r="C24" s="2846" t="s">
        <v>2443</v>
      </c>
      <c r="D24" s="2847"/>
      <c r="E24" s="2848">
        <v>0.8</v>
      </c>
      <c r="F24" s="2845" t="s">
        <v>2444</v>
      </c>
      <c r="G24" s="2845"/>
    </row>
    <row r="25" spans="1:13" ht="19.5" customHeight="1" thickBot="1">
      <c r="A25" s="3538"/>
      <c r="B25" s="3531"/>
      <c r="C25" s="2849" t="s">
        <v>2445</v>
      </c>
      <c r="D25" s="2850"/>
      <c r="E25" s="2851">
        <v>0.8</v>
      </c>
      <c r="F25" s="2845" t="s">
        <v>2446</v>
      </c>
      <c r="G25" s="2845"/>
    </row>
    <row r="26" spans="1:13" ht="19.5" customHeight="1" thickBot="1">
      <c r="A26" s="2852" t="s">
        <v>2625</v>
      </c>
      <c r="B26" s="2853" t="s">
        <v>2624</v>
      </c>
      <c r="C26" s="2854" t="s">
        <v>2626</v>
      </c>
      <c r="D26" s="2855"/>
      <c r="E26" s="2856">
        <v>1</v>
      </c>
      <c r="F26" s="2845" t="s">
        <v>2447</v>
      </c>
      <c r="G26" s="2845"/>
    </row>
    <row r="27" spans="1:13" ht="19.5" customHeight="1">
      <c r="A27" s="3532" t="s">
        <v>2627</v>
      </c>
      <c r="B27" s="3529" t="s">
        <v>2608</v>
      </c>
      <c r="C27" s="2842" t="s">
        <v>2448</v>
      </c>
      <c r="D27" s="2843"/>
      <c r="E27" s="2844">
        <v>1</v>
      </c>
      <c r="F27" s="2845" t="s">
        <v>2449</v>
      </c>
      <c r="G27" s="2845"/>
    </row>
    <row r="28" spans="1:13" ht="19.5" customHeight="1">
      <c r="A28" s="3533"/>
      <c r="B28" s="3530"/>
      <c r="C28" s="2846" t="s">
        <v>2450</v>
      </c>
      <c r="D28" s="2847"/>
      <c r="E28" s="2848">
        <v>1</v>
      </c>
      <c r="F28" s="2845" t="s">
        <v>2451</v>
      </c>
      <c r="G28" s="2845"/>
    </row>
    <row r="29" spans="1:13" ht="19.5" customHeight="1">
      <c r="A29" s="3533"/>
      <c r="B29" s="3530"/>
      <c r="C29" s="2846" t="s">
        <v>2452</v>
      </c>
      <c r="D29" s="2847"/>
      <c r="E29" s="2848">
        <v>0.8</v>
      </c>
      <c r="F29" s="2845" t="s">
        <v>2453</v>
      </c>
      <c r="G29" s="2845"/>
    </row>
    <row r="30" spans="1:13" ht="19.5" customHeight="1">
      <c r="A30" s="3533"/>
      <c r="B30" s="3530"/>
      <c r="C30" s="2846" t="s">
        <v>2454</v>
      </c>
      <c r="D30" s="2847"/>
      <c r="E30" s="2848">
        <v>0.8</v>
      </c>
      <c r="F30" s="2845" t="s">
        <v>2455</v>
      </c>
      <c r="G30" s="2845"/>
    </row>
    <row r="31" spans="1:13" ht="19.5" customHeight="1">
      <c r="A31" s="3533"/>
      <c r="B31" s="3530"/>
      <c r="C31" s="2846" t="s">
        <v>2456</v>
      </c>
      <c r="D31" s="2847"/>
      <c r="E31" s="2848">
        <v>0.8</v>
      </c>
      <c r="F31" s="2845" t="s">
        <v>2457</v>
      </c>
      <c r="G31" s="2845"/>
    </row>
    <row r="32" spans="1:13" ht="19.5" customHeight="1">
      <c r="A32" s="3533"/>
      <c r="B32" s="3530"/>
      <c r="C32" s="2846" t="s">
        <v>2458</v>
      </c>
      <c r="D32" s="2847"/>
      <c r="E32" s="2848">
        <v>0.7</v>
      </c>
      <c r="F32" s="2845" t="s">
        <v>2459</v>
      </c>
      <c r="G32" s="2845"/>
    </row>
    <row r="33" spans="1:7" ht="19.5" customHeight="1">
      <c r="A33" s="3533"/>
      <c r="B33" s="3530"/>
      <c r="C33" s="2846" t="s">
        <v>2460</v>
      </c>
      <c r="D33" s="2847"/>
      <c r="E33" s="2848">
        <v>0.8</v>
      </c>
      <c r="F33" s="2845" t="s">
        <v>2461</v>
      </c>
      <c r="G33" s="2845"/>
    </row>
    <row r="34" spans="1:7" ht="19.5" customHeight="1">
      <c r="A34" s="3533"/>
      <c r="B34" s="3530"/>
      <c r="C34" s="2846" t="s">
        <v>2462</v>
      </c>
      <c r="D34" s="2847"/>
      <c r="E34" s="2848">
        <v>0.6</v>
      </c>
      <c r="F34" s="2845" t="s">
        <v>2463</v>
      </c>
      <c r="G34" s="2845"/>
    </row>
    <row r="35" spans="1:7" ht="19.5" customHeight="1">
      <c r="A35" s="3533"/>
      <c r="B35" s="3530"/>
      <c r="C35" s="2846" t="s">
        <v>2464</v>
      </c>
      <c r="D35" s="2847"/>
      <c r="E35" s="2848">
        <v>0.2</v>
      </c>
      <c r="F35" s="2845" t="s">
        <v>2465</v>
      </c>
      <c r="G35" s="2845"/>
    </row>
    <row r="36" spans="1:7" ht="19.5" customHeight="1">
      <c r="A36" s="3533"/>
      <c r="B36" s="3530"/>
      <c r="C36" s="2846" t="s">
        <v>2466</v>
      </c>
      <c r="D36" s="2847"/>
      <c r="E36" s="2848">
        <v>0.2</v>
      </c>
      <c r="F36" s="2845" t="s">
        <v>2467</v>
      </c>
      <c r="G36" s="2845"/>
    </row>
    <row r="37" spans="1:7" ht="19.5" customHeight="1">
      <c r="A37" s="3533"/>
      <c r="B37" s="3535" t="s">
        <v>2628</v>
      </c>
      <c r="C37" s="2846" t="s">
        <v>2468</v>
      </c>
      <c r="D37" s="2847"/>
      <c r="E37" s="2848">
        <v>0.6</v>
      </c>
      <c r="F37" s="2845" t="s">
        <v>2469</v>
      </c>
      <c r="G37" s="2845"/>
    </row>
    <row r="38" spans="1:7" ht="19.5" customHeight="1">
      <c r="A38" s="3533"/>
      <c r="B38" s="3530"/>
      <c r="C38" s="2846" t="s">
        <v>2470</v>
      </c>
      <c r="D38" s="2847"/>
      <c r="E38" s="2848">
        <v>0.6</v>
      </c>
      <c r="F38" s="2845" t="s">
        <v>2471</v>
      </c>
      <c r="G38" s="2845"/>
    </row>
    <row r="39" spans="1:7" ht="19.5" customHeight="1" thickBot="1">
      <c r="A39" s="3534"/>
      <c r="B39" s="3531"/>
      <c r="C39" s="2849" t="s">
        <v>2472</v>
      </c>
      <c r="D39" s="2850"/>
      <c r="E39" s="2851">
        <v>0.6</v>
      </c>
      <c r="F39" s="2845" t="s">
        <v>2473</v>
      </c>
      <c r="G39" s="2845"/>
    </row>
    <row r="40" spans="1:7" ht="19.5" customHeight="1" thickBot="1">
      <c r="A40" s="2852" t="s">
        <v>2605</v>
      </c>
      <c r="B40" s="2853" t="s">
        <v>2605</v>
      </c>
      <c r="C40" s="2854" t="s">
        <v>2629</v>
      </c>
      <c r="D40" s="2855"/>
      <c r="E40" s="2856">
        <v>1</v>
      </c>
      <c r="F40" s="2845" t="s">
        <v>2474</v>
      </c>
      <c r="G40" s="2845"/>
    </row>
    <row r="41" spans="1:7" ht="19.5" customHeight="1">
      <c r="A41" s="3536" t="s">
        <v>2606</v>
      </c>
      <c r="B41" s="3529" t="s">
        <v>2630</v>
      </c>
      <c r="C41" s="2842" t="s">
        <v>2475</v>
      </c>
      <c r="D41" s="2843"/>
      <c r="E41" s="2844">
        <v>1</v>
      </c>
      <c r="F41" s="2845" t="s">
        <v>2476</v>
      </c>
      <c r="G41" s="2845"/>
    </row>
    <row r="42" spans="1:7" ht="19.5" customHeight="1">
      <c r="A42" s="3537"/>
      <c r="B42" s="3530"/>
      <c r="C42" s="2846" t="s">
        <v>2477</v>
      </c>
      <c r="D42" s="2847"/>
      <c r="E42" s="2848">
        <v>1</v>
      </c>
      <c r="F42" s="2845" t="s">
        <v>2478</v>
      </c>
      <c r="G42" s="2845"/>
    </row>
    <row r="43" spans="1:7" ht="19.5" customHeight="1">
      <c r="A43" s="3537"/>
      <c r="B43" s="3539"/>
      <c r="C43" s="2846" t="s">
        <v>2479</v>
      </c>
      <c r="D43" s="2847"/>
      <c r="E43" s="2848">
        <v>1.5</v>
      </c>
      <c r="F43" s="2845" t="s">
        <v>2480</v>
      </c>
      <c r="G43" s="2845"/>
    </row>
    <row r="44" spans="1:7" ht="19.5" customHeight="1">
      <c r="A44" s="3537"/>
      <c r="B44" s="2857" t="s">
        <v>2631</v>
      </c>
      <c r="C44" s="2846" t="s">
        <v>2632</v>
      </c>
      <c r="D44" s="2847"/>
      <c r="E44" s="2848">
        <v>2</v>
      </c>
      <c r="F44" s="2845" t="s">
        <v>2481</v>
      </c>
      <c r="G44" s="2845"/>
    </row>
    <row r="45" spans="1:7" ht="19.5" customHeight="1">
      <c r="A45" s="3537"/>
      <c r="B45" s="3535" t="s">
        <v>2633</v>
      </c>
      <c r="C45" s="2846" t="s">
        <v>2482</v>
      </c>
      <c r="D45" s="2847"/>
      <c r="E45" s="2848">
        <v>1</v>
      </c>
      <c r="F45" s="2845" t="s">
        <v>2483</v>
      </c>
      <c r="G45" s="2845"/>
    </row>
    <row r="46" spans="1:7" ht="19.5" customHeight="1">
      <c r="A46" s="3537"/>
      <c r="B46" s="3530"/>
      <c r="C46" s="2846" t="s">
        <v>2484</v>
      </c>
      <c r="D46" s="2847"/>
      <c r="E46" s="2848">
        <v>1</v>
      </c>
      <c r="F46" s="2845" t="s">
        <v>2485</v>
      </c>
      <c r="G46" s="2845"/>
    </row>
    <row r="47" spans="1:7" ht="19.5" customHeight="1">
      <c r="A47" s="3537"/>
      <c r="B47" s="3530"/>
      <c r="C47" s="2846" t="s">
        <v>2486</v>
      </c>
      <c r="D47" s="2847"/>
      <c r="E47" s="2848">
        <v>1</v>
      </c>
      <c r="F47" s="2845" t="s">
        <v>2487</v>
      </c>
      <c r="G47" s="2845"/>
    </row>
    <row r="48" spans="1:7" ht="19.5" customHeight="1">
      <c r="A48" s="3537"/>
      <c r="B48" s="3530"/>
      <c r="C48" s="2846" t="s">
        <v>2488</v>
      </c>
      <c r="D48" s="2847"/>
      <c r="E48" s="2848">
        <v>1</v>
      </c>
      <c r="F48" s="2845" t="s">
        <v>2489</v>
      </c>
      <c r="G48" s="2845"/>
    </row>
    <row r="49" spans="1:7" ht="19.5" customHeight="1">
      <c r="A49" s="3537"/>
      <c r="B49" s="3530"/>
      <c r="C49" s="2846" t="s">
        <v>2490</v>
      </c>
      <c r="D49" s="2847"/>
      <c r="E49" s="2848">
        <v>1</v>
      </c>
      <c r="F49" s="2845" t="s">
        <v>2491</v>
      </c>
      <c r="G49" s="2845"/>
    </row>
    <row r="50" spans="1:7" ht="19.5" customHeight="1">
      <c r="A50" s="3537"/>
      <c r="B50" s="3530"/>
      <c r="C50" s="2846" t="s">
        <v>2492</v>
      </c>
      <c r="D50" s="2847"/>
      <c r="E50" s="2848">
        <v>1</v>
      </c>
      <c r="F50" s="2845" t="s">
        <v>2493</v>
      </c>
      <c r="G50" s="2845"/>
    </row>
    <row r="51" spans="1:7" ht="19.5" customHeight="1" thickBot="1">
      <c r="A51" s="3538"/>
      <c r="B51" s="3531"/>
      <c r="C51" s="2849" t="s">
        <v>2494</v>
      </c>
      <c r="D51" s="2850"/>
      <c r="E51" s="2851">
        <v>1</v>
      </c>
      <c r="F51" s="2845" t="s">
        <v>2495</v>
      </c>
      <c r="G51" s="2845"/>
    </row>
    <row r="52" spans="1:7" ht="19.5" customHeight="1">
      <c r="A52" s="2858"/>
      <c r="B52" s="2858"/>
      <c r="C52" s="2858"/>
      <c r="D52" s="2858"/>
      <c r="E52" s="2858"/>
      <c r="F52" s="2858"/>
      <c r="G52" s="2858"/>
    </row>
    <row r="54" spans="1:7" ht="19.5" customHeight="1">
      <c r="A54" s="2859"/>
      <c r="B54" s="2831" t="s">
        <v>2634</v>
      </c>
      <c r="C54" s="2831" t="s">
        <v>2634</v>
      </c>
      <c r="D54" s="2831" t="s">
        <v>2634</v>
      </c>
      <c r="E54" s="2834" t="s">
        <v>2634</v>
      </c>
      <c r="F54" s="2834" t="s">
        <v>2635</v>
      </c>
      <c r="G54" s="2834" t="s">
        <v>2636</v>
      </c>
    </row>
    <row r="55" spans="1:7" ht="19.5" customHeight="1">
      <c r="A55" s="2860"/>
      <c r="B55" s="2834" t="s">
        <v>2603</v>
      </c>
      <c r="C55" s="2834" t="s">
        <v>2603</v>
      </c>
      <c r="D55" s="2834" t="s">
        <v>2603</v>
      </c>
      <c r="E55" s="2831" t="s">
        <v>2604</v>
      </c>
      <c r="F55" s="2831" t="s">
        <v>2606</v>
      </c>
      <c r="G55" s="2831" t="s">
        <v>2637</v>
      </c>
    </row>
    <row r="56" spans="1:7" ht="19.5" customHeight="1">
      <c r="A56" s="2861"/>
      <c r="B56" s="2831">
        <v>1</v>
      </c>
      <c r="C56" s="2831">
        <v>2</v>
      </c>
      <c r="D56" s="2831">
        <v>3</v>
      </c>
      <c r="E56" s="2862" t="s">
        <v>2638</v>
      </c>
      <c r="F56" s="2862" t="s">
        <v>2638</v>
      </c>
      <c r="G56" s="2862" t="s">
        <v>2638</v>
      </c>
    </row>
    <row r="57" spans="1:7" ht="19.5" customHeight="1">
      <c r="A57" s="2863" t="s">
        <v>2591</v>
      </c>
      <c r="B57" s="2831">
        <v>0.7</v>
      </c>
      <c r="C57" s="2831">
        <v>0.4</v>
      </c>
      <c r="D57" s="2831">
        <v>0.3</v>
      </c>
      <c r="E57" s="2862">
        <v>0.3</v>
      </c>
      <c r="F57" s="2831">
        <v>0.3</v>
      </c>
      <c r="G57" s="2831">
        <v>0.2</v>
      </c>
    </row>
    <row r="58" spans="1:7" ht="19.5" customHeight="1">
      <c r="A58" s="2863" t="s">
        <v>2592</v>
      </c>
      <c r="B58" s="2831">
        <v>0.7</v>
      </c>
      <c r="C58" s="2831">
        <v>0.4</v>
      </c>
      <c r="D58" s="2831">
        <v>0.3</v>
      </c>
      <c r="E58" s="2831">
        <v>0.3</v>
      </c>
      <c r="F58" s="2831">
        <v>0.3</v>
      </c>
      <c r="G58" s="2831">
        <v>0.2</v>
      </c>
    </row>
    <row r="59" spans="1:7" ht="19.5" customHeight="1">
      <c r="A59" s="2863" t="s">
        <v>2593</v>
      </c>
      <c r="B59" s="2831">
        <v>0.6</v>
      </c>
      <c r="C59" s="2831">
        <v>0.3</v>
      </c>
      <c r="D59" s="2831">
        <v>0.25</v>
      </c>
      <c r="E59" s="2831">
        <v>0.25</v>
      </c>
      <c r="F59" s="2831">
        <v>0.25</v>
      </c>
      <c r="G59" s="2831">
        <v>0.15</v>
      </c>
    </row>
    <row r="60" spans="1:7" ht="19.5" customHeight="1">
      <c r="A60" s="2863" t="s">
        <v>2594</v>
      </c>
      <c r="B60" s="2831">
        <v>0.6</v>
      </c>
      <c r="C60" s="2831">
        <v>0.3</v>
      </c>
      <c r="D60" s="2831">
        <v>0.25</v>
      </c>
      <c r="E60" s="2831">
        <v>0.25</v>
      </c>
      <c r="F60" s="2831">
        <v>0.25</v>
      </c>
      <c r="G60" s="2831">
        <v>0.15</v>
      </c>
    </row>
    <row r="61" spans="1:7" ht="19.5" customHeight="1">
      <c r="A61" s="2863" t="s">
        <v>2595</v>
      </c>
      <c r="B61" s="2831">
        <v>0.6</v>
      </c>
      <c r="C61" s="2831">
        <v>0.3</v>
      </c>
      <c r="D61" s="2831">
        <v>0.25</v>
      </c>
      <c r="E61" s="2831">
        <v>0.25</v>
      </c>
      <c r="F61" s="2831">
        <v>0.25</v>
      </c>
      <c r="G61" s="2831">
        <v>0.15</v>
      </c>
    </row>
    <row r="62" spans="1:7" ht="19.5" customHeight="1">
      <c r="A62" s="2863" t="s">
        <v>2596</v>
      </c>
      <c r="B62" s="2831">
        <v>0.6</v>
      </c>
      <c r="C62" s="2831">
        <v>0.3</v>
      </c>
      <c r="D62" s="2831">
        <v>0.25</v>
      </c>
      <c r="E62" s="2831">
        <v>0.25</v>
      </c>
      <c r="F62" s="2831">
        <v>0.25</v>
      </c>
      <c r="G62" s="2831">
        <v>0.15</v>
      </c>
    </row>
    <row r="63" spans="1:7" ht="19.5" customHeight="1">
      <c r="A63" s="2863" t="s">
        <v>2597</v>
      </c>
      <c r="B63" s="2831">
        <v>0.6</v>
      </c>
      <c r="C63" s="2831">
        <v>0.3</v>
      </c>
      <c r="D63" s="2831">
        <v>0.25</v>
      </c>
      <c r="E63" s="2831">
        <v>0.25</v>
      </c>
      <c r="F63" s="2831">
        <v>0.25</v>
      </c>
      <c r="G63" s="2831">
        <v>0.15</v>
      </c>
    </row>
    <row r="64" spans="1:7" ht="19.5" customHeight="1">
      <c r="A64" s="2863" t="s">
        <v>2598</v>
      </c>
      <c r="B64" s="2831">
        <v>0.5</v>
      </c>
      <c r="C64" s="2831">
        <v>0.2</v>
      </c>
      <c r="D64" s="2831">
        <v>0.2</v>
      </c>
      <c r="E64" s="2831">
        <v>0.2</v>
      </c>
      <c r="F64" s="2831">
        <v>0.2</v>
      </c>
      <c r="G64" s="2831">
        <v>0.1</v>
      </c>
    </row>
    <row r="65" spans="1:7" ht="19.5" customHeight="1">
      <c r="A65" s="2863" t="s">
        <v>2599</v>
      </c>
      <c r="B65" s="2831">
        <v>0.5</v>
      </c>
      <c r="C65" s="2831">
        <v>0.2</v>
      </c>
      <c r="D65" s="2831">
        <v>0.2</v>
      </c>
      <c r="E65" s="2831">
        <v>0.2</v>
      </c>
      <c r="F65" s="2831">
        <v>0.2</v>
      </c>
      <c r="G65" s="2831">
        <v>0.1</v>
      </c>
    </row>
    <row r="66" spans="1:7" ht="19.5" customHeight="1">
      <c r="A66" s="2863" t="s">
        <v>2600</v>
      </c>
      <c r="B66" s="2831">
        <v>0.5</v>
      </c>
      <c r="C66" s="2831">
        <v>0.2</v>
      </c>
      <c r="D66" s="2831">
        <v>0.2</v>
      </c>
      <c r="E66" s="2831">
        <v>0.2</v>
      </c>
      <c r="F66" s="2831">
        <v>0.2</v>
      </c>
      <c r="G66" s="2831">
        <v>0.1</v>
      </c>
    </row>
    <row r="67" spans="1:7" ht="19.5" customHeight="1">
      <c r="A67" s="2863" t="s">
        <v>2601</v>
      </c>
      <c r="B67" s="2831">
        <v>0.5</v>
      </c>
      <c r="C67" s="2831">
        <v>0.2</v>
      </c>
      <c r="D67" s="2831">
        <v>0.2</v>
      </c>
      <c r="E67" s="2831">
        <v>0.2</v>
      </c>
      <c r="F67" s="2831">
        <v>0.2</v>
      </c>
      <c r="G67" s="2831">
        <v>0.1</v>
      </c>
    </row>
    <row r="68" spans="1:7" ht="19.5" customHeight="1">
      <c r="A68" s="2863" t="s">
        <v>2602</v>
      </c>
      <c r="B68" s="2831">
        <v>0.5</v>
      </c>
      <c r="C68" s="2831">
        <v>0.2</v>
      </c>
      <c r="D68" s="2831">
        <v>0.2</v>
      </c>
      <c r="E68" s="2831">
        <v>0.2</v>
      </c>
      <c r="F68" s="2831">
        <v>0.2</v>
      </c>
      <c r="G68" s="2831">
        <v>0.1</v>
      </c>
    </row>
    <row r="70" spans="1:7" ht="19.5" customHeight="1">
      <c r="A70" s="2845"/>
      <c r="B70" s="2864"/>
      <c r="C70" s="2864"/>
      <c r="D70" s="2864" t="s">
        <v>2639</v>
      </c>
      <c r="E70" s="2864"/>
      <c r="F70" s="2864"/>
    </row>
    <row r="71" spans="1:7" ht="19.5" customHeight="1">
      <c r="A71" s="2857" t="s">
        <v>2640</v>
      </c>
      <c r="B71" s="2857" t="s">
        <v>2641</v>
      </c>
      <c r="C71" s="2857" t="s">
        <v>2642</v>
      </c>
      <c r="D71" s="2857" t="s">
        <v>2643</v>
      </c>
      <c r="E71" s="2857" t="s">
        <v>2644</v>
      </c>
      <c r="F71" s="2857" t="s">
        <v>2645</v>
      </c>
    </row>
    <row r="72" spans="1:7" ht="13.5">
      <c r="A72" s="2857"/>
      <c r="B72" s="2857"/>
      <c r="C72" s="2857" t="s">
        <v>2646</v>
      </c>
      <c r="D72" s="2857"/>
      <c r="E72" s="2857" t="s">
        <v>2617</v>
      </c>
      <c r="F72" s="2857" t="s">
        <v>2617</v>
      </c>
    </row>
    <row r="73" spans="1:7" ht="13.5">
      <c r="A73" s="2857">
        <v>1</v>
      </c>
      <c r="B73" s="3535" t="s">
        <v>2647</v>
      </c>
      <c r="C73" s="2831" t="s">
        <v>2648</v>
      </c>
      <c r="D73" s="2831" t="s">
        <v>2649</v>
      </c>
      <c r="E73" s="2857">
        <v>0.2</v>
      </c>
      <c r="F73" s="2857">
        <v>25</v>
      </c>
    </row>
    <row r="74" spans="1:7" ht="24">
      <c r="A74" s="2857">
        <v>2</v>
      </c>
      <c r="B74" s="3530"/>
      <c r="C74" s="2831" t="s">
        <v>2650</v>
      </c>
      <c r="D74" s="2831" t="s">
        <v>2651</v>
      </c>
      <c r="E74" s="2857">
        <v>0.2</v>
      </c>
      <c r="F74" s="2857">
        <v>25</v>
      </c>
    </row>
    <row r="75" spans="1:7" ht="24">
      <c r="A75" s="2857">
        <v>3</v>
      </c>
      <c r="B75" s="3530"/>
      <c r="C75" s="2831" t="s">
        <v>2652</v>
      </c>
      <c r="D75" s="2831" t="s">
        <v>2653</v>
      </c>
      <c r="E75" s="2857">
        <v>0.2</v>
      </c>
      <c r="F75" s="2857">
        <v>25</v>
      </c>
    </row>
    <row r="76" spans="1:7" ht="13.5">
      <c r="A76" s="2857">
        <v>4</v>
      </c>
      <c r="B76" s="3530"/>
      <c r="C76" s="2831" t="s">
        <v>2654</v>
      </c>
      <c r="D76" s="2831" t="s">
        <v>2655</v>
      </c>
      <c r="E76" s="2857">
        <v>0.15</v>
      </c>
      <c r="F76" s="2857">
        <v>20</v>
      </c>
    </row>
    <row r="77" spans="1:7" ht="24">
      <c r="A77" s="2857">
        <v>5</v>
      </c>
      <c r="B77" s="3530"/>
      <c r="C77" s="2831" t="s">
        <v>2656</v>
      </c>
      <c r="D77" s="2831" t="s">
        <v>2657</v>
      </c>
      <c r="E77" s="2857">
        <v>0.15</v>
      </c>
      <c r="F77" s="2857">
        <v>20</v>
      </c>
    </row>
    <row r="78" spans="1:7" ht="24">
      <c r="A78" s="2857">
        <v>6</v>
      </c>
      <c r="B78" s="3530"/>
      <c r="C78" s="2831" t="s">
        <v>2658</v>
      </c>
      <c r="D78" s="2831" t="s">
        <v>2659</v>
      </c>
      <c r="E78" s="2857">
        <v>0.15</v>
      </c>
      <c r="F78" s="2857">
        <v>20</v>
      </c>
    </row>
    <row r="79" spans="1:7" ht="24">
      <c r="A79" s="2857">
        <v>7</v>
      </c>
      <c r="B79" s="3530"/>
      <c r="C79" s="2831" t="s">
        <v>2660</v>
      </c>
      <c r="D79" s="2831" t="s">
        <v>2661</v>
      </c>
      <c r="E79" s="2857">
        <v>0.15</v>
      </c>
      <c r="F79" s="2857">
        <v>20</v>
      </c>
    </row>
    <row r="80" spans="1:7" ht="24">
      <c r="A80" s="2857">
        <v>8</v>
      </c>
      <c r="B80" s="3530"/>
      <c r="C80" s="2831" t="s">
        <v>2662</v>
      </c>
      <c r="D80" s="2831" t="s">
        <v>2663</v>
      </c>
      <c r="E80" s="2857">
        <v>0.1</v>
      </c>
      <c r="F80" s="2857">
        <v>15</v>
      </c>
    </row>
    <row r="81" spans="1:6" ht="24">
      <c r="A81" s="2857">
        <v>9</v>
      </c>
      <c r="B81" s="3530"/>
      <c r="C81" s="2831" t="s">
        <v>2664</v>
      </c>
      <c r="D81" s="2831" t="s">
        <v>2665</v>
      </c>
      <c r="E81" s="2857">
        <v>0.1</v>
      </c>
      <c r="F81" s="2857">
        <v>15</v>
      </c>
    </row>
    <row r="82" spans="1:6" ht="24">
      <c r="A82" s="2857">
        <v>10</v>
      </c>
      <c r="B82" s="3530"/>
      <c r="C82" s="2831" t="s">
        <v>2666</v>
      </c>
      <c r="D82" s="2831" t="s">
        <v>2667</v>
      </c>
      <c r="E82" s="2857">
        <v>0.1</v>
      </c>
      <c r="F82" s="2857">
        <v>15</v>
      </c>
    </row>
    <row r="83" spans="1:6" ht="24">
      <c r="A83" s="2857">
        <v>11</v>
      </c>
      <c r="B83" s="3530"/>
      <c r="C83" s="2831" t="s">
        <v>2668</v>
      </c>
      <c r="D83" s="2831" t="s">
        <v>2669</v>
      </c>
      <c r="E83" s="2857">
        <v>0.1</v>
      </c>
      <c r="F83" s="2857">
        <v>15</v>
      </c>
    </row>
    <row r="84" spans="1:6" ht="24">
      <c r="A84" s="2857">
        <v>12</v>
      </c>
      <c r="B84" s="3530"/>
      <c r="C84" s="2831" t="s">
        <v>2670</v>
      </c>
      <c r="D84" s="2831" t="s">
        <v>2671</v>
      </c>
      <c r="E84" s="2857">
        <v>0.1</v>
      </c>
      <c r="F84" s="2857">
        <v>15</v>
      </c>
    </row>
    <row r="85" spans="1:6" ht="13.5">
      <c r="A85" s="2857">
        <v>13</v>
      </c>
      <c r="B85" s="3530"/>
      <c r="C85" s="2831" t="s">
        <v>2672</v>
      </c>
      <c r="D85" s="2831" t="s">
        <v>2673</v>
      </c>
      <c r="E85" s="2857">
        <v>0.1</v>
      </c>
      <c r="F85" s="2857">
        <v>15</v>
      </c>
    </row>
    <row r="86" spans="1:6" ht="13.5">
      <c r="A86" s="2857">
        <v>14</v>
      </c>
      <c r="B86" s="3530"/>
      <c r="C86" s="2831" t="s">
        <v>2674</v>
      </c>
      <c r="D86" s="2831" t="s">
        <v>2675</v>
      </c>
      <c r="E86" s="2857">
        <v>0.1</v>
      </c>
      <c r="F86" s="2857">
        <v>15</v>
      </c>
    </row>
    <row r="87" spans="1:6" ht="13.5">
      <c r="A87" s="2857">
        <v>15</v>
      </c>
      <c r="B87" s="3530"/>
      <c r="C87" s="2831" t="s">
        <v>2676</v>
      </c>
      <c r="D87" s="2831" t="s">
        <v>2677</v>
      </c>
      <c r="E87" s="2857">
        <v>0.1</v>
      </c>
      <c r="F87" s="2857">
        <v>15</v>
      </c>
    </row>
    <row r="88" spans="1:6" ht="24">
      <c r="A88" s="2857">
        <v>16</v>
      </c>
      <c r="B88" s="3530"/>
      <c r="C88" s="2831" t="s">
        <v>2678</v>
      </c>
      <c r="D88" s="2831" t="s">
        <v>2679</v>
      </c>
      <c r="E88" s="2857">
        <v>0.1</v>
      </c>
      <c r="F88" s="2857">
        <v>15</v>
      </c>
    </row>
    <row r="89" spans="1:6" ht="24">
      <c r="A89" s="2857">
        <v>17</v>
      </c>
      <c r="B89" s="3539"/>
      <c r="C89" s="2831" t="s">
        <v>2680</v>
      </c>
      <c r="D89" s="2831" t="s">
        <v>2681</v>
      </c>
      <c r="E89" s="2857">
        <v>0.1</v>
      </c>
      <c r="F89" s="2857">
        <v>15</v>
      </c>
    </row>
    <row r="90" spans="1:6" ht="13.5">
      <c r="A90" s="2857">
        <v>18</v>
      </c>
      <c r="B90" s="3535" t="s">
        <v>2682</v>
      </c>
      <c r="C90" s="2831" t="s">
        <v>2683</v>
      </c>
      <c r="D90" s="2831" t="s">
        <v>2684</v>
      </c>
      <c r="E90" s="2857">
        <v>0.2</v>
      </c>
      <c r="F90" s="2857">
        <v>25</v>
      </c>
    </row>
    <row r="91" spans="1:6" ht="24">
      <c r="A91" s="2857">
        <v>19</v>
      </c>
      <c r="B91" s="3530"/>
      <c r="C91" s="2831" t="s">
        <v>2685</v>
      </c>
      <c r="D91" s="2831" t="s">
        <v>2686</v>
      </c>
      <c r="E91" s="2857">
        <v>0.2</v>
      </c>
      <c r="F91" s="2857">
        <v>25</v>
      </c>
    </row>
    <row r="92" spans="1:6" ht="13.5">
      <c r="A92" s="2857">
        <v>20</v>
      </c>
      <c r="B92" s="3530"/>
      <c r="C92" s="2831" t="s">
        <v>2687</v>
      </c>
      <c r="D92" s="2831" t="s">
        <v>2688</v>
      </c>
      <c r="E92" s="2857">
        <v>0.15</v>
      </c>
      <c r="F92" s="2857">
        <v>20</v>
      </c>
    </row>
    <row r="93" spans="1:6" ht="13.5">
      <c r="A93" s="2857">
        <v>21</v>
      </c>
      <c r="B93" s="3530"/>
      <c r="C93" s="2831" t="s">
        <v>2689</v>
      </c>
      <c r="D93" s="2831" t="s">
        <v>2690</v>
      </c>
      <c r="E93" s="2857">
        <v>0.15</v>
      </c>
      <c r="F93" s="2857">
        <v>20</v>
      </c>
    </row>
    <row r="94" spans="1:6" ht="13.5">
      <c r="A94" s="2857">
        <v>22</v>
      </c>
      <c r="B94" s="3530"/>
      <c r="C94" s="2831" t="s">
        <v>2691</v>
      </c>
      <c r="D94" s="2831" t="s">
        <v>2692</v>
      </c>
      <c r="E94" s="2857">
        <v>0.15</v>
      </c>
      <c r="F94" s="2857">
        <v>20</v>
      </c>
    </row>
    <row r="95" spans="1:6" ht="36">
      <c r="A95" s="2857">
        <v>23</v>
      </c>
      <c r="B95" s="3530"/>
      <c r="C95" s="2831" t="s">
        <v>2693</v>
      </c>
      <c r="D95" s="2831" t="s">
        <v>2694</v>
      </c>
      <c r="E95" s="2857">
        <v>0.15</v>
      </c>
      <c r="F95" s="2857">
        <v>20</v>
      </c>
    </row>
    <row r="96" spans="1:6" ht="13.5">
      <c r="A96" s="2857">
        <v>24</v>
      </c>
      <c r="B96" s="3530"/>
      <c r="C96" s="2831" t="s">
        <v>2695</v>
      </c>
      <c r="D96" s="2831" t="s">
        <v>2696</v>
      </c>
      <c r="E96" s="2857">
        <v>0.1</v>
      </c>
      <c r="F96" s="2857">
        <v>15</v>
      </c>
    </row>
    <row r="97" spans="1:6" ht="13.5">
      <c r="A97" s="2857">
        <v>25</v>
      </c>
      <c r="B97" s="3530"/>
      <c r="C97" s="2831" t="s">
        <v>2697</v>
      </c>
      <c r="D97" s="2831" t="s">
        <v>2698</v>
      </c>
      <c r="E97" s="2857">
        <v>0.1</v>
      </c>
      <c r="F97" s="2857">
        <v>15</v>
      </c>
    </row>
    <row r="98" spans="1:6" ht="24">
      <c r="A98" s="2857">
        <v>26</v>
      </c>
      <c r="B98" s="3530"/>
      <c r="C98" s="2831" t="s">
        <v>2699</v>
      </c>
      <c r="D98" s="2831" t="s">
        <v>2700</v>
      </c>
      <c r="E98" s="2857">
        <v>0.1</v>
      </c>
      <c r="F98" s="2857">
        <v>15</v>
      </c>
    </row>
    <row r="99" spans="1:6" ht="24">
      <c r="A99" s="2857">
        <v>27</v>
      </c>
      <c r="B99" s="3530"/>
      <c r="C99" s="2831" t="s">
        <v>2701</v>
      </c>
      <c r="D99" s="2831" t="s">
        <v>2702</v>
      </c>
      <c r="E99" s="2857">
        <v>0.1</v>
      </c>
      <c r="F99" s="2857">
        <v>15</v>
      </c>
    </row>
    <row r="100" spans="1:6" ht="13.5">
      <c r="A100" s="2857">
        <v>28</v>
      </c>
      <c r="B100" s="3530"/>
      <c r="C100" s="2831" t="s">
        <v>2703</v>
      </c>
      <c r="D100" s="2831" t="s">
        <v>2704</v>
      </c>
      <c r="E100" s="2857">
        <v>0.1</v>
      </c>
      <c r="F100" s="2857">
        <v>15</v>
      </c>
    </row>
    <row r="101" spans="1:6" ht="13.5">
      <c r="A101" s="2857">
        <v>29</v>
      </c>
      <c r="B101" s="3530"/>
      <c r="C101" s="2831" t="s">
        <v>2705</v>
      </c>
      <c r="D101" s="2831" t="s">
        <v>2706</v>
      </c>
      <c r="E101" s="2857">
        <v>0.1</v>
      </c>
      <c r="F101" s="2857">
        <v>15</v>
      </c>
    </row>
    <row r="102" spans="1:6" ht="13.5">
      <c r="A102" s="2857">
        <v>30</v>
      </c>
      <c r="B102" s="3530"/>
      <c r="C102" s="2831" t="s">
        <v>2707</v>
      </c>
      <c r="D102" s="2831" t="s">
        <v>2708</v>
      </c>
      <c r="E102" s="2857">
        <v>0.1</v>
      </c>
      <c r="F102" s="2857">
        <v>15</v>
      </c>
    </row>
    <row r="103" spans="1:6" ht="24">
      <c r="A103" s="2857">
        <v>31</v>
      </c>
      <c r="B103" s="3530"/>
      <c r="C103" s="2831" t="s">
        <v>2709</v>
      </c>
      <c r="D103" s="2831" t="s">
        <v>2710</v>
      </c>
      <c r="E103" s="2857">
        <v>0.1</v>
      </c>
      <c r="F103" s="2857">
        <v>15</v>
      </c>
    </row>
    <row r="104" spans="1:6" ht="24">
      <c r="A104" s="2857">
        <v>32</v>
      </c>
      <c r="B104" s="3530"/>
      <c r="C104" s="2831" t="s">
        <v>2711</v>
      </c>
      <c r="D104" s="2831" t="s">
        <v>2712</v>
      </c>
      <c r="E104" s="2857">
        <v>0.1</v>
      </c>
      <c r="F104" s="2857">
        <v>15</v>
      </c>
    </row>
    <row r="105" spans="1:6" ht="24">
      <c r="A105" s="2857">
        <v>33</v>
      </c>
      <c r="B105" s="3530"/>
      <c r="C105" s="2831" t="s">
        <v>2713</v>
      </c>
      <c r="D105" s="2831" t="s">
        <v>2714</v>
      </c>
      <c r="E105" s="2857">
        <v>0.1</v>
      </c>
      <c r="F105" s="2857">
        <v>15</v>
      </c>
    </row>
    <row r="106" spans="1:6" ht="24">
      <c r="A106" s="2857">
        <v>34</v>
      </c>
      <c r="B106" s="3539"/>
      <c r="C106" s="2831" t="s">
        <v>2715</v>
      </c>
      <c r="D106" s="2831" t="s">
        <v>2716</v>
      </c>
      <c r="E106" s="2857">
        <v>0.1</v>
      </c>
      <c r="F106" s="2857">
        <v>15</v>
      </c>
    </row>
    <row r="107" spans="1:6" ht="24">
      <c r="A107" s="2857">
        <v>35</v>
      </c>
      <c r="B107" s="3535" t="s">
        <v>2717</v>
      </c>
      <c r="C107" s="2857" t="s">
        <v>2718</v>
      </c>
      <c r="D107" s="2831" t="s">
        <v>2719</v>
      </c>
      <c r="E107" s="2857">
        <v>0.15</v>
      </c>
      <c r="F107" s="2857">
        <v>20</v>
      </c>
    </row>
    <row r="108" spans="1:6" ht="13.5">
      <c r="A108" s="2857">
        <v>36</v>
      </c>
      <c r="B108" s="3530"/>
      <c r="C108" s="2857" t="s">
        <v>2720</v>
      </c>
      <c r="D108" s="2831" t="s">
        <v>2721</v>
      </c>
      <c r="E108" s="2857">
        <v>0.15</v>
      </c>
      <c r="F108" s="2857">
        <v>20</v>
      </c>
    </row>
    <row r="109" spans="1:6" ht="13.5">
      <c r="A109" s="2857">
        <v>37</v>
      </c>
      <c r="B109" s="3530"/>
      <c r="C109" s="2857" t="s">
        <v>2722</v>
      </c>
      <c r="D109" s="2831" t="s">
        <v>2723</v>
      </c>
      <c r="E109" s="2857">
        <v>0.15</v>
      </c>
      <c r="F109" s="2857">
        <v>20</v>
      </c>
    </row>
    <row r="110" spans="1:6" ht="13.5">
      <c r="A110" s="2857">
        <v>38</v>
      </c>
      <c r="B110" s="3530"/>
      <c r="C110" s="2857" t="s">
        <v>2724</v>
      </c>
      <c r="D110" s="2831" t="s">
        <v>2725</v>
      </c>
      <c r="E110" s="2857">
        <v>0.1</v>
      </c>
      <c r="F110" s="2857">
        <v>15</v>
      </c>
    </row>
    <row r="111" spans="1:6" ht="24">
      <c r="A111" s="2857">
        <v>39</v>
      </c>
      <c r="B111" s="3530"/>
      <c r="C111" s="2857" t="s">
        <v>2726</v>
      </c>
      <c r="D111" s="2831" t="s">
        <v>2727</v>
      </c>
      <c r="E111" s="2857">
        <v>0.1</v>
      </c>
      <c r="F111" s="2857">
        <v>15</v>
      </c>
    </row>
    <row r="112" spans="1:6" ht="24">
      <c r="A112" s="2857">
        <v>40</v>
      </c>
      <c r="B112" s="3539"/>
      <c r="C112" s="2857" t="s">
        <v>2728</v>
      </c>
      <c r="D112" s="2831" t="s">
        <v>2729</v>
      </c>
      <c r="E112" s="2857">
        <v>0.1</v>
      </c>
      <c r="F112" s="2857">
        <v>15</v>
      </c>
    </row>
    <row r="113" spans="1:6" ht="13.5">
      <c r="A113" s="2857">
        <v>41</v>
      </c>
      <c r="B113" s="3540" t="s">
        <v>2730</v>
      </c>
      <c r="C113" s="2857" t="s">
        <v>2731</v>
      </c>
      <c r="D113" s="2831" t="s">
        <v>2732</v>
      </c>
      <c r="E113" s="2857">
        <v>0.1</v>
      </c>
      <c r="F113" s="2857">
        <v>15</v>
      </c>
    </row>
    <row r="114" spans="1:6" ht="13.5">
      <c r="A114" s="2857">
        <v>42</v>
      </c>
      <c r="B114" s="3540"/>
      <c r="C114" s="2857" t="s">
        <v>2733</v>
      </c>
      <c r="D114" s="2831" t="s">
        <v>2734</v>
      </c>
      <c r="E114" s="2857">
        <v>0.1</v>
      </c>
      <c r="F114" s="2857">
        <v>15</v>
      </c>
    </row>
    <row r="115" spans="1:6" ht="24">
      <c r="A115" s="2857">
        <v>43</v>
      </c>
      <c r="B115" s="3540"/>
      <c r="C115" s="2857" t="s">
        <v>2735</v>
      </c>
      <c r="D115" s="2831" t="s">
        <v>2736</v>
      </c>
      <c r="E115" s="2857">
        <v>0.1</v>
      </c>
      <c r="F115" s="2857">
        <v>15</v>
      </c>
    </row>
    <row r="116" spans="1:6" ht="13.5">
      <c r="A116" s="2857">
        <v>44</v>
      </c>
      <c r="B116" s="3535" t="s">
        <v>2737</v>
      </c>
      <c r="C116" s="2857" t="s">
        <v>2738</v>
      </c>
      <c r="D116" s="2831" t="s">
        <v>2739</v>
      </c>
      <c r="E116" s="2857">
        <v>0.1</v>
      </c>
      <c r="F116" s="2857">
        <v>15</v>
      </c>
    </row>
    <row r="117" spans="1:6" ht="24">
      <c r="A117" s="2857">
        <v>45</v>
      </c>
      <c r="B117" s="3539"/>
      <c r="C117" s="2831" t="s">
        <v>2740</v>
      </c>
      <c r="D117" s="2831" t="s">
        <v>2741</v>
      </c>
      <c r="E117" s="2857">
        <v>0.1</v>
      </c>
      <c r="F117" s="2857">
        <v>15</v>
      </c>
    </row>
    <row r="118" spans="1:6" ht="24">
      <c r="A118" s="2857">
        <v>46</v>
      </c>
      <c r="B118" s="3535" t="s">
        <v>2742</v>
      </c>
      <c r="C118" s="2857" t="s">
        <v>2743</v>
      </c>
      <c r="D118" s="2831" t="s">
        <v>2744</v>
      </c>
      <c r="E118" s="2857">
        <v>0.1</v>
      </c>
      <c r="F118" s="2857">
        <v>15</v>
      </c>
    </row>
    <row r="119" spans="1:6" ht="24">
      <c r="A119" s="2857">
        <v>47</v>
      </c>
      <c r="B119" s="3539"/>
      <c r="C119" s="2857" t="s">
        <v>2745</v>
      </c>
      <c r="D119" s="2831" t="s">
        <v>2746</v>
      </c>
      <c r="E119" s="2857">
        <v>0.1</v>
      </c>
      <c r="F119" s="2857">
        <v>15</v>
      </c>
    </row>
    <row r="120" spans="1:6" ht="13.5">
      <c r="A120" s="2857">
        <v>48</v>
      </c>
      <c r="B120" s="3535" t="s">
        <v>2747</v>
      </c>
      <c r="C120" s="2857" t="s">
        <v>2748</v>
      </c>
      <c r="D120" s="2831" t="s">
        <v>2749</v>
      </c>
      <c r="E120" s="2857">
        <v>0.1</v>
      </c>
      <c r="F120" s="2857">
        <v>15</v>
      </c>
    </row>
    <row r="121" spans="1:6" ht="13.5">
      <c r="A121" s="2857">
        <v>49</v>
      </c>
      <c r="B121" s="3539"/>
      <c r="C121" s="2857" t="s">
        <v>2750</v>
      </c>
      <c r="D121" s="2831" t="s">
        <v>2751</v>
      </c>
      <c r="E121" s="2857">
        <v>0.1</v>
      </c>
      <c r="F121" s="2857">
        <v>15</v>
      </c>
    </row>
    <row r="122" spans="1:6" ht="24">
      <c r="A122" s="2857">
        <v>50</v>
      </c>
      <c r="B122" s="3540" t="s">
        <v>2752</v>
      </c>
      <c r="C122" s="2857" t="s">
        <v>2753</v>
      </c>
      <c r="D122" s="2831" t="s">
        <v>2754</v>
      </c>
      <c r="E122" s="2857">
        <v>0.1</v>
      </c>
      <c r="F122" s="2857">
        <v>15</v>
      </c>
    </row>
    <row r="123" spans="1:6" ht="24">
      <c r="A123" s="2857">
        <v>51</v>
      </c>
      <c r="B123" s="3540"/>
      <c r="C123" s="2857" t="s">
        <v>2755</v>
      </c>
      <c r="D123" s="2831" t="s">
        <v>2756</v>
      </c>
      <c r="E123" s="2857">
        <v>0.1</v>
      </c>
      <c r="F123" s="2857">
        <v>15</v>
      </c>
    </row>
    <row r="124" spans="1:6" ht="24">
      <c r="A124" s="2857">
        <v>52</v>
      </c>
      <c r="B124" s="3540" t="s">
        <v>2757</v>
      </c>
      <c r="C124" s="2857" t="s">
        <v>2758</v>
      </c>
      <c r="D124" s="2831" t="s">
        <v>2759</v>
      </c>
      <c r="E124" s="2857">
        <v>0.1</v>
      </c>
      <c r="F124" s="2857">
        <v>15</v>
      </c>
    </row>
    <row r="125" spans="1:6" ht="24">
      <c r="A125" s="2857">
        <v>53</v>
      </c>
      <c r="B125" s="3540"/>
      <c r="C125" s="2857" t="s">
        <v>2760</v>
      </c>
      <c r="D125" s="2831" t="s">
        <v>2761</v>
      </c>
      <c r="E125" s="2857">
        <v>0.1</v>
      </c>
      <c r="F125" s="2857">
        <v>15</v>
      </c>
    </row>
    <row r="126" spans="1:6" ht="13.5">
      <c r="A126" s="2857">
        <v>54</v>
      </c>
      <c r="B126" s="2857" t="s">
        <v>2762</v>
      </c>
      <c r="C126" s="2857" t="s">
        <v>2763</v>
      </c>
      <c r="D126" s="2831" t="s">
        <v>2764</v>
      </c>
      <c r="E126" s="2857">
        <v>0.1</v>
      </c>
      <c r="F126" s="2857">
        <v>15</v>
      </c>
    </row>
    <row r="127" spans="1:6" ht="13.5">
      <c r="A127" s="2857">
        <v>55</v>
      </c>
      <c r="B127" s="3540" t="s">
        <v>2765</v>
      </c>
      <c r="C127" s="2857" t="s">
        <v>2766</v>
      </c>
      <c r="D127" s="2831" t="s">
        <v>2767</v>
      </c>
      <c r="E127" s="2857">
        <v>0.1</v>
      </c>
      <c r="F127" s="2857">
        <v>15</v>
      </c>
    </row>
    <row r="128" spans="1:6" ht="13.5">
      <c r="A128" s="2857">
        <v>56</v>
      </c>
      <c r="B128" s="3540"/>
      <c r="C128" s="2857" t="s">
        <v>2768</v>
      </c>
      <c r="D128" s="2831" t="s">
        <v>2769</v>
      </c>
      <c r="E128" s="2857">
        <v>0.1</v>
      </c>
      <c r="F128" s="2857">
        <v>15</v>
      </c>
    </row>
    <row r="129" spans="1:6" ht="24">
      <c r="A129" s="2857">
        <v>57</v>
      </c>
      <c r="B129" s="3540"/>
      <c r="C129" s="2857" t="s">
        <v>2770</v>
      </c>
      <c r="D129" s="2831" t="s">
        <v>2771</v>
      </c>
      <c r="E129" s="2857">
        <v>0.1</v>
      </c>
      <c r="F129" s="2857">
        <v>15</v>
      </c>
    </row>
    <row r="130" spans="1:6" ht="24">
      <c r="A130" s="2857">
        <v>58</v>
      </c>
      <c r="B130" s="3540" t="s">
        <v>2772</v>
      </c>
      <c r="C130" s="2857" t="s">
        <v>2773</v>
      </c>
      <c r="D130" s="2831" t="s">
        <v>2774</v>
      </c>
      <c r="E130" s="2857">
        <v>0.1</v>
      </c>
      <c r="F130" s="2857">
        <v>15</v>
      </c>
    </row>
    <row r="131" spans="1:6" ht="13.5">
      <c r="A131" s="2857">
        <v>59</v>
      </c>
      <c r="B131" s="3540"/>
      <c r="C131" s="2857" t="s">
        <v>2775</v>
      </c>
      <c r="D131" s="2831" t="s">
        <v>2776</v>
      </c>
      <c r="E131" s="2857">
        <v>0.1</v>
      </c>
      <c r="F131" s="2857">
        <v>15</v>
      </c>
    </row>
    <row r="132" spans="1:6" ht="13.5">
      <c r="A132" s="2857">
        <v>60</v>
      </c>
      <c r="B132" s="3535" t="s">
        <v>2777</v>
      </c>
      <c r="C132" s="2857" t="s">
        <v>2778</v>
      </c>
      <c r="D132" s="2831" t="s">
        <v>2779</v>
      </c>
      <c r="E132" s="2857">
        <v>0.1</v>
      </c>
      <c r="F132" s="2857">
        <v>15</v>
      </c>
    </row>
    <row r="133" spans="1:6" ht="13.5">
      <c r="A133" s="2857">
        <v>61</v>
      </c>
      <c r="B133" s="3539"/>
      <c r="C133" s="2857" t="s">
        <v>2780</v>
      </c>
      <c r="D133" s="2831" t="s">
        <v>2781</v>
      </c>
      <c r="E133" s="2857">
        <v>0.1</v>
      </c>
      <c r="F133" s="2857">
        <v>15</v>
      </c>
    </row>
    <row r="134" spans="1:6" ht="24">
      <c r="A134" s="2857">
        <v>62</v>
      </c>
      <c r="B134" s="2857" t="s">
        <v>2782</v>
      </c>
      <c r="C134" s="2857" t="s">
        <v>2783</v>
      </c>
      <c r="D134" s="2831" t="s">
        <v>2784</v>
      </c>
      <c r="E134" s="2857">
        <v>0.1</v>
      </c>
      <c r="F134" s="2857">
        <v>15</v>
      </c>
    </row>
    <row r="135" spans="1:6" ht="13.5">
      <c r="A135" s="2857">
        <v>63</v>
      </c>
      <c r="B135" s="3540" t="s">
        <v>2785</v>
      </c>
      <c r="C135" s="2857" t="s">
        <v>2786</v>
      </c>
      <c r="D135" s="2831" t="s">
        <v>2787</v>
      </c>
      <c r="E135" s="2857">
        <v>0.1</v>
      </c>
      <c r="F135" s="2857">
        <v>15</v>
      </c>
    </row>
    <row r="136" spans="1:6" ht="13.5">
      <c r="A136" s="2857">
        <v>64</v>
      </c>
      <c r="B136" s="3540"/>
      <c r="C136" s="2857" t="s">
        <v>2788</v>
      </c>
      <c r="D136" s="2831" t="s">
        <v>2789</v>
      </c>
      <c r="E136" s="2857">
        <v>0.1</v>
      </c>
      <c r="F136" s="2857">
        <v>15</v>
      </c>
    </row>
    <row r="137" spans="1:6" ht="13.5">
      <c r="A137" s="2857">
        <v>65</v>
      </c>
      <c r="B137" s="2857" t="s">
        <v>2790</v>
      </c>
      <c r="C137" s="2857" t="s">
        <v>2791</v>
      </c>
      <c r="D137" s="2831" t="s">
        <v>2792</v>
      </c>
      <c r="E137" s="2857">
        <v>0.1</v>
      </c>
      <c r="F137" s="2857">
        <v>15</v>
      </c>
    </row>
    <row r="138" spans="1:6" ht="13.5">
      <c r="A138" s="2857"/>
      <c r="B138" s="2857"/>
      <c r="C138" s="2857"/>
      <c r="D138" s="2857"/>
      <c r="E138" s="2857" t="s">
        <v>2793</v>
      </c>
      <c r="F138" s="285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2794</v>
      </c>
      <c r="B1" s="2865"/>
      <c r="C1" s="2865"/>
      <c r="D1" s="2865"/>
      <c r="E1" s="2865"/>
      <c r="F1" s="2865"/>
      <c r="G1" s="2865"/>
      <c r="H1" s="2865"/>
      <c r="I1" s="2865"/>
      <c r="J1" s="2865"/>
      <c r="K1" s="2865"/>
      <c r="L1" s="2865"/>
      <c r="M1" s="2865"/>
      <c r="N1" s="707"/>
    </row>
    <row r="2" spans="1:20">
      <c r="A2" s="2866" t="s">
        <v>2795</v>
      </c>
      <c r="B2" s="2867" t="s">
        <v>2591</v>
      </c>
      <c r="C2" s="2867" t="s">
        <v>2592</v>
      </c>
      <c r="D2" s="2867" t="s">
        <v>2593</v>
      </c>
      <c r="E2" s="2867" t="s">
        <v>2594</v>
      </c>
      <c r="F2" s="2867" t="s">
        <v>2595</v>
      </c>
      <c r="G2" s="2867" t="s">
        <v>2596</v>
      </c>
      <c r="H2" s="2868" t="s">
        <v>2597</v>
      </c>
      <c r="I2" s="2868" t="s">
        <v>2598</v>
      </c>
      <c r="J2" s="2869" t="s">
        <v>2599</v>
      </c>
      <c r="K2" s="2869" t="s">
        <v>2600</v>
      </c>
      <c r="L2" s="2869" t="s">
        <v>2601</v>
      </c>
      <c r="M2" s="2870" t="s">
        <v>2602</v>
      </c>
      <c r="Q2" s="2880" t="s">
        <v>2800</v>
      </c>
      <c r="R2" s="2880" t="s">
        <v>2801</v>
      </c>
      <c r="S2" s="2880" t="s">
        <v>2802</v>
      </c>
      <c r="T2" s="2880" t="s">
        <v>2803</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2796</v>
      </c>
      <c r="B93" s="2865"/>
      <c r="C93" s="2865"/>
      <c r="D93" s="2865"/>
      <c r="E93" s="2865"/>
      <c r="F93" s="2865"/>
      <c r="G93" s="2865"/>
      <c r="H93" s="2865"/>
      <c r="I93" s="2865"/>
      <c r="J93" s="2865"/>
      <c r="K93" s="2865"/>
      <c r="L93" s="2865"/>
      <c r="M93" s="2865"/>
    </row>
    <row r="94" spans="1:20">
      <c r="A94" s="2866" t="s">
        <v>2795</v>
      </c>
      <c r="B94" s="2867" t="s">
        <v>2591</v>
      </c>
      <c r="C94" s="2867" t="s">
        <v>2592</v>
      </c>
      <c r="D94" s="2867" t="s">
        <v>2593</v>
      </c>
      <c r="E94" s="2867" t="s">
        <v>2594</v>
      </c>
      <c r="F94" s="2867" t="s">
        <v>2595</v>
      </c>
      <c r="G94" s="2867" t="s">
        <v>2596</v>
      </c>
      <c r="H94" s="2868" t="s">
        <v>2597</v>
      </c>
      <c r="I94" s="2868" t="s">
        <v>2598</v>
      </c>
      <c r="J94" s="2869" t="s">
        <v>2599</v>
      </c>
      <c r="K94" s="2869" t="s">
        <v>2600</v>
      </c>
      <c r="L94" s="2869" t="s">
        <v>2601</v>
      </c>
      <c r="M94" s="2870" t="s">
        <v>2602</v>
      </c>
      <c r="N94">
        <f>SUMPRODUCT((A95:A184=ROUNDDOWN(基准地价修正!G3,1))*(B94:M94=基准地价修正!G2)*(B95:M184))</f>
        <v>1.0512999999999999</v>
      </c>
      <c r="Q94" s="2880" t="s">
        <v>2800</v>
      </c>
      <c r="R94" s="2880" t="s">
        <v>2801</v>
      </c>
      <c r="S94" s="2880" t="s">
        <v>2802</v>
      </c>
      <c r="T94" s="2880" t="s">
        <v>2803</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2797</v>
      </c>
      <c r="B185" s="2865"/>
      <c r="C185" s="2865"/>
      <c r="D185" s="2865"/>
      <c r="E185" s="2865"/>
      <c r="F185" s="2865"/>
      <c r="G185" s="2865"/>
      <c r="H185" s="2865"/>
      <c r="I185" s="2865"/>
      <c r="J185" s="2865"/>
      <c r="K185" s="2865"/>
      <c r="L185" s="2865"/>
      <c r="M185" s="2865"/>
    </row>
    <row r="186" spans="1:20">
      <c r="A186" s="2866" t="s">
        <v>2795</v>
      </c>
      <c r="B186" s="2867" t="s">
        <v>2591</v>
      </c>
      <c r="C186" s="2867" t="s">
        <v>2592</v>
      </c>
      <c r="D186" s="2867" t="s">
        <v>2593</v>
      </c>
      <c r="E186" s="2867" t="s">
        <v>2594</v>
      </c>
      <c r="F186" s="2867" t="s">
        <v>2595</v>
      </c>
      <c r="G186" s="2867" t="s">
        <v>2596</v>
      </c>
      <c r="H186" s="2868" t="s">
        <v>2597</v>
      </c>
      <c r="I186" s="2868" t="s">
        <v>2598</v>
      </c>
      <c r="J186" s="2869" t="s">
        <v>2599</v>
      </c>
      <c r="K186" s="2869" t="s">
        <v>2600</v>
      </c>
      <c r="L186" s="2869" t="s">
        <v>2601</v>
      </c>
      <c r="M186" s="2870" t="s">
        <v>2602</v>
      </c>
      <c r="Q186" s="2880" t="s">
        <v>2800</v>
      </c>
      <c r="R186" s="2880" t="s">
        <v>2801</v>
      </c>
      <c r="S186" s="2880" t="s">
        <v>2802</v>
      </c>
      <c r="T186" s="2880" t="s">
        <v>2803</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2798</v>
      </c>
      <c r="B277" s="2865"/>
      <c r="C277" s="2865"/>
      <c r="D277" s="2865"/>
      <c r="E277" s="2865"/>
      <c r="F277" s="2865"/>
      <c r="G277" s="2865"/>
      <c r="H277" s="2865"/>
      <c r="I277" s="2865"/>
      <c r="J277" s="2865"/>
      <c r="K277" s="2865"/>
      <c r="L277" s="2865"/>
      <c r="M277" s="2865"/>
    </row>
    <row r="278" spans="1:21">
      <c r="A278" s="2866" t="s">
        <v>2795</v>
      </c>
      <c r="B278" s="2867" t="s">
        <v>2591</v>
      </c>
      <c r="C278" s="2867" t="s">
        <v>2592</v>
      </c>
      <c r="D278" s="2867" t="s">
        <v>2593</v>
      </c>
      <c r="E278" s="2867" t="s">
        <v>2594</v>
      </c>
      <c r="F278" s="2867" t="s">
        <v>2595</v>
      </c>
      <c r="G278" s="2867" t="s">
        <v>2596</v>
      </c>
      <c r="H278" s="2868" t="s">
        <v>2597</v>
      </c>
      <c r="I278" s="2868" t="s">
        <v>2598</v>
      </c>
      <c r="J278" s="2869" t="s">
        <v>2599</v>
      </c>
      <c r="K278" s="2869" t="s">
        <v>2600</v>
      </c>
      <c r="L278" s="2869" t="s">
        <v>2601</v>
      </c>
      <c r="M278" s="2870" t="s">
        <v>2602</v>
      </c>
      <c r="Q278" s="2880" t="s">
        <v>2800</v>
      </c>
      <c r="R278" s="2880" t="s">
        <v>2801</v>
      </c>
      <c r="S278" s="2880" t="s">
        <v>2804</v>
      </c>
      <c r="T278" s="2880" t="s">
        <v>2805</v>
      </c>
      <c r="U278" s="2880" t="s">
        <v>2803</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2799</v>
      </c>
      <c r="B369" s="2878"/>
      <c r="C369" s="2878"/>
      <c r="D369" s="2878"/>
      <c r="E369" s="2878"/>
      <c r="F369" s="2878"/>
      <c r="G369" s="2878"/>
      <c r="H369" s="2878"/>
      <c r="I369" s="2878"/>
      <c r="J369" s="2878"/>
      <c r="K369" s="2878"/>
      <c r="L369" s="2878"/>
      <c r="M369" s="2878"/>
    </row>
    <row r="370" spans="1:20">
      <c r="A370" s="2866" t="s">
        <v>2795</v>
      </c>
      <c r="B370" s="2867" t="s">
        <v>2591</v>
      </c>
      <c r="C370" s="2867" t="s">
        <v>2592</v>
      </c>
      <c r="D370" s="2867" t="s">
        <v>2593</v>
      </c>
      <c r="E370" s="2867" t="s">
        <v>2594</v>
      </c>
      <c r="F370" s="2867" t="s">
        <v>2595</v>
      </c>
      <c r="G370" s="2867" t="s">
        <v>2596</v>
      </c>
      <c r="H370" s="2868" t="s">
        <v>2597</v>
      </c>
      <c r="I370" s="2868" t="s">
        <v>2598</v>
      </c>
      <c r="J370" s="2869" t="s">
        <v>2599</v>
      </c>
      <c r="K370" s="2869" t="s">
        <v>2600</v>
      </c>
      <c r="L370" s="2869" t="s">
        <v>2601</v>
      </c>
      <c r="M370" s="2870" t="s">
        <v>2602</v>
      </c>
      <c r="N370">
        <f>SUMPRODUCT((A371:A460=ROUNDDOWN(基准地价修正!G3,1))*(B370:M370=基准地价修正!G2)*(B371:M460))</f>
        <v>1</v>
      </c>
      <c r="Q370" s="2880" t="s">
        <v>2800</v>
      </c>
      <c r="R370" s="2880" t="s">
        <v>2801</v>
      </c>
      <c r="S370" s="2880" t="s">
        <v>2802</v>
      </c>
      <c r="T370" s="2880" t="s">
        <v>2803</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87129</v>
      </c>
      <c r="C2" s="2" t="s">
        <v>106</v>
      </c>
      <c r="D2" s="191"/>
      <c r="E2" s="191"/>
      <c r="F2" s="191"/>
      <c r="G2" s="191"/>
    </row>
    <row r="3" spans="1:7" s="192" customFormat="1" ht="18" customHeight="1" thickBot="1">
      <c r="A3" s="195" t="s">
        <v>58</v>
      </c>
      <c r="B3" s="196">
        <f ca="1">ROUND(B2*10000/'数据-汇总表'!E3,0)</f>
        <v>13198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1254</v>
      </c>
      <c r="D10" s="795">
        <f>'数据-汇总表'!E6</f>
        <v>66017.299999999916</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1320</v>
      </c>
      <c r="D19" s="204">
        <f>'数据-汇总表'!E3</f>
        <v>66017.299999999916</v>
      </c>
      <c r="E19" s="203">
        <f>'数据-取费表'!B31</f>
        <v>200</v>
      </c>
      <c r="F19" s="223"/>
      <c r="G19" s="1" t="s">
        <v>436</v>
      </c>
    </row>
    <row r="20" spans="1:7" s="206" customFormat="1" ht="13.5" customHeight="1">
      <c r="A20" s="731" t="s">
        <v>419</v>
      </c>
      <c r="B20" s="202" t="s">
        <v>77</v>
      </c>
      <c r="C20" s="224">
        <f>ROUND((C5+C19)*F20,0)</f>
        <v>658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2135</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127</v>
      </c>
      <c r="D24" s="230"/>
      <c r="E24" s="230"/>
      <c r="F24" s="231"/>
      <c r="G24" s="232" t="s">
        <v>82</v>
      </c>
    </row>
    <row r="25" spans="1:7" s="206" customFormat="1" ht="24">
      <c r="A25" s="734" t="s">
        <v>348</v>
      </c>
      <c r="B25" s="207" t="s">
        <v>420</v>
      </c>
      <c r="C25" s="1042">
        <f ca="1">ROUND(IF('数据-取费表'!B22&lt;=1,C20*F22*'数据-取费表'!B23/2,C20*(POWER((1+F22),'数据-取费表'!B23/2)-1)),0)</f>
        <v>31</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5647</v>
      </c>
      <c r="D27" s="227">
        <f>C29</f>
        <v>7.4999999999999997E-3</v>
      </c>
      <c r="E27" s="228" t="s">
        <v>99</v>
      </c>
      <c r="F27" s="238">
        <f>'数据-取费表'!Q16</f>
        <v>0.25</v>
      </c>
      <c r="G27" s="239" t="s">
        <v>431</v>
      </c>
    </row>
    <row r="28" spans="1:7" s="206" customFormat="1" ht="13.5" customHeight="1">
      <c r="A28" s="734" t="s">
        <v>349</v>
      </c>
      <c r="B28" s="240" t="s">
        <v>424</v>
      </c>
      <c r="C28" s="241">
        <f>ROUND((C5+C19+C20)*F27*'数据-取费表'!B21/'数据-取费表'!B20,0)</f>
        <v>5647</v>
      </c>
      <c r="D28" s="227"/>
      <c r="E28" s="228"/>
      <c r="F28" s="238"/>
      <c r="G28" s="239"/>
    </row>
    <row r="29" spans="1:7" s="206" customFormat="1" ht="13.5" customHeight="1">
      <c r="A29" s="734" t="s">
        <v>347</v>
      </c>
      <c r="B29" s="240" t="s">
        <v>425</v>
      </c>
      <c r="C29" s="230">
        <f>ROUND(C21*F27*'数据-取费表'!B21/'数据-取费表'!B20,4)</f>
        <v>7.4999999999999997E-3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33456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38395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34329</v>
      </c>
      <c r="D34" s="209"/>
      <c r="E34" s="212"/>
      <c r="F34" s="249">
        <f>IF('数据-取费表'!B24=0,1,'数据-取费表'!N16)</f>
        <v>1</v>
      </c>
      <c r="G34" s="211" t="s">
        <v>89</v>
      </c>
    </row>
    <row r="35" spans="1:7" ht="13.5" customHeight="1">
      <c r="A35" s="734" t="s">
        <v>351</v>
      </c>
      <c r="B35" s="207" t="s">
        <v>33</v>
      </c>
      <c r="C35" s="212">
        <f>ROUND(C34*F35,0)</f>
        <v>1716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1320</v>
      </c>
      <c r="D37" s="209">
        <f>'数据-汇总表'!E3</f>
        <v>66017.299999999916</v>
      </c>
      <c r="E37" s="241">
        <f>'数据-取费表'!B35</f>
        <v>200</v>
      </c>
      <c r="F37" s="251"/>
      <c r="G37" s="253" t="s">
        <v>92</v>
      </c>
    </row>
    <row r="38" spans="1:7" ht="13.5" customHeight="1">
      <c r="A38" s="734" t="s">
        <v>354</v>
      </c>
      <c r="B38" s="207" t="s">
        <v>36</v>
      </c>
      <c r="C38" s="212">
        <f>ROUND(C34*F38,0)</f>
        <v>1030</v>
      </c>
      <c r="D38" s="212"/>
      <c r="E38" s="212"/>
      <c r="F38" s="251">
        <f>'数据-取费表'!B36</f>
        <v>0.03</v>
      </c>
      <c r="G38" s="211" t="s">
        <v>90</v>
      </c>
    </row>
    <row r="39" spans="1:7" s="206" customFormat="1" ht="13.5" customHeight="1">
      <c r="A39" s="731" t="s">
        <v>338</v>
      </c>
      <c r="B39" s="202" t="s">
        <v>77</v>
      </c>
      <c r="C39" s="224">
        <f>ROUND(C33*F20,0)</f>
        <v>1152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1853</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1799</v>
      </c>
      <c r="D42" s="230"/>
      <c r="E42" s="230"/>
      <c r="F42" s="231"/>
      <c r="G42" s="3406" t="s">
        <v>94</v>
      </c>
    </row>
    <row r="43" spans="1:7" ht="13.5" customHeight="1">
      <c r="A43" s="734" t="s">
        <v>347</v>
      </c>
      <c r="B43" s="207" t="s">
        <v>426</v>
      </c>
      <c r="C43" s="230">
        <f ca="1">ROUND(IF('数据-取费表'!B22&lt;=1,C39*F22*'数据-取费表'!B21/2,C39*(POWER((1+F22),'数据-取费表'!B21/2)-1)),0)</f>
        <v>54</v>
      </c>
      <c r="D43" s="230"/>
      <c r="E43" s="230"/>
      <c r="F43" s="231"/>
      <c r="G43" s="3407"/>
    </row>
    <row r="44" spans="1:7" ht="13.5" customHeight="1">
      <c r="A44" s="734" t="s">
        <v>348</v>
      </c>
      <c r="B44" s="207" t="s">
        <v>428</v>
      </c>
      <c r="C44" s="230">
        <f ca="1">ROUND(IF('数据-取费表'!B22&lt;=1,C40*F22*'数据-取费表'!B21/2,C40*(POWER((1+F22),'数据-取费表'!B21/2)-1)),4)</f>
        <v>1.4E-3</v>
      </c>
      <c r="D44" s="230"/>
      <c r="E44" s="230"/>
      <c r="F44" s="231"/>
      <c r="G44" s="3408"/>
    </row>
    <row r="45" spans="1:7" s="206" customFormat="1" ht="13.5" customHeight="1">
      <c r="A45" s="731" t="s">
        <v>341</v>
      </c>
      <c r="B45" s="236" t="s">
        <v>85</v>
      </c>
      <c r="C45" s="237">
        <f>C46</f>
        <v>9887</v>
      </c>
      <c r="D45" s="227">
        <f>C47</f>
        <v>7.4999999999999997E-3</v>
      </c>
      <c r="E45" s="228" t="s">
        <v>102</v>
      </c>
      <c r="F45" s="238"/>
      <c r="G45" s="239" t="s">
        <v>434</v>
      </c>
    </row>
    <row r="46" spans="1:7" s="206" customFormat="1" ht="13.5" customHeight="1">
      <c r="A46" s="734" t="s">
        <v>349</v>
      </c>
      <c r="B46" s="240" t="s">
        <v>427</v>
      </c>
      <c r="C46" s="241">
        <f>ROUND((C33+C39)*F27,0)</f>
        <v>9887</v>
      </c>
      <c r="D46" s="255"/>
      <c r="E46" s="228"/>
      <c r="F46" s="238"/>
      <c r="G46" s="239"/>
    </row>
    <row r="47" spans="1:7" s="206" customFormat="1" ht="13.5" customHeight="1">
      <c r="A47" s="734" t="s">
        <v>347</v>
      </c>
      <c r="B47" s="240" t="s">
        <v>429</v>
      </c>
      <c r="C47" s="230">
        <f>ROUND(C40*F27,4)</f>
        <v>7.4999999999999997E-3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56498</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53673</v>
      </c>
      <c r="D51" s="224"/>
      <c r="E51" s="224"/>
      <c r="F51" s="256"/>
      <c r="G51" s="226" t="s">
        <v>37</v>
      </c>
    </row>
    <row r="52" spans="1:7" s="200" customFormat="1" ht="16.5" thickBot="1">
      <c r="A52" s="257" t="s">
        <v>38</v>
      </c>
      <c r="B52" s="258"/>
      <c r="C52" s="259">
        <f ca="1">C31+C51</f>
        <v>87129</v>
      </c>
      <c r="D52" s="258"/>
      <c r="E52" s="258"/>
      <c r="F52" s="258"/>
      <c r="G52" s="260"/>
    </row>
    <row r="55" spans="1:7" ht="15">
      <c r="B55" s="262" t="s">
        <v>39</v>
      </c>
      <c r="C55" s="263"/>
    </row>
    <row r="56" spans="1:7">
      <c r="B56" s="265" t="s">
        <v>40</v>
      </c>
      <c r="C56" s="266">
        <f ca="1">ROUND(C51/C52,3)</f>
        <v>0.61599999999999999</v>
      </c>
    </row>
    <row r="57" spans="1:7">
      <c r="B57" s="265" t="s">
        <v>41</v>
      </c>
      <c r="C57" s="267">
        <f ca="1">1-C56</f>
        <v>0.38400000000000001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43" t="s">
        <v>2835</v>
      </c>
      <c r="B1" s="3543"/>
      <c r="C1" s="3543"/>
      <c r="D1" s="3543"/>
      <c r="E1" s="3543"/>
      <c r="F1" s="3543"/>
      <c r="G1" s="3544"/>
      <c r="I1" s="2938" t="s">
        <v>2836</v>
      </c>
      <c r="J1" s="2939" t="s">
        <v>2837</v>
      </c>
      <c r="K1" s="2939" t="s">
        <v>2838</v>
      </c>
      <c r="L1" s="2939" t="s">
        <v>2839</v>
      </c>
      <c r="M1" s="2939" t="s">
        <v>2840</v>
      </c>
      <c r="N1" s="2939" t="s">
        <v>2841</v>
      </c>
      <c r="O1" s="2939" t="s">
        <v>2842</v>
      </c>
      <c r="P1" s="2939" t="s">
        <v>2843</v>
      </c>
      <c r="Q1" s="2939" t="s">
        <v>2844</v>
      </c>
      <c r="R1" s="2939" t="s">
        <v>2845</v>
      </c>
      <c r="S1" s="2939" t="s">
        <v>2846</v>
      </c>
      <c r="T1" s="2940" t="s">
        <v>2847</v>
      </c>
    </row>
    <row r="2" spans="1:20" ht="12" thickBot="1">
      <c r="A2" s="2941" t="s">
        <v>2848</v>
      </c>
      <c r="B2" s="2941"/>
      <c r="C2" s="2941"/>
      <c r="D2" s="2941"/>
      <c r="E2" s="2941"/>
      <c r="F2" s="2941"/>
      <c r="G2" s="2942" t="s">
        <v>2849</v>
      </c>
      <c r="I2" s="2943" t="s">
        <v>2850</v>
      </c>
      <c r="J2" s="2943" t="s">
        <v>2851</v>
      </c>
      <c r="K2" s="2943" t="s">
        <v>2852</v>
      </c>
      <c r="L2" s="2943" t="s">
        <v>2853</v>
      </c>
      <c r="M2" s="2943" t="s">
        <v>2854</v>
      </c>
      <c r="N2" s="2943" t="s">
        <v>2855</v>
      </c>
      <c r="O2" s="2943" t="s">
        <v>2856</v>
      </c>
      <c r="P2" s="2943" t="s">
        <v>2857</v>
      </c>
      <c r="Q2" s="2943" t="s">
        <v>2858</v>
      </c>
      <c r="R2" s="2943" t="s">
        <v>2859</v>
      </c>
      <c r="S2" s="2943" t="s">
        <v>2860</v>
      </c>
      <c r="T2" s="2943" t="s">
        <v>2861</v>
      </c>
    </row>
    <row r="3" spans="1:20" s="2949" customFormat="1">
      <c r="A3" s="3541" t="s">
        <v>2862</v>
      </c>
      <c r="B3" s="2944"/>
      <c r="C3" s="2945" t="s">
        <v>2807</v>
      </c>
      <c r="D3" s="2945" t="s">
        <v>2863</v>
      </c>
      <c r="E3" s="2945" t="s">
        <v>2809</v>
      </c>
      <c r="F3" s="2945" t="s">
        <v>2864</v>
      </c>
      <c r="G3" s="2945" t="s">
        <v>2627</v>
      </c>
      <c r="H3" s="2946"/>
      <c r="I3" s="2947" t="s">
        <v>2865</v>
      </c>
      <c r="J3" s="2948" t="s">
        <v>128</v>
      </c>
      <c r="K3" s="2948" t="s">
        <v>129</v>
      </c>
      <c r="L3" s="2947" t="s">
        <v>130</v>
      </c>
      <c r="M3" s="2947" t="s">
        <v>131</v>
      </c>
      <c r="N3" s="2947" t="s">
        <v>132</v>
      </c>
      <c r="O3" s="2947" t="s">
        <v>133</v>
      </c>
      <c r="P3" s="2947" t="s">
        <v>134</v>
      </c>
      <c r="Q3" s="2947" t="s">
        <v>135</v>
      </c>
      <c r="R3" s="2947" t="s">
        <v>136</v>
      </c>
      <c r="S3" s="2947" t="s">
        <v>2866</v>
      </c>
      <c r="T3" s="2947" t="s">
        <v>2867</v>
      </c>
    </row>
    <row r="4" spans="1:20" s="2949" customFormat="1" ht="12" thickBot="1">
      <c r="A4" s="3542"/>
      <c r="B4" s="2950" t="s">
        <v>2868</v>
      </c>
      <c r="C4" s="2950" t="s">
        <v>2869</v>
      </c>
      <c r="D4" s="2950" t="s">
        <v>2869</v>
      </c>
      <c r="E4" s="2950" t="s">
        <v>2869</v>
      </c>
      <c r="F4" s="2951" t="s">
        <v>2869</v>
      </c>
      <c r="G4" s="2951" t="s">
        <v>2869</v>
      </c>
      <c r="H4" s="2946"/>
      <c r="I4" s="2948" t="s">
        <v>137</v>
      </c>
      <c r="J4" s="2948" t="s">
        <v>111</v>
      </c>
      <c r="K4" s="2948" t="s">
        <v>138</v>
      </c>
      <c r="L4" s="2947" t="s">
        <v>139</v>
      </c>
      <c r="M4" s="2947" t="s">
        <v>140</v>
      </c>
      <c r="N4" s="2947" t="s">
        <v>141</v>
      </c>
      <c r="O4" s="2947" t="s">
        <v>142</v>
      </c>
      <c r="P4" s="2947" t="s">
        <v>143</v>
      </c>
      <c r="Q4" s="2947" t="s">
        <v>2870</v>
      </c>
      <c r="R4" s="2947" t="s">
        <v>2871</v>
      </c>
      <c r="S4" s="2947" t="s">
        <v>2872</v>
      </c>
      <c r="T4" s="2947" t="s">
        <v>2873</v>
      </c>
    </row>
    <row r="5" spans="1:20">
      <c r="A5" s="2952" t="s">
        <v>2836</v>
      </c>
      <c r="B5" s="2943" t="s">
        <v>2850</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2874</v>
      </c>
      <c r="R5" s="2947" t="s">
        <v>2875</v>
      </c>
      <c r="S5" s="2947" t="s">
        <v>153</v>
      </c>
      <c r="T5" s="2947" t="s">
        <v>2876</v>
      </c>
    </row>
    <row r="6" spans="1:20" ht="12" thickBot="1">
      <c r="A6" s="2947" t="s">
        <v>144</v>
      </c>
      <c r="B6" s="2947" t="s">
        <v>2865</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2877</v>
      </c>
      <c r="Q6" s="2947" t="s">
        <v>2878</v>
      </c>
      <c r="R6" s="2947" t="s">
        <v>161</v>
      </c>
      <c r="S6" s="2947" t="s">
        <v>2879</v>
      </c>
      <c r="T6" s="2947" t="s">
        <v>2880</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2881</v>
      </c>
      <c r="Q7" s="2947" t="s">
        <v>2882</v>
      </c>
      <c r="R7" s="2947" t="s">
        <v>2883</v>
      </c>
      <c r="S7" s="2947" t="s">
        <v>2884</v>
      </c>
      <c r="T7" s="2947" t="s">
        <v>2885</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2886</v>
      </c>
      <c r="Q8" s="2947" t="s">
        <v>174</v>
      </c>
      <c r="R8" s="2947" t="s">
        <v>2887</v>
      </c>
      <c r="S8" s="2947" t="s">
        <v>2888</v>
      </c>
      <c r="T8" s="2954" t="s">
        <v>2889</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2890</v>
      </c>
      <c r="Q9" s="2947" t="s">
        <v>182</v>
      </c>
      <c r="R9" s="2947" t="s">
        <v>183</v>
      </c>
      <c r="S9" s="2947" t="s">
        <v>200</v>
      </c>
    </row>
    <row r="10" spans="1:20">
      <c r="A10" s="2952" t="s">
        <v>184</v>
      </c>
      <c r="B10" s="2943" t="s">
        <v>2851</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2891</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2892</v>
      </c>
      <c r="P11" s="2947" t="s">
        <v>191</v>
      </c>
      <c r="Q11" s="2947" t="s">
        <v>199</v>
      </c>
      <c r="R11" s="2947" t="s">
        <v>2893</v>
      </c>
      <c r="S11" s="2947" t="s">
        <v>2894</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2895</v>
      </c>
      <c r="P12" s="2947" t="s">
        <v>2896</v>
      </c>
      <c r="Q12" s="2947" t="s">
        <v>2897</v>
      </c>
      <c r="R12" s="2947" t="s">
        <v>2898</v>
      </c>
      <c r="S12" s="2947" t="s">
        <v>2899</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2900</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2901</v>
      </c>
      <c r="K14" s="2948" t="s">
        <v>215</v>
      </c>
      <c r="L14" s="2947" t="s">
        <v>216</v>
      </c>
      <c r="M14" s="2947" t="s">
        <v>217</v>
      </c>
      <c r="N14" s="2947" t="s">
        <v>218</v>
      </c>
      <c r="O14" s="2947" t="s">
        <v>240</v>
      </c>
      <c r="P14" s="2947" t="s">
        <v>213</v>
      </c>
      <c r="Q14" s="2947" t="s">
        <v>2902</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2903</v>
      </c>
      <c r="P15" s="2947" t="s">
        <v>2904</v>
      </c>
      <c r="Q15" s="2947" t="s">
        <v>242</v>
      </c>
      <c r="R15" s="2947" t="s">
        <v>2905</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2906</v>
      </c>
      <c r="P16" s="2947" t="s">
        <v>227</v>
      </c>
      <c r="Q16" s="2947" t="s">
        <v>250</v>
      </c>
      <c r="R16" s="2947" t="s">
        <v>207</v>
      </c>
      <c r="S16" s="2947" t="s">
        <v>2907</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2908</v>
      </c>
      <c r="P17" s="2947" t="s">
        <v>2909</v>
      </c>
      <c r="Q17" s="2947" t="s">
        <v>256</v>
      </c>
      <c r="R17" s="2947" t="s">
        <v>2910</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2911</v>
      </c>
      <c r="P18" s="2947" t="s">
        <v>241</v>
      </c>
      <c r="Q18" s="2947" t="s">
        <v>2912</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2913</v>
      </c>
      <c r="P19" s="2947" t="s">
        <v>249</v>
      </c>
      <c r="Q19" s="2947" t="s">
        <v>2914</v>
      </c>
      <c r="R19" s="2947" t="s">
        <v>265</v>
      </c>
      <c r="S19" s="2947" t="s">
        <v>2915</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2916</v>
      </c>
      <c r="P20" s="2947" t="s">
        <v>2917</v>
      </c>
      <c r="Q20" s="2947" t="s">
        <v>290</v>
      </c>
      <c r="R20" s="2947" t="s">
        <v>2918</v>
      </c>
      <c r="S20" s="2947" t="s">
        <v>277</v>
      </c>
    </row>
    <row r="21" spans="1:19" ht="14.25" customHeight="1" thickBot="1">
      <c r="A21" s="2947" t="s">
        <v>184</v>
      </c>
      <c r="B21" s="2948" t="s">
        <v>208</v>
      </c>
      <c r="C21" s="2947">
        <v>32370</v>
      </c>
      <c r="D21" s="2947">
        <v>26730</v>
      </c>
      <c r="E21" s="2947">
        <v>26640</v>
      </c>
      <c r="F21" s="2947"/>
      <c r="G21" s="2947">
        <v>19440</v>
      </c>
      <c r="J21" s="2954" t="s">
        <v>2919</v>
      </c>
      <c r="K21" s="2948" t="s">
        <v>267</v>
      </c>
      <c r="L21" s="2947" t="s">
        <v>268</v>
      </c>
      <c r="M21" s="2947" t="s">
        <v>269</v>
      </c>
      <c r="N21" s="2947" t="s">
        <v>270</v>
      </c>
      <c r="O21" s="2947" t="s">
        <v>264</v>
      </c>
      <c r="P21" s="2947" t="s">
        <v>283</v>
      </c>
      <c r="Q21" s="2947" t="s">
        <v>293</v>
      </c>
      <c r="R21" s="2947" t="s">
        <v>2920</v>
      </c>
      <c r="S21" s="2954" t="s">
        <v>2921</v>
      </c>
    </row>
    <row r="22" spans="1:19" ht="14.25" customHeight="1">
      <c r="A22" s="2947" t="s">
        <v>184</v>
      </c>
      <c r="B22" s="2948" t="s">
        <v>2901</v>
      </c>
      <c r="C22" s="2947">
        <v>29830</v>
      </c>
      <c r="D22" s="2947">
        <v>27600</v>
      </c>
      <c r="E22" s="2947">
        <v>28150</v>
      </c>
      <c r="F22" s="2947"/>
      <c r="G22" s="2947">
        <v>20080</v>
      </c>
      <c r="K22" s="2948" t="s">
        <v>2922</v>
      </c>
      <c r="L22" s="2947" t="s">
        <v>272</v>
      </c>
      <c r="M22" s="2947" t="s">
        <v>273</v>
      </c>
      <c r="N22" s="2947" t="s">
        <v>274</v>
      </c>
      <c r="O22" s="2947" t="s">
        <v>2923</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2924</v>
      </c>
      <c r="L23" s="2947" t="s">
        <v>278</v>
      </c>
      <c r="M23" s="2947" t="s">
        <v>279</v>
      </c>
      <c r="N23" s="2947" t="s">
        <v>2925</v>
      </c>
      <c r="O23" s="2947" t="s">
        <v>2926</v>
      </c>
      <c r="P23" s="2947" t="s">
        <v>289</v>
      </c>
      <c r="Q23" s="2947" t="s">
        <v>298</v>
      </c>
      <c r="R23" s="2947" t="s">
        <v>2927</v>
      </c>
    </row>
    <row r="24" spans="1:19" ht="14.25" customHeight="1">
      <c r="A24" s="2947" t="s">
        <v>184</v>
      </c>
      <c r="B24" s="2948" t="s">
        <v>230</v>
      </c>
      <c r="C24" s="2947">
        <v>27930</v>
      </c>
      <c r="D24" s="2947">
        <v>32260</v>
      </c>
      <c r="E24" s="2947">
        <v>32120</v>
      </c>
      <c r="F24" s="2947"/>
      <c r="G24" s="2947">
        <v>23470</v>
      </c>
      <c r="K24" s="2948" t="s">
        <v>2928</v>
      </c>
      <c r="L24" s="2947" t="s">
        <v>281</v>
      </c>
      <c r="M24" s="2947" t="s">
        <v>282</v>
      </c>
      <c r="N24" s="2947" t="s">
        <v>2929</v>
      </c>
      <c r="O24" s="2947" t="s">
        <v>285</v>
      </c>
      <c r="P24" s="2947" t="s">
        <v>2930</v>
      </c>
      <c r="Q24" s="2956" t="s">
        <v>2931</v>
      </c>
      <c r="R24" s="2947" t="s">
        <v>2932</v>
      </c>
    </row>
    <row r="25" spans="1:19" ht="14.25" customHeight="1">
      <c r="A25" s="2947" t="s">
        <v>184</v>
      </c>
      <c r="B25" s="2948" t="s">
        <v>235</v>
      </c>
      <c r="C25" s="2947">
        <v>32230</v>
      </c>
      <c r="D25" s="2947">
        <v>29640</v>
      </c>
      <c r="E25" s="2947">
        <v>29510</v>
      </c>
      <c r="F25" s="2947"/>
      <c r="G25" s="2947">
        <v>21560</v>
      </c>
      <c r="K25" s="2948" t="s">
        <v>2933</v>
      </c>
      <c r="L25" s="2947" t="s">
        <v>2934</v>
      </c>
      <c r="M25" s="2947" t="s">
        <v>284</v>
      </c>
      <c r="N25" s="2947" t="s">
        <v>292</v>
      </c>
      <c r="O25" s="2947" t="s">
        <v>288</v>
      </c>
      <c r="P25" s="2947" t="s">
        <v>275</v>
      </c>
      <c r="Q25" s="2956" t="s">
        <v>271</v>
      </c>
      <c r="R25" s="2947" t="s">
        <v>2935</v>
      </c>
    </row>
    <row r="26" spans="1:19" ht="14.25" customHeight="1" thickBot="1">
      <c r="A26" s="2947" t="s">
        <v>184</v>
      </c>
      <c r="B26" s="2948" t="s">
        <v>244</v>
      </c>
      <c r="C26" s="2947">
        <v>31690</v>
      </c>
      <c r="D26" s="2947">
        <v>27650</v>
      </c>
      <c r="E26" s="2947">
        <v>28200</v>
      </c>
      <c r="F26" s="2947"/>
      <c r="G26" s="2947">
        <v>20110</v>
      </c>
      <c r="K26" s="2953" t="s">
        <v>2936</v>
      </c>
      <c r="L26" s="2947" t="s">
        <v>2937</v>
      </c>
      <c r="M26" s="2947" t="s">
        <v>287</v>
      </c>
      <c r="N26" s="2947" t="s">
        <v>294</v>
      </c>
      <c r="O26" s="2947" t="s">
        <v>2938</v>
      </c>
      <c r="P26" s="2947" t="s">
        <v>2939</v>
      </c>
      <c r="Q26" s="2956" t="s">
        <v>276</v>
      </c>
      <c r="R26" s="2947" t="s">
        <v>2940</v>
      </c>
    </row>
    <row r="27" spans="1:19" ht="14.25" customHeight="1">
      <c r="A27" s="2947" t="s">
        <v>184</v>
      </c>
      <c r="B27" s="2948" t="s">
        <v>251</v>
      </c>
      <c r="C27" s="2947">
        <v>29610</v>
      </c>
      <c r="D27" s="2947">
        <v>27770</v>
      </c>
      <c r="E27" s="2947">
        <v>28300</v>
      </c>
      <c r="F27" s="2947"/>
      <c r="G27" s="2947">
        <v>20210</v>
      </c>
      <c r="L27" s="2947" t="s">
        <v>2941</v>
      </c>
      <c r="M27" s="2947" t="s">
        <v>291</v>
      </c>
      <c r="N27" s="2947" t="s">
        <v>297</v>
      </c>
      <c r="O27" s="2947" t="s">
        <v>2942</v>
      </c>
      <c r="P27" s="2947" t="s">
        <v>2943</v>
      </c>
      <c r="Q27" s="2947" t="s">
        <v>2944</v>
      </c>
      <c r="R27" s="2947" t="s">
        <v>2945</v>
      </c>
    </row>
    <row r="28" spans="1:19" ht="14.25" customHeight="1">
      <c r="A28" s="2947" t="s">
        <v>184</v>
      </c>
      <c r="B28" s="2948" t="s">
        <v>259</v>
      </c>
      <c r="C28" s="2947"/>
      <c r="D28" s="2947">
        <v>31520</v>
      </c>
      <c r="E28" s="2947">
        <v>31410</v>
      </c>
      <c r="F28" s="2947"/>
      <c r="G28" s="2947">
        <v>22940</v>
      </c>
      <c r="L28" s="2947" t="s">
        <v>2946</v>
      </c>
      <c r="M28" s="2947" t="s">
        <v>2947</v>
      </c>
      <c r="N28" s="2947" t="s">
        <v>2948</v>
      </c>
      <c r="O28" s="2947" t="s">
        <v>2949</v>
      </c>
      <c r="P28" s="2947" t="s">
        <v>2950</v>
      </c>
      <c r="Q28" s="2947" t="s">
        <v>2951</v>
      </c>
      <c r="R28" s="2947" t="s">
        <v>2952</v>
      </c>
    </row>
    <row r="29" spans="1:19" ht="14.25" customHeight="1" thickBot="1">
      <c r="A29" s="2955" t="s">
        <v>184</v>
      </c>
      <c r="B29" s="2957" t="s">
        <v>2919</v>
      </c>
      <c r="C29" s="2958"/>
      <c r="D29" s="2958">
        <v>29460</v>
      </c>
      <c r="E29" s="2958">
        <v>28640</v>
      </c>
      <c r="F29" s="2958"/>
      <c r="G29" s="2958">
        <v>21430</v>
      </c>
      <c r="L29" s="2947" t="s">
        <v>2953</v>
      </c>
      <c r="M29" s="2947" t="s">
        <v>2954</v>
      </c>
      <c r="N29" s="2947" t="s">
        <v>2955</v>
      </c>
      <c r="O29" s="2947" t="s">
        <v>2956</v>
      </c>
      <c r="P29" s="2947" t="s">
        <v>2957</v>
      </c>
      <c r="Q29" s="2947" t="s">
        <v>2958</v>
      </c>
      <c r="R29" s="2947" t="s">
        <v>280</v>
      </c>
    </row>
    <row r="30" spans="1:19" ht="14.25" customHeight="1">
      <c r="A30" s="2952" t="s">
        <v>296</v>
      </c>
      <c r="B30" s="2943" t="s">
        <v>2852</v>
      </c>
      <c r="C30" s="2943">
        <v>26890</v>
      </c>
      <c r="D30" s="2943">
        <v>26770</v>
      </c>
      <c r="E30" s="2943">
        <v>25700</v>
      </c>
      <c r="F30" s="2943">
        <v>8180</v>
      </c>
      <c r="G30" s="2959">
        <v>18740</v>
      </c>
      <c r="L30" s="2947" t="s">
        <v>2959</v>
      </c>
      <c r="M30" s="2947" t="s">
        <v>2960</v>
      </c>
      <c r="N30" s="2947" t="s">
        <v>2961</v>
      </c>
      <c r="O30" s="2947" t="s">
        <v>2962</v>
      </c>
      <c r="P30" s="2947" t="s">
        <v>2963</v>
      </c>
      <c r="Q30" s="2947" t="s">
        <v>2964</v>
      </c>
      <c r="R30" s="2947" t="s">
        <v>2965</v>
      </c>
    </row>
    <row r="31" spans="1:19" ht="14.25" customHeight="1">
      <c r="A31" s="2947" t="s">
        <v>296</v>
      </c>
      <c r="B31" s="2948" t="s">
        <v>129</v>
      </c>
      <c r="C31" s="2947">
        <v>24550</v>
      </c>
      <c r="D31" s="2947">
        <v>23990</v>
      </c>
      <c r="E31" s="2947">
        <v>22930</v>
      </c>
      <c r="F31" s="2947">
        <v>7470</v>
      </c>
      <c r="G31" s="2960">
        <v>16790</v>
      </c>
      <c r="L31" s="2947" t="s">
        <v>2966</v>
      </c>
      <c r="M31" s="2947" t="s">
        <v>2967</v>
      </c>
      <c r="N31" s="2947" t="s">
        <v>2968</v>
      </c>
      <c r="O31" s="2947" t="s">
        <v>2969</v>
      </c>
      <c r="P31" s="2947" t="s">
        <v>2970</v>
      </c>
      <c r="Q31" s="2947" t="s">
        <v>2971</v>
      </c>
      <c r="R31" s="2947" t="s">
        <v>2972</v>
      </c>
    </row>
    <row r="32" spans="1:19" ht="14.25" customHeight="1" thickBot="1">
      <c r="A32" s="2947" t="s">
        <v>296</v>
      </c>
      <c r="B32" s="2948" t="s">
        <v>138</v>
      </c>
      <c r="C32" s="2947">
        <v>27210</v>
      </c>
      <c r="D32" s="2947">
        <v>23240</v>
      </c>
      <c r="E32" s="2947">
        <v>23260</v>
      </c>
      <c r="F32" s="2947">
        <v>7130</v>
      </c>
      <c r="G32" s="2960">
        <v>16270</v>
      </c>
      <c r="L32" s="2947" t="s">
        <v>2973</v>
      </c>
      <c r="M32" s="2947" t="s">
        <v>2974</v>
      </c>
      <c r="N32" s="2947" t="s">
        <v>300</v>
      </c>
      <c r="O32" s="2947" t="s">
        <v>2975</v>
      </c>
      <c r="P32" s="2947" t="s">
        <v>299</v>
      </c>
      <c r="Q32" s="2947" t="s">
        <v>2976</v>
      </c>
      <c r="R32" s="2954" t="s">
        <v>2977</v>
      </c>
    </row>
    <row r="33" spans="1:17" ht="14.25" customHeight="1" thickBot="1">
      <c r="A33" s="2947" t="s">
        <v>296</v>
      </c>
      <c r="B33" s="2948" t="s">
        <v>147</v>
      </c>
      <c r="C33" s="2947">
        <v>27300</v>
      </c>
      <c r="D33" s="2947">
        <v>22980</v>
      </c>
      <c r="E33" s="2947">
        <v>24260</v>
      </c>
      <c r="F33" s="2947">
        <v>5860</v>
      </c>
      <c r="G33" s="2960">
        <v>16090</v>
      </c>
      <c r="L33" s="2954" t="s">
        <v>2978</v>
      </c>
      <c r="M33" s="2947" t="s">
        <v>2979</v>
      </c>
      <c r="N33" s="2947" t="s">
        <v>301</v>
      </c>
      <c r="O33" s="2947" t="s">
        <v>2980</v>
      </c>
      <c r="P33" s="2947" t="s">
        <v>2981</v>
      </c>
      <c r="Q33" s="2947" t="s">
        <v>2982</v>
      </c>
    </row>
    <row r="34" spans="1:17" ht="14.25" customHeight="1">
      <c r="A34" s="2947" t="s">
        <v>296</v>
      </c>
      <c r="B34" s="2948" t="s">
        <v>156</v>
      </c>
      <c r="C34" s="2947">
        <v>23090</v>
      </c>
      <c r="D34" s="2947">
        <v>23390</v>
      </c>
      <c r="E34" s="2947">
        <v>23510</v>
      </c>
      <c r="F34" s="2947">
        <v>6700</v>
      </c>
      <c r="G34" s="2960">
        <v>16370</v>
      </c>
      <c r="M34" s="2947" t="s">
        <v>2983</v>
      </c>
      <c r="N34" s="2947" t="s">
        <v>302</v>
      </c>
      <c r="O34" s="2947" t="s">
        <v>2984</v>
      </c>
      <c r="P34" s="2947" t="s">
        <v>2985</v>
      </c>
      <c r="Q34" s="2947" t="s">
        <v>2986</v>
      </c>
    </row>
    <row r="35" spans="1:17" ht="14.25" customHeight="1">
      <c r="A35" s="2947" t="s">
        <v>296</v>
      </c>
      <c r="B35" s="2948" t="s">
        <v>163</v>
      </c>
      <c r="C35" s="2947">
        <v>27270</v>
      </c>
      <c r="D35" s="2947">
        <v>24270</v>
      </c>
      <c r="E35" s="2947">
        <v>24950</v>
      </c>
      <c r="F35" s="2947">
        <v>6600</v>
      </c>
      <c r="G35" s="2960">
        <v>16990</v>
      </c>
      <c r="M35" s="2947" t="s">
        <v>2987</v>
      </c>
      <c r="N35" s="2947" t="s">
        <v>2988</v>
      </c>
      <c r="O35" s="2947" t="s">
        <v>2989</v>
      </c>
      <c r="P35" s="2947" t="s">
        <v>2990</v>
      </c>
      <c r="Q35" s="2947" t="s">
        <v>2991</v>
      </c>
    </row>
    <row r="36" spans="1:17" ht="14.25" customHeight="1">
      <c r="A36" s="2947" t="s">
        <v>296</v>
      </c>
      <c r="B36" s="2948" t="s">
        <v>169</v>
      </c>
      <c r="C36" s="2947">
        <v>23490</v>
      </c>
      <c r="D36" s="2947">
        <v>23020</v>
      </c>
      <c r="E36" s="2947">
        <v>25230</v>
      </c>
      <c r="F36" s="2947">
        <v>6780</v>
      </c>
      <c r="G36" s="2960">
        <v>16120</v>
      </c>
      <c r="M36" s="2947" t="s">
        <v>2992</v>
      </c>
      <c r="N36" s="2947" t="s">
        <v>2993</v>
      </c>
      <c r="O36" s="2947" t="s">
        <v>2994</v>
      </c>
      <c r="P36" s="2947" t="s">
        <v>2995</v>
      </c>
      <c r="Q36" s="2947" t="s">
        <v>2996</v>
      </c>
    </row>
    <row r="37" spans="1:17" ht="14.25" customHeight="1">
      <c r="A37" s="2947" t="s">
        <v>296</v>
      </c>
      <c r="B37" s="2948" t="s">
        <v>176</v>
      </c>
      <c r="C37" s="2947">
        <v>24380</v>
      </c>
      <c r="D37" s="2947">
        <v>22240</v>
      </c>
      <c r="E37" s="2947">
        <v>25980</v>
      </c>
      <c r="F37" s="2947">
        <v>8160</v>
      </c>
      <c r="G37" s="2960">
        <v>15570</v>
      </c>
      <c r="M37" s="2947" t="s">
        <v>2997</v>
      </c>
      <c r="N37" s="2947" t="s">
        <v>2998</v>
      </c>
      <c r="O37" s="2947" t="s">
        <v>2999</v>
      </c>
      <c r="P37" s="2947" t="s">
        <v>3000</v>
      </c>
      <c r="Q37" s="2947" t="s">
        <v>3001</v>
      </c>
    </row>
    <row r="38" spans="1:17" ht="14.25" customHeight="1">
      <c r="A38" s="2947" t="s">
        <v>296</v>
      </c>
      <c r="B38" s="2948" t="s">
        <v>186</v>
      </c>
      <c r="C38" s="2947">
        <v>23120</v>
      </c>
      <c r="D38" s="2947">
        <v>24630</v>
      </c>
      <c r="E38" s="2947">
        <v>25030</v>
      </c>
      <c r="F38" s="2947">
        <v>7710</v>
      </c>
      <c r="G38" s="2960">
        <v>17240</v>
      </c>
      <c r="M38" s="2947" t="s">
        <v>3002</v>
      </c>
      <c r="N38" s="2947" t="s">
        <v>3003</v>
      </c>
      <c r="O38" s="2947" t="s">
        <v>3004</v>
      </c>
      <c r="P38" s="2947" t="s">
        <v>3005</v>
      </c>
      <c r="Q38" s="2947" t="s">
        <v>3006</v>
      </c>
    </row>
    <row r="39" spans="1:17" ht="14.25" customHeight="1">
      <c r="A39" s="2947" t="s">
        <v>296</v>
      </c>
      <c r="B39" s="2948" t="s">
        <v>195</v>
      </c>
      <c r="C39" s="2947">
        <v>22330</v>
      </c>
      <c r="D39" s="2947">
        <v>21140</v>
      </c>
      <c r="E39" s="2947">
        <v>23970</v>
      </c>
      <c r="F39" s="2947">
        <v>7940</v>
      </c>
      <c r="G39" s="2960">
        <v>14790</v>
      </c>
      <c r="M39" s="2947" t="s">
        <v>3007</v>
      </c>
      <c r="N39" s="2947" t="s">
        <v>3008</v>
      </c>
      <c r="O39" s="2947" t="s">
        <v>3009</v>
      </c>
      <c r="P39" s="2947" t="s">
        <v>3010</v>
      </c>
      <c r="Q39" s="2947" t="s">
        <v>3011</v>
      </c>
    </row>
    <row r="40" spans="1:17" ht="14.25" customHeight="1">
      <c r="A40" s="2947" t="s">
        <v>296</v>
      </c>
      <c r="B40" s="2948" t="s">
        <v>202</v>
      </c>
      <c r="C40" s="2947">
        <v>24740</v>
      </c>
      <c r="D40" s="2947">
        <v>24690</v>
      </c>
      <c r="E40" s="2947">
        <v>22610</v>
      </c>
      <c r="F40" s="2947"/>
      <c r="G40" s="2960">
        <v>17280</v>
      </c>
      <c r="M40" s="2947" t="s">
        <v>3012</v>
      </c>
      <c r="N40" s="2947" t="s">
        <v>3013</v>
      </c>
      <c r="O40" s="2947" t="s">
        <v>3014</v>
      </c>
      <c r="P40" s="2947" t="s">
        <v>3015</v>
      </c>
      <c r="Q40" s="2947" t="s">
        <v>3016</v>
      </c>
    </row>
    <row r="41" spans="1:17" ht="14.25" customHeight="1" thickBot="1">
      <c r="A41" s="2947" t="s">
        <v>296</v>
      </c>
      <c r="B41" s="2948" t="s">
        <v>209</v>
      </c>
      <c r="C41" s="2947">
        <v>21220</v>
      </c>
      <c r="D41" s="2947">
        <v>21120</v>
      </c>
      <c r="E41" s="2947">
        <v>22590</v>
      </c>
      <c r="F41" s="2947"/>
      <c r="G41" s="2960">
        <v>14780</v>
      </c>
      <c r="M41" s="2954" t="s">
        <v>3017</v>
      </c>
      <c r="N41" s="2947" t="s">
        <v>3018</v>
      </c>
      <c r="O41" s="2947" t="s">
        <v>3019</v>
      </c>
      <c r="P41" s="2947" t="s">
        <v>3020</v>
      </c>
      <c r="Q41" s="2947" t="s">
        <v>3021</v>
      </c>
    </row>
    <row r="42" spans="1:17" ht="14.25" customHeight="1">
      <c r="A42" s="2947" t="s">
        <v>296</v>
      </c>
      <c r="B42" s="2948" t="s">
        <v>215</v>
      </c>
      <c r="C42" s="2947">
        <v>24800</v>
      </c>
      <c r="D42" s="2947">
        <v>22280</v>
      </c>
      <c r="E42" s="2947">
        <v>24350</v>
      </c>
      <c r="F42" s="2947"/>
      <c r="G42" s="2960">
        <v>15590</v>
      </c>
      <c r="N42" s="2947" t="s">
        <v>3022</v>
      </c>
      <c r="O42" s="2947" t="s">
        <v>3023</v>
      </c>
      <c r="P42" s="2947" t="s">
        <v>3024</v>
      </c>
      <c r="Q42" s="2947" t="s">
        <v>3025</v>
      </c>
    </row>
    <row r="43" spans="1:17" ht="14.25" customHeight="1">
      <c r="A43" s="2947" t="s">
        <v>3026</v>
      </c>
      <c r="B43" s="2948" t="s">
        <v>223</v>
      </c>
      <c r="C43" s="2947">
        <v>21210</v>
      </c>
      <c r="D43" s="2947">
        <v>21160</v>
      </c>
      <c r="E43" s="2947">
        <v>22650</v>
      </c>
      <c r="F43" s="2947"/>
      <c r="G43" s="2960">
        <v>14800</v>
      </c>
      <c r="N43" s="2947" t="s">
        <v>3027</v>
      </c>
      <c r="O43" s="2947" t="s">
        <v>3028</v>
      </c>
      <c r="P43" s="2947" t="s">
        <v>3029</v>
      </c>
      <c r="Q43" s="2947" t="s">
        <v>3030</v>
      </c>
    </row>
    <row r="44" spans="1:17" ht="14.25" customHeight="1" thickBot="1">
      <c r="A44" s="2947" t="s">
        <v>296</v>
      </c>
      <c r="B44" s="2948" t="s">
        <v>231</v>
      </c>
      <c r="C44" s="2947">
        <v>22370</v>
      </c>
      <c r="D44" s="2947">
        <v>23140</v>
      </c>
      <c r="E44" s="2947">
        <v>25090</v>
      </c>
      <c r="F44" s="2947"/>
      <c r="G44" s="2960">
        <v>16190</v>
      </c>
      <c r="N44" s="2947" t="s">
        <v>3031</v>
      </c>
      <c r="O44" s="2947" t="s">
        <v>3032</v>
      </c>
      <c r="P44" s="2954" t="s">
        <v>3033</v>
      </c>
      <c r="Q44" s="2947" t="s">
        <v>3034</v>
      </c>
    </row>
    <row r="45" spans="1:17" ht="14.25" customHeight="1" thickBot="1">
      <c r="A45" s="2947" t="s">
        <v>296</v>
      </c>
      <c r="B45" s="2948" t="s">
        <v>236</v>
      </c>
      <c r="C45" s="2947">
        <v>21240</v>
      </c>
      <c r="D45" s="2947">
        <v>27050</v>
      </c>
      <c r="E45" s="2947">
        <v>28000</v>
      </c>
      <c r="F45" s="2947"/>
      <c r="G45" s="2960">
        <v>18940</v>
      </c>
      <c r="N45" s="2947" t="s">
        <v>3035</v>
      </c>
      <c r="O45" s="2954" t="s">
        <v>3036</v>
      </c>
      <c r="Q45" s="2947" t="s">
        <v>3037</v>
      </c>
    </row>
    <row r="46" spans="1:17" ht="14.25" customHeight="1">
      <c r="A46" s="2947" t="s">
        <v>296</v>
      </c>
      <c r="B46" s="2948" t="s">
        <v>245</v>
      </c>
      <c r="C46" s="2947">
        <v>23240</v>
      </c>
      <c r="D46" s="2947">
        <v>23000</v>
      </c>
      <c r="E46" s="2947">
        <v>24980</v>
      </c>
      <c r="F46" s="2947"/>
      <c r="G46" s="2960">
        <v>16100</v>
      </c>
      <c r="N46" s="2947" t="s">
        <v>3038</v>
      </c>
      <c r="Q46" s="2947" t="s">
        <v>3039</v>
      </c>
    </row>
    <row r="47" spans="1:17" ht="14.25" customHeight="1">
      <c r="A47" s="2947" t="s">
        <v>296</v>
      </c>
      <c r="B47" s="2948" t="s">
        <v>252</v>
      </c>
      <c r="C47" s="2947">
        <v>27150</v>
      </c>
      <c r="D47" s="2947">
        <v>23310</v>
      </c>
      <c r="E47" s="2947">
        <v>25150</v>
      </c>
      <c r="F47" s="2947"/>
      <c r="G47" s="2960">
        <v>16310</v>
      </c>
      <c r="N47" s="2947" t="s">
        <v>3040</v>
      </c>
      <c r="Q47" s="2947" t="s">
        <v>3041</v>
      </c>
    </row>
    <row r="48" spans="1:17" ht="14.25" customHeight="1">
      <c r="A48" s="2947" t="s">
        <v>296</v>
      </c>
      <c r="B48" s="2948" t="s">
        <v>260</v>
      </c>
      <c r="C48" s="2947">
        <v>23100</v>
      </c>
      <c r="D48" s="2947">
        <v>21110</v>
      </c>
      <c r="E48" s="2947">
        <v>23080</v>
      </c>
      <c r="F48" s="2947"/>
      <c r="G48" s="2960">
        <v>14780</v>
      </c>
      <c r="N48" s="2947" t="s">
        <v>3042</v>
      </c>
      <c r="Q48" s="2947" t="s">
        <v>3043</v>
      </c>
    </row>
    <row r="49" spans="1:17" ht="14.25" customHeight="1">
      <c r="A49" s="2947" t="s">
        <v>296</v>
      </c>
      <c r="B49" s="2948" t="s">
        <v>267</v>
      </c>
      <c r="C49" s="2947">
        <v>23400</v>
      </c>
      <c r="D49" s="2947">
        <v>22920</v>
      </c>
      <c r="E49" s="2947">
        <v>24900</v>
      </c>
      <c r="F49" s="2947"/>
      <c r="G49" s="2960">
        <v>16040</v>
      </c>
      <c r="N49" s="2947" t="s">
        <v>3044</v>
      </c>
      <c r="Q49" s="2947" t="s">
        <v>3045</v>
      </c>
    </row>
    <row r="50" spans="1:17" ht="14.25" customHeight="1">
      <c r="A50" s="2947" t="s">
        <v>296</v>
      </c>
      <c r="B50" s="2948" t="s">
        <v>2922</v>
      </c>
      <c r="C50" s="2947">
        <v>21200</v>
      </c>
      <c r="D50" s="2947">
        <v>26540</v>
      </c>
      <c r="E50" s="2947">
        <v>23200</v>
      </c>
      <c r="F50" s="2947"/>
      <c r="G50" s="2960">
        <v>18580</v>
      </c>
      <c r="N50" s="2947" t="s">
        <v>3046</v>
      </c>
      <c r="Q50" s="2948" t="s">
        <v>3047</v>
      </c>
    </row>
    <row r="51" spans="1:17" ht="14.25" customHeight="1" thickBot="1">
      <c r="A51" s="2947" t="s">
        <v>296</v>
      </c>
      <c r="B51" s="2948" t="s">
        <v>2924</v>
      </c>
      <c r="C51" s="2947">
        <v>23000</v>
      </c>
      <c r="D51" s="2947">
        <v>23460</v>
      </c>
      <c r="E51" s="2947">
        <v>25290</v>
      </c>
      <c r="F51" s="2947"/>
      <c r="G51" s="2960">
        <v>16420</v>
      </c>
      <c r="N51" s="2947" t="s">
        <v>3048</v>
      </c>
      <c r="Q51" s="2954" t="s">
        <v>3049</v>
      </c>
    </row>
    <row r="52" spans="1:17" ht="14.25" customHeight="1">
      <c r="A52" s="2947" t="s">
        <v>296</v>
      </c>
      <c r="B52" s="2948" t="s">
        <v>2928</v>
      </c>
      <c r="C52" s="2947">
        <v>26660</v>
      </c>
      <c r="D52" s="2947">
        <v>22350</v>
      </c>
      <c r="E52" s="2947">
        <v>22920</v>
      </c>
      <c r="F52" s="2947"/>
      <c r="G52" s="2960">
        <v>15640</v>
      </c>
      <c r="N52" s="2947" t="s">
        <v>3050</v>
      </c>
    </row>
    <row r="53" spans="1:17" ht="14.25" customHeight="1">
      <c r="A53" s="2947" t="s">
        <v>296</v>
      </c>
      <c r="B53" s="2948" t="s">
        <v>2933</v>
      </c>
      <c r="C53" s="2947">
        <v>23580</v>
      </c>
      <c r="D53" s="2947"/>
      <c r="E53" s="2947">
        <v>24280</v>
      </c>
      <c r="F53" s="2947"/>
      <c r="G53" s="2960"/>
      <c r="N53" s="2947" t="s">
        <v>3051</v>
      </c>
    </row>
    <row r="54" spans="1:17" ht="14.25" customHeight="1" thickBot="1">
      <c r="A54" s="2961" t="s">
        <v>296</v>
      </c>
      <c r="B54" s="2953" t="s">
        <v>2936</v>
      </c>
      <c r="C54" s="2954">
        <v>22460</v>
      </c>
      <c r="D54" s="2954"/>
      <c r="E54" s="2954"/>
      <c r="F54" s="2954"/>
      <c r="G54" s="2962"/>
      <c r="N54" s="2947" t="s">
        <v>3052</v>
      </c>
    </row>
    <row r="55" spans="1:17" ht="14.25" customHeight="1">
      <c r="A55" s="2952" t="s">
        <v>110</v>
      </c>
      <c r="B55" s="2943" t="s">
        <v>3053</v>
      </c>
      <c r="C55" s="2947">
        <v>21970</v>
      </c>
      <c r="D55" s="2947">
        <v>20370</v>
      </c>
      <c r="E55" s="2947">
        <v>20180</v>
      </c>
      <c r="F55" s="2947">
        <v>5730</v>
      </c>
      <c r="G55" s="2947">
        <v>13820</v>
      </c>
      <c r="N55" s="2947" t="s">
        <v>3054</v>
      </c>
    </row>
    <row r="56" spans="1:17" ht="14.25" customHeight="1">
      <c r="A56" s="2947" t="s">
        <v>110</v>
      </c>
      <c r="B56" s="2947" t="s">
        <v>130</v>
      </c>
      <c r="C56" s="2947">
        <v>20470</v>
      </c>
      <c r="D56" s="2947">
        <v>20700</v>
      </c>
      <c r="E56" s="2947">
        <v>20380</v>
      </c>
      <c r="F56" s="2947">
        <v>4760</v>
      </c>
      <c r="G56" s="2947">
        <v>14050</v>
      </c>
      <c r="N56" s="2947" t="s">
        <v>3055</v>
      </c>
    </row>
    <row r="57" spans="1:17" ht="14.25" customHeight="1">
      <c r="A57" s="2947" t="s">
        <v>110</v>
      </c>
      <c r="B57" s="2947" t="s">
        <v>139</v>
      </c>
      <c r="C57" s="2947">
        <v>20790</v>
      </c>
      <c r="D57" s="2947">
        <v>21370</v>
      </c>
      <c r="E57" s="2947">
        <v>20890</v>
      </c>
      <c r="F57" s="2947">
        <v>4910</v>
      </c>
      <c r="G57" s="2947">
        <v>14510</v>
      </c>
      <c r="N57" s="2947" t="s">
        <v>3056</v>
      </c>
    </row>
    <row r="58" spans="1:17" ht="14.25" customHeight="1">
      <c r="A58" s="2947" t="s">
        <v>110</v>
      </c>
      <c r="B58" s="2947" t="s">
        <v>148</v>
      </c>
      <c r="C58" s="2947">
        <v>21460</v>
      </c>
      <c r="D58" s="2947">
        <v>20920</v>
      </c>
      <c r="E58" s="2947">
        <v>23410</v>
      </c>
      <c r="F58" s="2947">
        <v>5100</v>
      </c>
      <c r="G58" s="2947">
        <v>14200</v>
      </c>
      <c r="N58" s="2947" t="s">
        <v>3057</v>
      </c>
    </row>
    <row r="59" spans="1:17" ht="14.25" customHeight="1">
      <c r="A59" s="2947" t="s">
        <v>110</v>
      </c>
      <c r="B59" s="2947" t="s">
        <v>157</v>
      </c>
      <c r="C59" s="2947">
        <v>21000</v>
      </c>
      <c r="D59" s="2947">
        <v>21550</v>
      </c>
      <c r="E59" s="2947">
        <v>21150</v>
      </c>
      <c r="F59" s="2947">
        <v>5250</v>
      </c>
      <c r="G59" s="2947">
        <v>14630</v>
      </c>
      <c r="N59" s="2947" t="s">
        <v>3058</v>
      </c>
    </row>
    <row r="60" spans="1:17" ht="14.25" customHeight="1">
      <c r="A60" s="2947" t="s">
        <v>110</v>
      </c>
      <c r="B60" s="2947" t="s">
        <v>164</v>
      </c>
      <c r="C60" s="2947">
        <v>21640</v>
      </c>
      <c r="D60" s="2947">
        <v>21260</v>
      </c>
      <c r="E60" s="2947">
        <v>24040</v>
      </c>
      <c r="F60" s="2947">
        <v>4470</v>
      </c>
      <c r="G60" s="2947">
        <v>14430</v>
      </c>
      <c r="N60" s="2947" t="s">
        <v>3059</v>
      </c>
    </row>
    <row r="61" spans="1:17" ht="14.25" customHeight="1">
      <c r="A61" s="2947" t="s">
        <v>110</v>
      </c>
      <c r="B61" s="2947" t="s">
        <v>170</v>
      </c>
      <c r="C61" s="2947">
        <v>21330</v>
      </c>
      <c r="D61" s="2947">
        <v>18640</v>
      </c>
      <c r="E61" s="2947">
        <v>21190</v>
      </c>
      <c r="F61" s="2947">
        <v>4180</v>
      </c>
      <c r="G61" s="2947">
        <v>12650</v>
      </c>
      <c r="N61" s="2947" t="s">
        <v>3060</v>
      </c>
    </row>
    <row r="62" spans="1:17" ht="14.25" customHeight="1">
      <c r="A62" s="2947" t="s">
        <v>110</v>
      </c>
      <c r="B62" s="2947" t="s">
        <v>177</v>
      </c>
      <c r="C62" s="2947">
        <v>18710</v>
      </c>
      <c r="D62" s="2947">
        <v>19400</v>
      </c>
      <c r="E62" s="2947">
        <v>23750</v>
      </c>
      <c r="F62" s="2947">
        <v>4860</v>
      </c>
      <c r="G62" s="2947">
        <v>13170</v>
      </c>
      <c r="N62" s="2947" t="s">
        <v>3061</v>
      </c>
    </row>
    <row r="63" spans="1:17" ht="14.25" customHeight="1">
      <c r="A63" s="2947" t="s">
        <v>110</v>
      </c>
      <c r="B63" s="2947" t="s">
        <v>187</v>
      </c>
      <c r="C63" s="2947">
        <v>19480</v>
      </c>
      <c r="D63" s="2947">
        <v>16830</v>
      </c>
      <c r="E63" s="2947">
        <v>21590</v>
      </c>
      <c r="F63" s="2947">
        <v>4560</v>
      </c>
      <c r="G63" s="2947">
        <v>11420</v>
      </c>
      <c r="N63" s="2947" t="s">
        <v>3062</v>
      </c>
    </row>
    <row r="64" spans="1:17" ht="14.25" customHeight="1" thickBot="1">
      <c r="A64" s="2947" t="s">
        <v>110</v>
      </c>
      <c r="B64" s="2947" t="s">
        <v>196</v>
      </c>
      <c r="C64" s="2947">
        <v>16920</v>
      </c>
      <c r="D64" s="2947">
        <v>19190</v>
      </c>
      <c r="E64" s="2947">
        <v>22200</v>
      </c>
      <c r="F64" s="2947">
        <v>4390</v>
      </c>
      <c r="G64" s="2947">
        <v>13030</v>
      </c>
      <c r="N64" s="2954" t="s">
        <v>3063</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2934</v>
      </c>
      <c r="C78" s="2947">
        <v>19820</v>
      </c>
      <c r="D78" s="2947">
        <v>19780</v>
      </c>
      <c r="E78" s="2947">
        <v>18560</v>
      </c>
      <c r="F78" s="2947"/>
      <c r="G78" s="2947">
        <v>13430</v>
      </c>
    </row>
    <row r="79" spans="1:7" s="2781" customFormat="1" ht="14.25" customHeight="1">
      <c r="A79" s="2947" t="s">
        <v>110</v>
      </c>
      <c r="B79" s="2947" t="s">
        <v>2937</v>
      </c>
      <c r="C79" s="2947">
        <v>21660</v>
      </c>
      <c r="D79" s="2947">
        <v>18000</v>
      </c>
      <c r="E79" s="2947">
        <v>22570</v>
      </c>
      <c r="F79" s="2947"/>
      <c r="G79" s="2947">
        <v>12220</v>
      </c>
    </row>
    <row r="80" spans="1:7" s="2781" customFormat="1" ht="14.25" customHeight="1">
      <c r="A80" s="2947" t="s">
        <v>110</v>
      </c>
      <c r="B80" s="2947" t="s">
        <v>2941</v>
      </c>
      <c r="C80" s="2947">
        <v>19850</v>
      </c>
      <c r="D80" s="2947"/>
      <c r="E80" s="2947">
        <v>21700</v>
      </c>
      <c r="F80" s="2947"/>
      <c r="G80" s="2947"/>
    </row>
    <row r="81" spans="1:7" s="2781" customFormat="1" ht="14.25" customHeight="1">
      <c r="A81" s="2947" t="s">
        <v>110</v>
      </c>
      <c r="B81" s="2947" t="s">
        <v>2946</v>
      </c>
      <c r="C81" s="2947">
        <v>18080</v>
      </c>
      <c r="D81" s="2947"/>
      <c r="E81" s="2947">
        <v>20900</v>
      </c>
      <c r="F81" s="2947"/>
      <c r="G81" s="2947"/>
    </row>
    <row r="82" spans="1:7" s="2781" customFormat="1" ht="14.25" customHeight="1">
      <c r="A82" s="2947" t="s">
        <v>110</v>
      </c>
      <c r="B82" s="2947" t="s">
        <v>2953</v>
      </c>
      <c r="C82" s="2947"/>
      <c r="D82" s="2947"/>
      <c r="E82" s="2947">
        <v>20840</v>
      </c>
      <c r="F82" s="2947"/>
      <c r="G82" s="2947"/>
    </row>
    <row r="83" spans="1:7" s="2781" customFormat="1" ht="14.25" customHeight="1">
      <c r="A83" s="2947" t="s">
        <v>110</v>
      </c>
      <c r="B83" s="2947" t="s">
        <v>3064</v>
      </c>
      <c r="C83" s="2947"/>
      <c r="D83" s="2947"/>
      <c r="E83" s="2947"/>
      <c r="F83" s="2947">
        <v>4770</v>
      </c>
      <c r="G83" s="2947"/>
    </row>
    <row r="84" spans="1:7" s="2781" customFormat="1" ht="14.25" customHeight="1">
      <c r="A84" s="2947" t="s">
        <v>110</v>
      </c>
      <c r="B84" s="2947" t="s">
        <v>3065</v>
      </c>
      <c r="C84" s="2947"/>
      <c r="D84" s="2947"/>
      <c r="E84" s="2947"/>
      <c r="F84" s="2947">
        <v>4600</v>
      </c>
      <c r="G84" s="2947"/>
    </row>
    <row r="85" spans="1:7" s="2781" customFormat="1" ht="14.25" customHeight="1">
      <c r="A85" s="2947" t="s">
        <v>110</v>
      </c>
      <c r="B85" s="2947" t="s">
        <v>3066</v>
      </c>
      <c r="C85" s="2947"/>
      <c r="D85" s="2947"/>
      <c r="E85" s="2947"/>
      <c r="F85" s="2947">
        <v>4680</v>
      </c>
      <c r="G85" s="2947"/>
    </row>
    <row r="86" spans="1:7" s="2781" customFormat="1" ht="14.25" customHeight="1" thickBot="1">
      <c r="A86" s="2955" t="s">
        <v>110</v>
      </c>
      <c r="B86" s="2957" t="s">
        <v>3067</v>
      </c>
      <c r="C86" s="2958">
        <v>16610</v>
      </c>
      <c r="D86" s="2958">
        <v>16540</v>
      </c>
      <c r="E86" s="2958">
        <v>18850</v>
      </c>
      <c r="F86" s="2958"/>
      <c r="G86" s="2958">
        <v>11220</v>
      </c>
    </row>
    <row r="87" spans="1:7" s="2781" customFormat="1" ht="14.25" customHeight="1">
      <c r="A87" s="2952" t="s">
        <v>303</v>
      </c>
      <c r="B87" s="2943" t="s">
        <v>3068</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2947</v>
      </c>
      <c r="C113" s="2947">
        <v>15520</v>
      </c>
      <c r="D113" s="2947">
        <v>15450</v>
      </c>
      <c r="E113" s="2947"/>
      <c r="F113" s="2947"/>
      <c r="G113" s="2960">
        <v>10210</v>
      </c>
    </row>
    <row r="114" spans="1:7" s="2781" customFormat="1" ht="14.25" customHeight="1">
      <c r="A114" s="2947" t="s">
        <v>303</v>
      </c>
      <c r="B114" s="2947" t="s">
        <v>2954</v>
      </c>
      <c r="C114" s="2947">
        <v>13110</v>
      </c>
      <c r="D114" s="2947">
        <v>13050</v>
      </c>
      <c r="E114" s="2947"/>
      <c r="F114" s="2947"/>
      <c r="G114" s="2960">
        <v>8620</v>
      </c>
    </row>
    <row r="115" spans="1:7" s="2781" customFormat="1" ht="14.25" customHeight="1">
      <c r="A115" s="2947" t="s">
        <v>303</v>
      </c>
      <c r="B115" s="2947" t="s">
        <v>2960</v>
      </c>
      <c r="C115" s="2947">
        <v>12460</v>
      </c>
      <c r="D115" s="2947">
        <v>12390</v>
      </c>
      <c r="E115" s="2947"/>
      <c r="F115" s="2947"/>
      <c r="G115" s="2960">
        <v>8190</v>
      </c>
    </row>
    <row r="116" spans="1:7" s="2781" customFormat="1" ht="14.25" customHeight="1">
      <c r="A116" s="2947" t="s">
        <v>303</v>
      </c>
      <c r="B116" s="2947" t="s">
        <v>2967</v>
      </c>
      <c r="C116" s="2947">
        <v>13580</v>
      </c>
      <c r="D116" s="2947">
        <v>13520</v>
      </c>
      <c r="E116" s="2947"/>
      <c r="F116" s="2947"/>
      <c r="G116" s="2960">
        <v>8930</v>
      </c>
    </row>
    <row r="117" spans="1:7" s="2781" customFormat="1" ht="14.25" customHeight="1">
      <c r="A117" s="2947" t="s">
        <v>303</v>
      </c>
      <c r="B117" s="2947" t="s">
        <v>2974</v>
      </c>
      <c r="C117" s="2947">
        <v>17120</v>
      </c>
      <c r="D117" s="2947">
        <v>17040</v>
      </c>
      <c r="E117" s="2947"/>
      <c r="F117" s="2947"/>
      <c r="G117" s="2960">
        <v>11260</v>
      </c>
    </row>
    <row r="118" spans="1:7" s="2781" customFormat="1" ht="14.25" customHeight="1">
      <c r="A118" s="2947" t="s">
        <v>303</v>
      </c>
      <c r="B118" s="2947" t="s">
        <v>2979</v>
      </c>
      <c r="C118" s="2947">
        <v>14860</v>
      </c>
      <c r="D118" s="2947">
        <v>14790</v>
      </c>
      <c r="E118" s="2947"/>
      <c r="F118" s="2947"/>
      <c r="G118" s="2960">
        <v>9780</v>
      </c>
    </row>
    <row r="119" spans="1:7" s="2781" customFormat="1" ht="14.25" customHeight="1">
      <c r="A119" s="2947" t="s">
        <v>303</v>
      </c>
      <c r="B119" s="2947" t="s">
        <v>2983</v>
      </c>
      <c r="C119" s="2947">
        <v>16470</v>
      </c>
      <c r="D119" s="2947">
        <v>16400</v>
      </c>
      <c r="E119" s="2947"/>
      <c r="F119" s="2947"/>
      <c r="G119" s="2960">
        <v>10840</v>
      </c>
    </row>
    <row r="120" spans="1:7" s="2781" customFormat="1" ht="14.25" customHeight="1">
      <c r="A120" s="2947" t="s">
        <v>303</v>
      </c>
      <c r="B120" s="2947" t="s">
        <v>3069</v>
      </c>
      <c r="C120" s="2947"/>
      <c r="D120" s="2947"/>
      <c r="E120" s="2947"/>
      <c r="F120" s="2947">
        <v>4160</v>
      </c>
      <c r="G120" s="2960"/>
    </row>
    <row r="121" spans="1:7" s="2781" customFormat="1" ht="14.25" customHeight="1">
      <c r="A121" s="2947" t="s">
        <v>303</v>
      </c>
      <c r="B121" s="2947" t="s">
        <v>3070</v>
      </c>
      <c r="C121" s="2947"/>
      <c r="D121" s="2947"/>
      <c r="E121" s="2947"/>
      <c r="F121" s="2947">
        <v>3880</v>
      </c>
      <c r="G121" s="2960"/>
    </row>
    <row r="122" spans="1:7" s="2781" customFormat="1" ht="14.25" customHeight="1">
      <c r="A122" s="2947" t="s">
        <v>303</v>
      </c>
      <c r="B122" s="2947" t="s">
        <v>3071</v>
      </c>
      <c r="C122" s="2947">
        <v>13750</v>
      </c>
      <c r="D122" s="2947">
        <v>13680</v>
      </c>
      <c r="E122" s="2947">
        <v>16460</v>
      </c>
      <c r="F122" s="2947">
        <v>2880</v>
      </c>
      <c r="G122" s="2960">
        <v>9040</v>
      </c>
    </row>
    <row r="123" spans="1:7" s="2781" customFormat="1" ht="14.25" customHeight="1">
      <c r="A123" s="2947" t="s">
        <v>303</v>
      </c>
      <c r="B123" s="2947" t="s">
        <v>3002</v>
      </c>
      <c r="C123" s="2947">
        <v>13590</v>
      </c>
      <c r="D123" s="2947">
        <v>13520</v>
      </c>
      <c r="E123" s="2947">
        <v>16290</v>
      </c>
      <c r="F123" s="2947">
        <v>2790</v>
      </c>
      <c r="G123" s="2960">
        <v>8930</v>
      </c>
    </row>
    <row r="124" spans="1:7" s="2781" customFormat="1" ht="14.25" customHeight="1">
      <c r="A124" s="2947" t="s">
        <v>303</v>
      </c>
      <c r="B124" s="2947" t="s">
        <v>3007</v>
      </c>
      <c r="C124" s="2947">
        <v>13400</v>
      </c>
      <c r="D124" s="2947">
        <v>13320</v>
      </c>
      <c r="E124" s="2947">
        <v>16100</v>
      </c>
      <c r="F124" s="2947">
        <v>2320</v>
      </c>
      <c r="G124" s="2960">
        <v>8800</v>
      </c>
    </row>
    <row r="125" spans="1:7" s="2781" customFormat="1" ht="14.25" customHeight="1">
      <c r="A125" s="2947" t="s">
        <v>303</v>
      </c>
      <c r="B125" s="2947" t="s">
        <v>3012</v>
      </c>
      <c r="C125" s="2947">
        <v>12860</v>
      </c>
      <c r="D125" s="2947">
        <v>12790</v>
      </c>
      <c r="E125" s="2947">
        <v>15370</v>
      </c>
      <c r="F125" s="2947">
        <v>2280</v>
      </c>
      <c r="G125" s="2960">
        <v>8450</v>
      </c>
    </row>
    <row r="126" spans="1:7" s="2781" customFormat="1" ht="14.25" customHeight="1" thickBot="1">
      <c r="A126" s="2961" t="s">
        <v>303</v>
      </c>
      <c r="B126" s="2954" t="s">
        <v>3017</v>
      </c>
      <c r="C126" s="2954">
        <v>12960</v>
      </c>
      <c r="D126" s="2954">
        <v>12890</v>
      </c>
      <c r="E126" s="2954">
        <v>15530</v>
      </c>
      <c r="F126" s="2954">
        <v>2910</v>
      </c>
      <c r="G126" s="2962">
        <v>8520</v>
      </c>
    </row>
    <row r="127" spans="1:7" s="2781" customFormat="1" ht="14.25" customHeight="1">
      <c r="A127" s="2952" t="s">
        <v>29</v>
      </c>
      <c r="B127" s="2943" t="s">
        <v>3072</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3073</v>
      </c>
      <c r="C148" s="2947">
        <v>10370</v>
      </c>
      <c r="D148" s="2947">
        <v>10310</v>
      </c>
      <c r="E148" s="2947">
        <v>12970</v>
      </c>
      <c r="F148" s="2947"/>
      <c r="G148" s="2947">
        <v>6630</v>
      </c>
    </row>
    <row r="149" spans="1:7" s="2781" customFormat="1" ht="14.25" customHeight="1">
      <c r="A149" s="2947" t="s">
        <v>29</v>
      </c>
      <c r="B149" s="2947" t="s">
        <v>3074</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2948</v>
      </c>
      <c r="C153" s="2947">
        <v>10880</v>
      </c>
      <c r="D153" s="2947">
        <v>10820</v>
      </c>
      <c r="E153" s="2947">
        <v>13660</v>
      </c>
      <c r="F153" s="2947">
        <v>2260</v>
      </c>
      <c r="G153" s="2947">
        <v>6970</v>
      </c>
    </row>
    <row r="154" spans="1:7" s="2781" customFormat="1" ht="14.25" customHeight="1">
      <c r="A154" s="2947" t="s">
        <v>29</v>
      </c>
      <c r="B154" s="2947" t="s">
        <v>3075</v>
      </c>
      <c r="C154" s="2947">
        <v>11220</v>
      </c>
      <c r="D154" s="2947">
        <v>11160</v>
      </c>
      <c r="E154" s="2947">
        <v>14130</v>
      </c>
      <c r="F154" s="2947">
        <v>2230</v>
      </c>
      <c r="G154" s="2947">
        <v>7180</v>
      </c>
    </row>
    <row r="155" spans="1:7" s="2781" customFormat="1" ht="14.25" customHeight="1">
      <c r="A155" s="2947" t="s">
        <v>29</v>
      </c>
      <c r="B155" s="2947" t="s">
        <v>2961</v>
      </c>
      <c r="C155" s="2947">
        <v>10430</v>
      </c>
      <c r="D155" s="2947">
        <v>10380</v>
      </c>
      <c r="E155" s="2947">
        <v>13140</v>
      </c>
      <c r="F155" s="2947">
        <v>2080</v>
      </c>
      <c r="G155" s="2947">
        <v>6650</v>
      </c>
    </row>
    <row r="156" spans="1:7" s="2781" customFormat="1" ht="14.25" customHeight="1">
      <c r="A156" s="2947" t="s">
        <v>29</v>
      </c>
      <c r="B156" s="2947" t="s">
        <v>3076</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3077</v>
      </c>
      <c r="C160" s="2947">
        <v>11180</v>
      </c>
      <c r="D160" s="2947">
        <v>11140</v>
      </c>
      <c r="E160" s="2947">
        <v>14050</v>
      </c>
      <c r="F160" s="2947">
        <v>2270</v>
      </c>
      <c r="G160" s="2947">
        <v>7170</v>
      </c>
    </row>
    <row r="161" spans="1:7" s="2781" customFormat="1" ht="14.25" customHeight="1">
      <c r="A161" s="2947" t="s">
        <v>29</v>
      </c>
      <c r="B161" s="2947" t="s">
        <v>2993</v>
      </c>
      <c r="C161" s="2947">
        <v>11160</v>
      </c>
      <c r="D161" s="2947">
        <v>11120</v>
      </c>
      <c r="E161" s="2947">
        <v>14020</v>
      </c>
      <c r="F161" s="2947">
        <v>2150</v>
      </c>
      <c r="G161" s="2947">
        <v>7160</v>
      </c>
    </row>
    <row r="162" spans="1:7" s="2781" customFormat="1" ht="14.25" customHeight="1">
      <c r="A162" s="2947" t="s">
        <v>29</v>
      </c>
      <c r="B162" s="2947" t="s">
        <v>2998</v>
      </c>
      <c r="C162" s="2947">
        <v>9620</v>
      </c>
      <c r="D162" s="2947">
        <v>9570</v>
      </c>
      <c r="E162" s="2947">
        <v>12320</v>
      </c>
      <c r="F162" s="2947">
        <v>2010</v>
      </c>
      <c r="G162" s="2947">
        <v>6160</v>
      </c>
    </row>
    <row r="163" spans="1:7" s="2781" customFormat="1" ht="14.25" customHeight="1">
      <c r="A163" s="2947" t="s">
        <v>29</v>
      </c>
      <c r="B163" s="2947" t="s">
        <v>3003</v>
      </c>
      <c r="C163" s="2947">
        <v>9320</v>
      </c>
      <c r="D163" s="2947">
        <v>9270</v>
      </c>
      <c r="E163" s="2947">
        <v>11790</v>
      </c>
      <c r="F163" s="2947">
        <v>1920</v>
      </c>
      <c r="G163" s="2947">
        <v>5960</v>
      </c>
    </row>
    <row r="164" spans="1:7" s="2781" customFormat="1" ht="14.25" customHeight="1">
      <c r="A164" s="2947" t="s">
        <v>29</v>
      </c>
      <c r="B164" s="2947" t="s">
        <v>3008</v>
      </c>
      <c r="C164" s="2947"/>
      <c r="D164" s="2947"/>
      <c r="E164" s="2947"/>
      <c r="F164" s="2947">
        <v>1980</v>
      </c>
      <c r="G164" s="2947"/>
    </row>
    <row r="165" spans="1:7" s="2781" customFormat="1" ht="14.25" customHeight="1">
      <c r="A165" s="2947" t="s">
        <v>29</v>
      </c>
      <c r="B165" s="2947" t="s">
        <v>3078</v>
      </c>
      <c r="C165" s="2947">
        <v>11060</v>
      </c>
      <c r="D165" s="2947">
        <v>11030</v>
      </c>
      <c r="E165" s="2947">
        <v>13850</v>
      </c>
      <c r="F165" s="2947">
        <v>2170</v>
      </c>
      <c r="G165" s="2947">
        <v>7090</v>
      </c>
    </row>
    <row r="166" spans="1:7" s="2781" customFormat="1" ht="14.25" customHeight="1">
      <c r="A166" s="2947" t="s">
        <v>29</v>
      </c>
      <c r="B166" s="2947" t="s">
        <v>3018</v>
      </c>
      <c r="C166" s="2947">
        <v>11050</v>
      </c>
      <c r="D166" s="2947">
        <v>11010</v>
      </c>
      <c r="E166" s="2947">
        <v>13920</v>
      </c>
      <c r="F166" s="2947">
        <v>2140</v>
      </c>
      <c r="G166" s="2947">
        <v>7080</v>
      </c>
    </row>
    <row r="167" spans="1:7" s="2781" customFormat="1" ht="14.25" customHeight="1">
      <c r="A167" s="2947" t="s">
        <v>29</v>
      </c>
      <c r="B167" s="2947" t="s">
        <v>3022</v>
      </c>
      <c r="C167" s="2947">
        <v>10930</v>
      </c>
      <c r="D167" s="2947">
        <v>10890</v>
      </c>
      <c r="E167" s="2947">
        <v>13790</v>
      </c>
      <c r="F167" s="2947">
        <v>2010</v>
      </c>
      <c r="G167" s="2947">
        <v>7000</v>
      </c>
    </row>
    <row r="168" spans="1:7" s="2781" customFormat="1" ht="14.25" customHeight="1">
      <c r="A168" s="2947" t="s">
        <v>29</v>
      </c>
      <c r="B168" s="2947" t="s">
        <v>3027</v>
      </c>
      <c r="C168" s="2947">
        <v>9420</v>
      </c>
      <c r="D168" s="2947">
        <v>9380</v>
      </c>
      <c r="E168" s="2947">
        <v>11970</v>
      </c>
      <c r="F168" s="2947"/>
      <c r="G168" s="2947">
        <v>6040</v>
      </c>
    </row>
    <row r="169" spans="1:7" s="2781" customFormat="1" ht="14.25" customHeight="1">
      <c r="A169" s="2947" t="s">
        <v>29</v>
      </c>
      <c r="B169" s="2947" t="s">
        <v>3079</v>
      </c>
      <c r="C169" s="2947"/>
      <c r="D169" s="2947"/>
      <c r="E169" s="2947"/>
      <c r="F169" s="2947">
        <v>2880</v>
      </c>
      <c r="G169" s="2947"/>
    </row>
    <row r="170" spans="1:7" s="2781" customFormat="1" ht="14.25" customHeight="1">
      <c r="A170" s="2947" t="s">
        <v>29</v>
      </c>
      <c r="B170" s="2947" t="s">
        <v>3035</v>
      </c>
      <c r="C170" s="2947"/>
      <c r="D170" s="2947"/>
      <c r="E170" s="2947"/>
      <c r="F170" s="2947">
        <v>2880</v>
      </c>
      <c r="G170" s="2947"/>
    </row>
    <row r="171" spans="1:7" s="2781" customFormat="1" ht="14.25" customHeight="1">
      <c r="A171" s="2947" t="s">
        <v>29</v>
      </c>
      <c r="B171" s="2947" t="s">
        <v>3038</v>
      </c>
      <c r="C171" s="2947"/>
      <c r="D171" s="2947"/>
      <c r="E171" s="2947"/>
      <c r="F171" s="2947">
        <v>2880</v>
      </c>
      <c r="G171" s="2947"/>
    </row>
    <row r="172" spans="1:7" s="2781" customFormat="1" ht="14.25" customHeight="1">
      <c r="A172" s="2947" t="s">
        <v>29</v>
      </c>
      <c r="B172" s="2947" t="s">
        <v>3040</v>
      </c>
      <c r="C172" s="2947"/>
      <c r="D172" s="2947"/>
      <c r="E172" s="2947"/>
      <c r="F172" s="2947">
        <v>2880</v>
      </c>
      <c r="G172" s="2947"/>
    </row>
    <row r="173" spans="1:7" s="2781" customFormat="1" ht="14.25" customHeight="1">
      <c r="A173" s="2947" t="s">
        <v>29</v>
      </c>
      <c r="B173" s="2947" t="s">
        <v>3042</v>
      </c>
      <c r="C173" s="2947"/>
      <c r="D173" s="2947"/>
      <c r="E173" s="2947"/>
      <c r="F173" s="2947">
        <v>2150</v>
      </c>
      <c r="G173" s="2947"/>
    </row>
    <row r="174" spans="1:7" s="2781" customFormat="1" ht="14.25" customHeight="1">
      <c r="A174" s="2947" t="s">
        <v>29</v>
      </c>
      <c r="B174" s="2947" t="s">
        <v>3044</v>
      </c>
      <c r="C174" s="2947"/>
      <c r="D174" s="2947"/>
      <c r="E174" s="2947"/>
      <c r="F174" s="2947">
        <v>2030</v>
      </c>
      <c r="G174" s="2947"/>
    </row>
    <row r="175" spans="1:7" s="2781" customFormat="1" ht="14.25" customHeight="1">
      <c r="A175" s="2947" t="s">
        <v>29</v>
      </c>
      <c r="B175" s="2947" t="s">
        <v>3046</v>
      </c>
      <c r="C175" s="2947"/>
      <c r="D175" s="2947"/>
      <c r="E175" s="2947"/>
      <c r="F175" s="2947">
        <v>2780</v>
      </c>
      <c r="G175" s="2947"/>
    </row>
    <row r="176" spans="1:7" s="2781" customFormat="1" ht="14.25" customHeight="1">
      <c r="A176" s="2947" t="s">
        <v>29</v>
      </c>
      <c r="B176" s="2947" t="s">
        <v>3048</v>
      </c>
      <c r="C176" s="2947"/>
      <c r="D176" s="2947"/>
      <c r="E176" s="2947"/>
      <c r="F176" s="2947">
        <v>2780</v>
      </c>
      <c r="G176" s="2947"/>
    </row>
    <row r="177" spans="1:7" s="2781" customFormat="1" ht="14.25" customHeight="1">
      <c r="A177" s="2947" t="s">
        <v>29</v>
      </c>
      <c r="B177" s="2947" t="s">
        <v>3080</v>
      </c>
      <c r="C177" s="2947"/>
      <c r="D177" s="2947"/>
      <c r="E177" s="2947"/>
      <c r="F177" s="2947">
        <v>2780</v>
      </c>
      <c r="G177" s="2947"/>
    </row>
    <row r="178" spans="1:7" s="2781" customFormat="1" ht="14.25" customHeight="1">
      <c r="A178" s="2947" t="s">
        <v>29</v>
      </c>
      <c r="B178" s="2947" t="s">
        <v>3081</v>
      </c>
      <c r="C178" s="2947"/>
      <c r="D178" s="2947"/>
      <c r="E178" s="2947"/>
      <c r="F178" s="2947">
        <v>2060</v>
      </c>
      <c r="G178" s="2947"/>
    </row>
    <row r="179" spans="1:7" s="2781" customFormat="1" ht="14.25" customHeight="1">
      <c r="A179" s="2947" t="s">
        <v>29</v>
      </c>
      <c r="B179" s="2947" t="s">
        <v>3082</v>
      </c>
      <c r="C179" s="2947"/>
      <c r="D179" s="2947"/>
      <c r="E179" s="2947"/>
      <c r="F179" s="2947">
        <v>2120</v>
      </c>
      <c r="G179" s="2947"/>
    </row>
    <row r="180" spans="1:7" s="2781" customFormat="1" ht="14.25" customHeight="1">
      <c r="A180" s="2947" t="s">
        <v>29</v>
      </c>
      <c r="B180" s="2947" t="s">
        <v>3054</v>
      </c>
      <c r="C180" s="2947"/>
      <c r="D180" s="2947"/>
      <c r="E180" s="2947"/>
      <c r="F180" s="2947">
        <v>2340</v>
      </c>
      <c r="G180" s="2947"/>
    </row>
    <row r="181" spans="1:7" s="2781" customFormat="1" ht="14.25" customHeight="1">
      <c r="A181" s="2947" t="s">
        <v>29</v>
      </c>
      <c r="B181" s="2947" t="s">
        <v>3055</v>
      </c>
      <c r="C181" s="2947"/>
      <c r="D181" s="2947"/>
      <c r="E181" s="2947"/>
      <c r="F181" s="2947">
        <v>2340</v>
      </c>
      <c r="G181" s="2947"/>
    </row>
    <row r="182" spans="1:7" s="2781" customFormat="1" ht="14.25" customHeight="1">
      <c r="A182" s="2947" t="s">
        <v>29</v>
      </c>
      <c r="B182" s="2947" t="s">
        <v>3056</v>
      </c>
      <c r="C182" s="2947"/>
      <c r="D182" s="2947"/>
      <c r="E182" s="2947"/>
      <c r="F182" s="2947">
        <v>2340</v>
      </c>
      <c r="G182" s="2947"/>
    </row>
    <row r="183" spans="1:7" s="2781" customFormat="1" ht="14.25" customHeight="1">
      <c r="A183" s="2947" t="s">
        <v>29</v>
      </c>
      <c r="B183" s="2947" t="s">
        <v>3057</v>
      </c>
      <c r="C183" s="2947"/>
      <c r="D183" s="2947"/>
      <c r="E183" s="2947"/>
      <c r="F183" s="2947">
        <v>2340</v>
      </c>
      <c r="G183" s="2947"/>
    </row>
    <row r="184" spans="1:7" s="2781" customFormat="1" ht="14.25" customHeight="1">
      <c r="A184" s="2947" t="s">
        <v>29</v>
      </c>
      <c r="B184" s="2947" t="s">
        <v>3058</v>
      </c>
      <c r="C184" s="2947"/>
      <c r="D184" s="2947"/>
      <c r="E184" s="2947"/>
      <c r="F184" s="2947">
        <v>2340</v>
      </c>
      <c r="G184" s="2947"/>
    </row>
    <row r="185" spans="1:7" s="2781" customFormat="1" ht="14.25" customHeight="1">
      <c r="A185" s="2947" t="s">
        <v>29</v>
      </c>
      <c r="B185" s="2947" t="s">
        <v>3059</v>
      </c>
      <c r="C185" s="2947"/>
      <c r="D185" s="2947"/>
      <c r="E185" s="2947"/>
      <c r="F185" s="2947">
        <v>2530</v>
      </c>
      <c r="G185" s="2947"/>
    </row>
    <row r="186" spans="1:7" s="2781" customFormat="1" ht="14.25" customHeight="1">
      <c r="A186" s="2947" t="s">
        <v>29</v>
      </c>
      <c r="B186" s="2947" t="s">
        <v>3060</v>
      </c>
      <c r="C186" s="2947"/>
      <c r="D186" s="2947"/>
      <c r="E186" s="2947"/>
      <c r="F186" s="2947">
        <v>2550</v>
      </c>
      <c r="G186" s="2947"/>
    </row>
    <row r="187" spans="1:7" s="2781" customFormat="1" ht="14.25" customHeight="1">
      <c r="A187" s="2947" t="s">
        <v>29</v>
      </c>
      <c r="B187" s="2947" t="s">
        <v>3061</v>
      </c>
      <c r="C187" s="2947"/>
      <c r="D187" s="2947"/>
      <c r="E187" s="2947"/>
      <c r="F187" s="2947">
        <v>2070</v>
      </c>
      <c r="G187" s="2947"/>
    </row>
    <row r="188" spans="1:7" s="2781" customFormat="1" ht="14.25" customHeight="1">
      <c r="A188" s="2947" t="s">
        <v>29</v>
      </c>
      <c r="B188" s="2947" t="s">
        <v>3062</v>
      </c>
      <c r="C188" s="2947"/>
      <c r="D188" s="2947"/>
      <c r="E188" s="2947"/>
      <c r="F188" s="2947">
        <v>2340</v>
      </c>
      <c r="G188" s="2947"/>
    </row>
    <row r="189" spans="1:7" s="2781" customFormat="1" ht="14.25" customHeight="1" thickBot="1">
      <c r="A189" s="2955" t="s">
        <v>29</v>
      </c>
      <c r="B189" s="2958" t="s">
        <v>3063</v>
      </c>
      <c r="C189" s="2958"/>
      <c r="D189" s="2958"/>
      <c r="E189" s="2958"/>
      <c r="F189" s="2958">
        <v>2050</v>
      </c>
      <c r="G189" s="2958"/>
    </row>
    <row r="190" spans="1:7" s="2781" customFormat="1" ht="14.25" customHeight="1">
      <c r="A190" s="2952" t="s">
        <v>304</v>
      </c>
      <c r="B190" s="2943" t="s">
        <v>3083</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3084</v>
      </c>
      <c r="C199" s="2947">
        <v>8690</v>
      </c>
      <c r="D199" s="2947">
        <v>8630</v>
      </c>
      <c r="E199" s="2947">
        <v>11350</v>
      </c>
      <c r="F199" s="2947">
        <v>1600</v>
      </c>
      <c r="G199" s="2960">
        <v>5450</v>
      </c>
    </row>
    <row r="200" spans="1:7" s="2781" customFormat="1" ht="14.25" customHeight="1">
      <c r="A200" s="2947" t="s">
        <v>304</v>
      </c>
      <c r="B200" s="2947" t="s">
        <v>2895</v>
      </c>
      <c r="C200" s="2947"/>
      <c r="D200" s="2947"/>
      <c r="E200" s="2947"/>
      <c r="F200" s="2947">
        <v>1510</v>
      </c>
      <c r="G200" s="2960"/>
    </row>
    <row r="201" spans="1:7" s="2781" customFormat="1" ht="14.25" customHeight="1">
      <c r="A201" s="2947" t="s">
        <v>304</v>
      </c>
      <c r="B201" s="2947" t="s">
        <v>3085</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3086</v>
      </c>
      <c r="C203" s="2947">
        <v>8130</v>
      </c>
      <c r="D203" s="2947">
        <v>8070</v>
      </c>
      <c r="E203" s="2947">
        <v>10820</v>
      </c>
      <c r="F203" s="2947">
        <v>1690</v>
      </c>
      <c r="G203" s="2960">
        <v>5100</v>
      </c>
    </row>
    <row r="204" spans="1:7" s="2781" customFormat="1" ht="14.25" customHeight="1">
      <c r="A204" s="2947" t="s">
        <v>304</v>
      </c>
      <c r="B204" s="2947" t="s">
        <v>2906</v>
      </c>
      <c r="C204" s="2947">
        <v>8350</v>
      </c>
      <c r="D204" s="2947">
        <v>8290</v>
      </c>
      <c r="E204" s="2947">
        <v>11080</v>
      </c>
      <c r="F204" s="2947">
        <v>1450</v>
      </c>
      <c r="G204" s="2960">
        <v>5240</v>
      </c>
    </row>
    <row r="205" spans="1:7" s="2781" customFormat="1" ht="14.25" customHeight="1">
      <c r="A205" s="2947" t="s">
        <v>304</v>
      </c>
      <c r="B205" s="2947" t="s">
        <v>2908</v>
      </c>
      <c r="C205" s="2947">
        <v>7190</v>
      </c>
      <c r="D205" s="2947">
        <v>7130</v>
      </c>
      <c r="E205" s="2947">
        <v>9490</v>
      </c>
      <c r="F205" s="2947">
        <v>1470</v>
      </c>
      <c r="G205" s="2960">
        <v>4510</v>
      </c>
    </row>
    <row r="206" spans="1:7" s="2781" customFormat="1" ht="14.25" customHeight="1">
      <c r="A206" s="2947" t="s">
        <v>304</v>
      </c>
      <c r="B206" s="2947" t="s">
        <v>2911</v>
      </c>
      <c r="C206" s="2947">
        <v>7000</v>
      </c>
      <c r="D206" s="2947">
        <v>6950</v>
      </c>
      <c r="E206" s="2947">
        <v>9170</v>
      </c>
      <c r="F206" s="2947">
        <v>1400</v>
      </c>
      <c r="G206" s="2960">
        <v>4380</v>
      </c>
    </row>
    <row r="207" spans="1:7" s="2781" customFormat="1" ht="14.25" customHeight="1">
      <c r="A207" s="2947" t="s">
        <v>304</v>
      </c>
      <c r="B207" s="2947" t="s">
        <v>2913</v>
      </c>
      <c r="C207" s="2947">
        <v>6950</v>
      </c>
      <c r="D207" s="2947">
        <v>6900</v>
      </c>
      <c r="E207" s="2947">
        <v>9110</v>
      </c>
      <c r="F207" s="2947">
        <v>1790</v>
      </c>
      <c r="G207" s="2960">
        <v>4360</v>
      </c>
    </row>
    <row r="208" spans="1:7" s="2781" customFormat="1" ht="14.25" customHeight="1">
      <c r="A208" s="2947" t="s">
        <v>304</v>
      </c>
      <c r="B208" s="2947" t="s">
        <v>3087</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2923</v>
      </c>
      <c r="C210" s="2947">
        <v>8710</v>
      </c>
      <c r="D210" s="2947">
        <v>8660</v>
      </c>
      <c r="E210" s="2947">
        <v>11440</v>
      </c>
      <c r="F210" s="2947">
        <v>1740</v>
      </c>
      <c r="G210" s="2960">
        <v>5470</v>
      </c>
    </row>
    <row r="211" spans="1:7" s="2781" customFormat="1" ht="14.25" customHeight="1">
      <c r="A211" s="2947" t="s">
        <v>304</v>
      </c>
      <c r="B211" s="2947" t="s">
        <v>3088</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3089</v>
      </c>
      <c r="C214" s="2947">
        <v>8090</v>
      </c>
      <c r="D214" s="2947">
        <v>8030</v>
      </c>
      <c r="E214" s="2947">
        <v>10780</v>
      </c>
      <c r="F214" s="2947">
        <v>1570</v>
      </c>
      <c r="G214" s="2960">
        <v>5070</v>
      </c>
    </row>
    <row r="215" spans="1:7" s="2781" customFormat="1" ht="14.25" customHeight="1">
      <c r="A215" s="2947" t="s">
        <v>304</v>
      </c>
      <c r="B215" s="2947" t="s">
        <v>3090</v>
      </c>
      <c r="C215" s="2947">
        <v>7950</v>
      </c>
      <c r="D215" s="2947">
        <v>7900</v>
      </c>
      <c r="E215" s="2947">
        <v>10560</v>
      </c>
      <c r="F215" s="2947">
        <v>1630</v>
      </c>
      <c r="G215" s="2960">
        <v>4990</v>
      </c>
    </row>
    <row r="216" spans="1:7" s="2781" customFormat="1" ht="14.25" customHeight="1">
      <c r="A216" s="2947" t="s">
        <v>304</v>
      </c>
      <c r="B216" s="2947" t="s">
        <v>3091</v>
      </c>
      <c r="C216" s="2947">
        <v>8490</v>
      </c>
      <c r="D216" s="2947">
        <v>8440</v>
      </c>
      <c r="E216" s="2947">
        <v>11260</v>
      </c>
      <c r="F216" s="2947">
        <v>1690</v>
      </c>
      <c r="G216" s="2960">
        <v>5330</v>
      </c>
    </row>
    <row r="217" spans="1:7" s="2781" customFormat="1" ht="14.25" customHeight="1">
      <c r="A217" s="2947" t="s">
        <v>304</v>
      </c>
      <c r="B217" s="2947" t="s">
        <v>2956</v>
      </c>
      <c r="C217" s="2947">
        <v>8200</v>
      </c>
      <c r="D217" s="2947">
        <v>8150</v>
      </c>
      <c r="E217" s="2947">
        <v>10910</v>
      </c>
      <c r="F217" s="2947">
        <v>1670</v>
      </c>
      <c r="G217" s="2960">
        <v>5150</v>
      </c>
    </row>
    <row r="218" spans="1:7" s="2781" customFormat="1" ht="14.25" customHeight="1">
      <c r="A218" s="2947" t="s">
        <v>304</v>
      </c>
      <c r="B218" s="2947" t="s">
        <v>3092</v>
      </c>
      <c r="C218" s="2947"/>
      <c r="D218" s="2947"/>
      <c r="E218" s="2947"/>
      <c r="F218" s="2947">
        <v>2040</v>
      </c>
      <c r="G218" s="2960"/>
    </row>
    <row r="219" spans="1:7" s="2781" customFormat="1" ht="14.25" customHeight="1">
      <c r="A219" s="2947" t="s">
        <v>304</v>
      </c>
      <c r="B219" s="2947" t="s">
        <v>3093</v>
      </c>
      <c r="C219" s="2947"/>
      <c r="D219" s="2947"/>
      <c r="E219" s="2947"/>
      <c r="F219" s="2947">
        <v>2040</v>
      </c>
      <c r="G219" s="2960"/>
    </row>
    <row r="220" spans="1:7" s="2781" customFormat="1" ht="14.25" customHeight="1">
      <c r="A220" s="2947" t="s">
        <v>304</v>
      </c>
      <c r="B220" s="2947" t="s">
        <v>3094</v>
      </c>
      <c r="C220" s="2947"/>
      <c r="D220" s="2947"/>
      <c r="E220" s="2947"/>
      <c r="F220" s="2947">
        <v>2040</v>
      </c>
      <c r="G220" s="2960"/>
    </row>
    <row r="221" spans="1:7" s="2781" customFormat="1" ht="14.25" customHeight="1">
      <c r="A221" s="2947" t="s">
        <v>304</v>
      </c>
      <c r="B221" s="2947" t="s">
        <v>3095</v>
      </c>
      <c r="C221" s="2947"/>
      <c r="D221" s="2947"/>
      <c r="E221" s="2947"/>
      <c r="F221" s="2947">
        <v>2040</v>
      </c>
      <c r="G221" s="2960"/>
    </row>
    <row r="222" spans="1:7" s="2781" customFormat="1" ht="14.25" customHeight="1">
      <c r="A222" s="2947" t="s">
        <v>304</v>
      </c>
      <c r="B222" s="2947" t="s">
        <v>3096</v>
      </c>
      <c r="C222" s="2947"/>
      <c r="D222" s="2947"/>
      <c r="E222" s="2947"/>
      <c r="F222" s="2947">
        <v>2040</v>
      </c>
      <c r="G222" s="2960"/>
    </row>
    <row r="223" spans="1:7" s="2781" customFormat="1" ht="14.25" customHeight="1">
      <c r="A223" s="2947" t="s">
        <v>304</v>
      </c>
      <c r="B223" s="2947" t="s">
        <v>3097</v>
      </c>
      <c r="C223" s="2947"/>
      <c r="D223" s="2947"/>
      <c r="E223" s="2947"/>
      <c r="F223" s="2947">
        <v>1930</v>
      </c>
      <c r="G223" s="2960"/>
    </row>
    <row r="224" spans="1:7" s="2781" customFormat="1" ht="14.25" customHeight="1">
      <c r="A224" s="2947" t="s">
        <v>304</v>
      </c>
      <c r="B224" s="2947" t="s">
        <v>3098</v>
      </c>
      <c r="C224" s="2947"/>
      <c r="D224" s="2947"/>
      <c r="E224" s="2947"/>
      <c r="F224" s="2947">
        <v>1930</v>
      </c>
      <c r="G224" s="2960"/>
    </row>
    <row r="225" spans="1:7" s="2781" customFormat="1" ht="14.25" customHeight="1">
      <c r="A225" s="2947" t="s">
        <v>304</v>
      </c>
      <c r="B225" s="2947" t="s">
        <v>3099</v>
      </c>
      <c r="C225" s="2947"/>
      <c r="D225" s="2947"/>
      <c r="E225" s="2947"/>
      <c r="F225" s="2947">
        <v>1930</v>
      </c>
      <c r="G225" s="2960"/>
    </row>
    <row r="226" spans="1:7" s="2781" customFormat="1" ht="14.25" customHeight="1">
      <c r="A226" s="2947" t="s">
        <v>304</v>
      </c>
      <c r="B226" s="2947" t="s">
        <v>3100</v>
      </c>
      <c r="C226" s="2947"/>
      <c r="D226" s="2947"/>
      <c r="E226" s="2947"/>
      <c r="F226" s="2947">
        <v>1700</v>
      </c>
      <c r="G226" s="2960"/>
    </row>
    <row r="227" spans="1:7" s="2781" customFormat="1" ht="14.25" customHeight="1">
      <c r="A227" s="2947" t="s">
        <v>304</v>
      </c>
      <c r="B227" s="2947" t="s">
        <v>3101</v>
      </c>
      <c r="C227" s="2947"/>
      <c r="D227" s="2947"/>
      <c r="E227" s="2947"/>
      <c r="F227" s="2947">
        <v>1520</v>
      </c>
      <c r="G227" s="2960"/>
    </row>
    <row r="228" spans="1:7" s="2781" customFormat="1" ht="14.25" customHeight="1">
      <c r="A228" s="2947" t="s">
        <v>304</v>
      </c>
      <c r="B228" s="2947" t="s">
        <v>3102</v>
      </c>
      <c r="C228" s="2947"/>
      <c r="D228" s="2947"/>
      <c r="E228" s="2947"/>
      <c r="F228" s="2947">
        <v>1520</v>
      </c>
      <c r="G228" s="2960"/>
    </row>
    <row r="229" spans="1:7" s="2781" customFormat="1" ht="14.25" customHeight="1">
      <c r="A229" s="2947" t="s">
        <v>304</v>
      </c>
      <c r="B229" s="2947" t="s">
        <v>3019</v>
      </c>
      <c r="C229" s="2947"/>
      <c r="D229" s="2947"/>
      <c r="E229" s="2947"/>
      <c r="F229" s="2947">
        <v>1520</v>
      </c>
      <c r="G229" s="2960"/>
    </row>
    <row r="230" spans="1:7" s="2781" customFormat="1" ht="14.25" customHeight="1">
      <c r="A230" s="2947" t="s">
        <v>304</v>
      </c>
      <c r="B230" s="2947" t="s">
        <v>3103</v>
      </c>
      <c r="C230" s="2947"/>
      <c r="D230" s="2947"/>
      <c r="E230" s="2947"/>
      <c r="F230" s="2947">
        <v>1820</v>
      </c>
      <c r="G230" s="2960"/>
    </row>
    <row r="231" spans="1:7" s="2781" customFormat="1" ht="14.25" customHeight="1">
      <c r="A231" s="2947" t="s">
        <v>304</v>
      </c>
      <c r="B231" s="2947" t="s">
        <v>3104</v>
      </c>
      <c r="C231" s="2947"/>
      <c r="D231" s="2947"/>
      <c r="E231" s="2947"/>
      <c r="F231" s="2947">
        <v>1760</v>
      </c>
      <c r="G231" s="2960"/>
    </row>
    <row r="232" spans="1:7" s="2781" customFormat="1" ht="14.25" customHeight="1">
      <c r="A232" s="2947" t="s">
        <v>304</v>
      </c>
      <c r="B232" s="2947" t="s">
        <v>3105</v>
      </c>
      <c r="C232" s="2947"/>
      <c r="D232" s="2947"/>
      <c r="E232" s="2947"/>
      <c r="F232" s="2947">
        <v>1840</v>
      </c>
      <c r="G232" s="2960"/>
    </row>
    <row r="233" spans="1:7" s="2781" customFormat="1" ht="14.25" customHeight="1" thickBot="1">
      <c r="A233" s="2961" t="s">
        <v>304</v>
      </c>
      <c r="B233" s="2954" t="s">
        <v>3036</v>
      </c>
      <c r="C233" s="2954"/>
      <c r="D233" s="2954"/>
      <c r="E233" s="2954"/>
      <c r="F233" s="2954">
        <v>1770</v>
      </c>
      <c r="G233" s="2962"/>
    </row>
    <row r="234" spans="1:7" s="2781" customFormat="1" ht="14.25" customHeight="1">
      <c r="A234" s="2952" t="s">
        <v>305</v>
      </c>
      <c r="B234" s="2943" t="s">
        <v>3106</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2877</v>
      </c>
      <c r="C238" s="2947">
        <v>6920</v>
      </c>
      <c r="D238" s="2947">
        <v>6890</v>
      </c>
      <c r="E238" s="2947">
        <v>8640</v>
      </c>
      <c r="F238" s="2947">
        <v>1310</v>
      </c>
      <c r="G238" s="2947">
        <v>4230</v>
      </c>
    </row>
    <row r="239" spans="1:7" s="2781" customFormat="1" ht="14.25" customHeight="1">
      <c r="A239" s="2947" t="s">
        <v>305</v>
      </c>
      <c r="B239" s="2947" t="s">
        <v>3107</v>
      </c>
      <c r="C239" s="2947">
        <v>6780</v>
      </c>
      <c r="D239" s="2947">
        <v>6750</v>
      </c>
      <c r="E239" s="2947">
        <v>8440</v>
      </c>
      <c r="F239" s="2947">
        <v>1160</v>
      </c>
      <c r="G239" s="2947">
        <v>4140</v>
      </c>
    </row>
    <row r="240" spans="1:7" s="2781" customFormat="1" ht="14.25" customHeight="1">
      <c r="A240" s="2947" t="s">
        <v>305</v>
      </c>
      <c r="B240" s="2947" t="s">
        <v>3108</v>
      </c>
      <c r="C240" s="2947">
        <v>5420</v>
      </c>
      <c r="D240" s="2947">
        <v>5380</v>
      </c>
      <c r="E240" s="2947">
        <v>6640</v>
      </c>
      <c r="F240" s="2947">
        <v>1020</v>
      </c>
      <c r="G240" s="2947">
        <v>3300</v>
      </c>
    </row>
    <row r="241" spans="1:7" s="2781" customFormat="1" ht="14.25" customHeight="1">
      <c r="A241" s="2947" t="s">
        <v>305</v>
      </c>
      <c r="B241" s="2947" t="s">
        <v>3109</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3110</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3111</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3112</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3113</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3114</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2939</v>
      </c>
      <c r="C258" s="2947">
        <v>6190</v>
      </c>
      <c r="D258" s="2947">
        <v>6160</v>
      </c>
      <c r="E258" s="2947">
        <v>7680</v>
      </c>
      <c r="F258" s="2947">
        <v>1170</v>
      </c>
      <c r="G258" s="2947">
        <v>3780</v>
      </c>
    </row>
    <row r="259" spans="1:7" s="2781" customFormat="1" ht="14.25" customHeight="1">
      <c r="A259" s="2947" t="s">
        <v>305</v>
      </c>
      <c r="B259" s="2947" t="s">
        <v>3115</v>
      </c>
      <c r="C259" s="2947">
        <v>7610</v>
      </c>
      <c r="D259" s="2947">
        <v>7570</v>
      </c>
      <c r="E259" s="2947">
        <v>9350</v>
      </c>
      <c r="F259" s="2947">
        <v>1350</v>
      </c>
      <c r="G259" s="2947">
        <v>4650</v>
      </c>
    </row>
    <row r="260" spans="1:7" s="2781" customFormat="1" ht="14.25" customHeight="1">
      <c r="A260" s="2947" t="s">
        <v>305</v>
      </c>
      <c r="B260" s="2947" t="s">
        <v>3116</v>
      </c>
      <c r="C260" s="2947">
        <v>6920</v>
      </c>
      <c r="D260" s="2947">
        <v>6880</v>
      </c>
      <c r="E260" s="2947">
        <v>8380</v>
      </c>
      <c r="F260" s="2947">
        <v>1160</v>
      </c>
      <c r="G260" s="2947">
        <v>4220</v>
      </c>
    </row>
    <row r="261" spans="1:7" s="2781" customFormat="1" ht="14.25" customHeight="1">
      <c r="A261" s="2947" t="s">
        <v>305</v>
      </c>
      <c r="B261" s="2947" t="s">
        <v>3117</v>
      </c>
      <c r="C261" s="2947">
        <v>6850</v>
      </c>
      <c r="D261" s="2947">
        <v>6810</v>
      </c>
      <c r="E261" s="2947">
        <v>8290</v>
      </c>
      <c r="F261" s="2947">
        <v>1130</v>
      </c>
      <c r="G261" s="2947">
        <v>4180</v>
      </c>
    </row>
    <row r="262" spans="1:7" s="2781" customFormat="1" ht="14.25" customHeight="1">
      <c r="A262" s="2947" t="s">
        <v>305</v>
      </c>
      <c r="B262" s="2947" t="s">
        <v>3118</v>
      </c>
      <c r="C262" s="2947">
        <v>5860</v>
      </c>
      <c r="D262" s="2947">
        <v>5820</v>
      </c>
      <c r="E262" s="2947">
        <v>7640</v>
      </c>
      <c r="F262" s="2947">
        <v>1070</v>
      </c>
      <c r="G262" s="2947">
        <v>3570</v>
      </c>
    </row>
    <row r="263" spans="1:7" s="2781" customFormat="1" ht="14.25" customHeight="1">
      <c r="A263" s="2947" t="s">
        <v>305</v>
      </c>
      <c r="B263" s="2947" t="s">
        <v>3119</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3120</v>
      </c>
      <c r="C265" s="2947"/>
      <c r="D265" s="2947"/>
      <c r="E265" s="2947"/>
      <c r="F265" s="2947">
        <v>1500</v>
      </c>
      <c r="G265" s="2947"/>
    </row>
    <row r="266" spans="1:7" s="2781" customFormat="1" ht="14.25" customHeight="1">
      <c r="A266" s="2947" t="s">
        <v>305</v>
      </c>
      <c r="B266" s="2947" t="s">
        <v>3121</v>
      </c>
      <c r="C266" s="2947"/>
      <c r="D266" s="2947"/>
      <c r="E266" s="2947"/>
      <c r="F266" s="2947">
        <v>1500</v>
      </c>
      <c r="G266" s="2947"/>
    </row>
    <row r="267" spans="1:7" s="2781" customFormat="1" ht="14.25" customHeight="1">
      <c r="A267" s="2947" t="s">
        <v>305</v>
      </c>
      <c r="B267" s="2947" t="s">
        <v>3122</v>
      </c>
      <c r="C267" s="2947"/>
      <c r="D267" s="2947"/>
      <c r="E267" s="2947"/>
      <c r="F267" s="2947">
        <v>1500</v>
      </c>
      <c r="G267" s="2947"/>
    </row>
    <row r="268" spans="1:7" s="2781" customFormat="1" ht="14.25" customHeight="1">
      <c r="A268" s="2947" t="s">
        <v>305</v>
      </c>
      <c r="B268" s="2947" t="s">
        <v>3123</v>
      </c>
      <c r="C268" s="2947"/>
      <c r="D268" s="2947"/>
      <c r="E268" s="2947"/>
      <c r="F268" s="2947">
        <v>1290</v>
      </c>
      <c r="G268" s="2947"/>
    </row>
    <row r="269" spans="1:7" s="2781" customFormat="1" ht="14.25" customHeight="1">
      <c r="A269" s="2947" t="s">
        <v>305</v>
      </c>
      <c r="B269" s="2947" t="s">
        <v>3124</v>
      </c>
      <c r="C269" s="2947"/>
      <c r="D269" s="2947"/>
      <c r="E269" s="2947"/>
      <c r="F269" s="2947">
        <v>1150</v>
      </c>
      <c r="G269" s="2947"/>
    </row>
    <row r="270" spans="1:7" s="2781" customFormat="1" ht="14.25" customHeight="1">
      <c r="A270" s="2947" t="s">
        <v>305</v>
      </c>
      <c r="B270" s="2947" t="s">
        <v>3125</v>
      </c>
      <c r="C270" s="2947"/>
      <c r="D270" s="2947"/>
      <c r="E270" s="2947"/>
      <c r="F270" s="2947">
        <v>1380</v>
      </c>
      <c r="G270" s="2947"/>
    </row>
    <row r="271" spans="1:7" s="2781" customFormat="1" ht="14.25" customHeight="1">
      <c r="A271" s="2947" t="s">
        <v>305</v>
      </c>
      <c r="B271" s="2947" t="s">
        <v>3126</v>
      </c>
      <c r="C271" s="2947"/>
      <c r="D271" s="2947"/>
      <c r="E271" s="2947"/>
      <c r="F271" s="2947">
        <v>1460</v>
      </c>
      <c r="G271" s="2947"/>
    </row>
    <row r="272" spans="1:7" s="2781" customFormat="1" ht="14.25" customHeight="1">
      <c r="A272" s="2947" t="s">
        <v>305</v>
      </c>
      <c r="B272" s="2947" t="s">
        <v>3127</v>
      </c>
      <c r="C272" s="2947"/>
      <c r="D272" s="2947"/>
      <c r="E272" s="2947"/>
      <c r="F272" s="2947">
        <v>1460</v>
      </c>
      <c r="G272" s="2947"/>
    </row>
    <row r="273" spans="1:7" s="2781" customFormat="1" ht="14.25" customHeight="1">
      <c r="A273" s="2947" t="s">
        <v>305</v>
      </c>
      <c r="B273" s="2947" t="s">
        <v>3020</v>
      </c>
      <c r="C273" s="2947"/>
      <c r="D273" s="2947"/>
      <c r="E273" s="2947"/>
      <c r="F273" s="2947">
        <v>1490</v>
      </c>
      <c r="G273" s="2947"/>
    </row>
    <row r="274" spans="1:7" s="2781" customFormat="1" ht="14.25" customHeight="1">
      <c r="A274" s="2947" t="s">
        <v>305</v>
      </c>
      <c r="B274" s="2947" t="s">
        <v>3128</v>
      </c>
      <c r="C274" s="2947"/>
      <c r="D274" s="2947"/>
      <c r="E274" s="2947"/>
      <c r="F274" s="2947">
        <v>1490</v>
      </c>
      <c r="G274" s="2947"/>
    </row>
    <row r="275" spans="1:7" s="2781" customFormat="1" ht="14.25" customHeight="1">
      <c r="A275" s="2947" t="s">
        <v>305</v>
      </c>
      <c r="B275" s="2947" t="s">
        <v>3129</v>
      </c>
      <c r="C275" s="2947"/>
      <c r="D275" s="2947"/>
      <c r="E275" s="2947"/>
      <c r="F275" s="2947">
        <v>1220</v>
      </c>
      <c r="G275" s="2947"/>
    </row>
    <row r="276" spans="1:7" s="2781" customFormat="1" ht="14.25" customHeight="1" thickBot="1">
      <c r="A276" s="2955" t="s">
        <v>305</v>
      </c>
      <c r="B276" s="2957" t="s">
        <v>3130</v>
      </c>
      <c r="C276" s="2958"/>
      <c r="D276" s="2958"/>
      <c r="E276" s="2958"/>
      <c r="F276" s="2958">
        <v>1380</v>
      </c>
      <c r="G276" s="2958"/>
    </row>
    <row r="277" spans="1:7" s="2781" customFormat="1" ht="14.25" customHeight="1">
      <c r="A277" s="2952" t="s">
        <v>306</v>
      </c>
      <c r="B277" s="2943" t="s">
        <v>3131</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3132</v>
      </c>
      <c r="C279" s="2947">
        <v>4760</v>
      </c>
      <c r="D279" s="2947">
        <v>4720</v>
      </c>
      <c r="E279" s="2947">
        <v>5540</v>
      </c>
      <c r="F279" s="2947">
        <v>810</v>
      </c>
      <c r="G279" s="2960">
        <v>2850</v>
      </c>
    </row>
    <row r="280" spans="1:7" s="2781" customFormat="1" ht="14.25" customHeight="1">
      <c r="A280" s="2947" t="s">
        <v>306</v>
      </c>
      <c r="B280" s="2947" t="s">
        <v>3133</v>
      </c>
      <c r="C280" s="2947">
        <v>4010</v>
      </c>
      <c r="D280" s="2947">
        <v>3950</v>
      </c>
      <c r="E280" s="2947">
        <v>4710</v>
      </c>
      <c r="F280" s="2947">
        <v>800</v>
      </c>
      <c r="G280" s="2960">
        <v>2390</v>
      </c>
    </row>
    <row r="281" spans="1:7" s="2781" customFormat="1" ht="14.25" customHeight="1">
      <c r="A281" s="2947" t="s">
        <v>306</v>
      </c>
      <c r="B281" s="2947" t="s">
        <v>3134</v>
      </c>
      <c r="C281" s="2947">
        <v>4480</v>
      </c>
      <c r="D281" s="2947">
        <v>4420</v>
      </c>
      <c r="E281" s="2947">
        <v>5230</v>
      </c>
      <c r="F281" s="2947">
        <v>870</v>
      </c>
      <c r="G281" s="2960">
        <v>2660</v>
      </c>
    </row>
    <row r="282" spans="1:7" s="2781" customFormat="1" ht="14.25" customHeight="1">
      <c r="A282" s="2947" t="s">
        <v>306</v>
      </c>
      <c r="B282" s="2947" t="s">
        <v>3135</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3136</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3137</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2912</v>
      </c>
      <c r="C293" s="2947">
        <v>5320</v>
      </c>
      <c r="D293" s="2947">
        <v>5270</v>
      </c>
      <c r="E293" s="2947">
        <v>6160</v>
      </c>
      <c r="F293" s="2947">
        <v>990</v>
      </c>
      <c r="G293" s="2960">
        <v>3170</v>
      </c>
    </row>
    <row r="294" spans="1:7" s="2781" customFormat="1" ht="14.25" customHeight="1">
      <c r="A294" s="2947" t="s">
        <v>306</v>
      </c>
      <c r="B294" s="2947" t="s">
        <v>3138</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2931</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3139</v>
      </c>
      <c r="C302" s="2947">
        <v>5520</v>
      </c>
      <c r="D302" s="2947">
        <v>5470</v>
      </c>
      <c r="E302" s="2947">
        <v>6410</v>
      </c>
      <c r="F302" s="2947">
        <v>950</v>
      </c>
      <c r="G302" s="2960">
        <v>3300</v>
      </c>
    </row>
    <row r="303" spans="1:7" s="2781" customFormat="1" ht="14.25" customHeight="1">
      <c r="A303" s="2947" t="s">
        <v>306</v>
      </c>
      <c r="B303" s="2947" t="s">
        <v>2951</v>
      </c>
      <c r="C303" s="2947">
        <v>5630</v>
      </c>
      <c r="D303" s="2947">
        <v>5590</v>
      </c>
      <c r="E303" s="2947">
        <v>6550</v>
      </c>
      <c r="F303" s="2947">
        <v>1010</v>
      </c>
      <c r="G303" s="2960">
        <v>3370</v>
      </c>
    </row>
    <row r="304" spans="1:7" s="2781" customFormat="1" ht="14.25" customHeight="1">
      <c r="A304" s="2947" t="s">
        <v>306</v>
      </c>
      <c r="B304" s="2947" t="s">
        <v>2958</v>
      </c>
      <c r="C304" s="2947">
        <v>5680</v>
      </c>
      <c r="D304" s="2947">
        <v>5620</v>
      </c>
      <c r="E304" s="2947">
        <v>6620</v>
      </c>
      <c r="F304" s="2947">
        <v>1050</v>
      </c>
      <c r="G304" s="2960">
        <v>3390</v>
      </c>
    </row>
    <row r="305" spans="1:7" s="2781" customFormat="1" ht="14.25" customHeight="1">
      <c r="A305" s="2947" t="s">
        <v>306</v>
      </c>
      <c r="B305" s="2947" t="s">
        <v>2964</v>
      </c>
      <c r="C305" s="2947">
        <v>5590</v>
      </c>
      <c r="D305" s="2947">
        <v>5530</v>
      </c>
      <c r="E305" s="2947">
        <v>6460</v>
      </c>
      <c r="F305" s="2947">
        <v>900</v>
      </c>
      <c r="G305" s="2960">
        <v>3340</v>
      </c>
    </row>
    <row r="306" spans="1:7" s="2781" customFormat="1" ht="14.25" customHeight="1">
      <c r="A306" s="2947" t="s">
        <v>306</v>
      </c>
      <c r="B306" s="2947" t="s">
        <v>3140</v>
      </c>
      <c r="C306" s="2947">
        <v>5560</v>
      </c>
      <c r="D306" s="2947">
        <v>5510</v>
      </c>
      <c r="E306" s="2947">
        <v>6440</v>
      </c>
      <c r="F306" s="2947">
        <v>900</v>
      </c>
      <c r="G306" s="2960">
        <v>3320</v>
      </c>
    </row>
    <row r="307" spans="1:7" s="2781" customFormat="1" ht="14.25" customHeight="1">
      <c r="A307" s="2947" t="s">
        <v>306</v>
      </c>
      <c r="B307" s="2947" t="s">
        <v>2976</v>
      </c>
      <c r="C307" s="2947">
        <v>5650</v>
      </c>
      <c r="D307" s="2947">
        <v>5600</v>
      </c>
      <c r="E307" s="2947">
        <v>6590</v>
      </c>
      <c r="F307" s="2947">
        <v>930</v>
      </c>
      <c r="G307" s="2960">
        <v>3380</v>
      </c>
    </row>
    <row r="308" spans="1:7" s="2781" customFormat="1" ht="14.25" customHeight="1">
      <c r="A308" s="2947" t="s">
        <v>306</v>
      </c>
      <c r="B308" s="2947" t="s">
        <v>3141</v>
      </c>
      <c r="C308" s="2947">
        <v>5620</v>
      </c>
      <c r="D308" s="2947">
        <v>5580</v>
      </c>
      <c r="E308" s="2947">
        <v>6540</v>
      </c>
      <c r="F308" s="2947">
        <v>910</v>
      </c>
      <c r="G308" s="2960">
        <v>3370</v>
      </c>
    </row>
    <row r="309" spans="1:7" s="2781" customFormat="1" ht="14.25" customHeight="1">
      <c r="A309" s="2947" t="s">
        <v>306</v>
      </c>
      <c r="B309" s="2947" t="s">
        <v>3142</v>
      </c>
      <c r="C309" s="2947">
        <v>5060</v>
      </c>
      <c r="D309" s="2947">
        <v>5020</v>
      </c>
      <c r="E309" s="2947">
        <v>6370</v>
      </c>
      <c r="F309" s="2947">
        <v>800</v>
      </c>
      <c r="G309" s="2960">
        <v>3020</v>
      </c>
    </row>
    <row r="310" spans="1:7" s="2781" customFormat="1" ht="14.25" customHeight="1">
      <c r="A310" s="2947" t="s">
        <v>306</v>
      </c>
      <c r="B310" s="2947" t="s">
        <v>2991</v>
      </c>
      <c r="C310" s="2947">
        <v>5150</v>
      </c>
      <c r="D310" s="2947">
        <v>5110</v>
      </c>
      <c r="E310" s="2947">
        <v>6500</v>
      </c>
      <c r="F310" s="2947">
        <v>880</v>
      </c>
      <c r="G310" s="2960">
        <v>3080</v>
      </c>
    </row>
    <row r="311" spans="1:7" s="2781" customFormat="1" ht="14.25" customHeight="1">
      <c r="A311" s="2947" t="s">
        <v>306</v>
      </c>
      <c r="B311" s="2947" t="s">
        <v>3143</v>
      </c>
      <c r="C311" s="2947">
        <v>4750</v>
      </c>
      <c r="D311" s="2947">
        <v>4710</v>
      </c>
      <c r="E311" s="2947">
        <v>5510</v>
      </c>
      <c r="F311" s="2947">
        <v>880</v>
      </c>
      <c r="G311" s="2960">
        <v>2840</v>
      </c>
    </row>
    <row r="312" spans="1:7" s="2781" customFormat="1" ht="14.25" customHeight="1">
      <c r="A312" s="2947" t="s">
        <v>306</v>
      </c>
      <c r="B312" s="2947" t="s">
        <v>3001</v>
      </c>
      <c r="C312" s="2947">
        <v>4690</v>
      </c>
      <c r="D312" s="2947">
        <v>4640</v>
      </c>
      <c r="E312" s="2947">
        <v>5420</v>
      </c>
      <c r="F312" s="2947">
        <v>800</v>
      </c>
      <c r="G312" s="2960">
        <v>2800</v>
      </c>
    </row>
    <row r="313" spans="1:7" s="2781" customFormat="1" ht="14.25" customHeight="1">
      <c r="A313" s="2947" t="s">
        <v>306</v>
      </c>
      <c r="B313" s="2947" t="s">
        <v>3006</v>
      </c>
      <c r="C313" s="2947">
        <v>4810</v>
      </c>
      <c r="D313" s="2947">
        <v>4760</v>
      </c>
      <c r="E313" s="2947">
        <v>5550</v>
      </c>
      <c r="F313" s="2947">
        <v>920</v>
      </c>
      <c r="G313" s="2960">
        <v>2870</v>
      </c>
    </row>
    <row r="314" spans="1:7" s="2781" customFormat="1" ht="14.25" customHeight="1">
      <c r="A314" s="2947" t="s">
        <v>306</v>
      </c>
      <c r="B314" s="2947" t="s">
        <v>3144</v>
      </c>
      <c r="C314" s="2947"/>
      <c r="D314" s="2947"/>
      <c r="E314" s="2947"/>
      <c r="F314" s="2947">
        <v>1020</v>
      </c>
      <c r="G314" s="2960"/>
    </row>
    <row r="315" spans="1:7" s="2781" customFormat="1" ht="14.25" customHeight="1">
      <c r="A315" s="2947" t="s">
        <v>306</v>
      </c>
      <c r="B315" s="2947" t="s">
        <v>3145</v>
      </c>
      <c r="C315" s="2947"/>
      <c r="D315" s="2947"/>
      <c r="E315" s="2947"/>
      <c r="F315" s="2947">
        <v>1050</v>
      </c>
      <c r="G315" s="2960"/>
    </row>
    <row r="316" spans="1:7" s="2781" customFormat="1" ht="14.25" customHeight="1">
      <c r="A316" s="2947" t="s">
        <v>306</v>
      </c>
      <c r="B316" s="2947" t="s">
        <v>3021</v>
      </c>
      <c r="C316" s="2947"/>
      <c r="D316" s="2947"/>
      <c r="E316" s="2947"/>
      <c r="F316" s="2947">
        <v>900</v>
      </c>
      <c r="G316" s="2960"/>
    </row>
    <row r="317" spans="1:7" s="2781" customFormat="1" ht="14.25" customHeight="1">
      <c r="A317" s="2947" t="s">
        <v>306</v>
      </c>
      <c r="B317" s="2947" t="s">
        <v>3146</v>
      </c>
      <c r="C317" s="2947"/>
      <c r="D317" s="2947"/>
      <c r="E317" s="2947"/>
      <c r="F317" s="2947">
        <v>920</v>
      </c>
      <c r="G317" s="2960"/>
    </row>
    <row r="318" spans="1:7" s="2781" customFormat="1" ht="14.25" customHeight="1">
      <c r="A318" s="2947" t="s">
        <v>306</v>
      </c>
      <c r="B318" s="2947" t="s">
        <v>3147</v>
      </c>
      <c r="C318" s="2947"/>
      <c r="D318" s="2947"/>
      <c r="E318" s="2947"/>
      <c r="F318" s="2947">
        <v>1080</v>
      </c>
      <c r="G318" s="2960"/>
    </row>
    <row r="319" spans="1:7" s="2781" customFormat="1" ht="14.25" customHeight="1">
      <c r="A319" s="2947" t="s">
        <v>306</v>
      </c>
      <c r="B319" s="2947" t="s">
        <v>3034</v>
      </c>
      <c r="C319" s="2947"/>
      <c r="D319" s="2947"/>
      <c r="E319" s="2947"/>
      <c r="F319" s="2947">
        <v>1020</v>
      </c>
      <c r="G319" s="2960"/>
    </row>
    <row r="320" spans="1:7" s="2781" customFormat="1" ht="14.25" customHeight="1">
      <c r="A320" s="2947" t="s">
        <v>306</v>
      </c>
      <c r="B320" s="2947" t="s">
        <v>3037</v>
      </c>
      <c r="C320" s="2947"/>
      <c r="D320" s="2947"/>
      <c r="E320" s="2947"/>
      <c r="F320" s="2947">
        <v>1050</v>
      </c>
      <c r="G320" s="2960"/>
    </row>
    <row r="321" spans="1:7" s="2781" customFormat="1" ht="14.25" customHeight="1">
      <c r="A321" s="2947" t="s">
        <v>306</v>
      </c>
      <c r="B321" s="2947" t="s">
        <v>3039</v>
      </c>
      <c r="C321" s="2947"/>
      <c r="D321" s="2947"/>
      <c r="E321" s="2947"/>
      <c r="F321" s="2947">
        <v>960</v>
      </c>
      <c r="G321" s="2960"/>
    </row>
    <row r="322" spans="1:7" s="2781" customFormat="1" ht="14.25" customHeight="1">
      <c r="A322" s="2947" t="s">
        <v>306</v>
      </c>
      <c r="B322" s="2947" t="s">
        <v>3041</v>
      </c>
      <c r="C322" s="2947"/>
      <c r="D322" s="2947"/>
      <c r="E322" s="2947"/>
      <c r="F322" s="2947">
        <v>960</v>
      </c>
      <c r="G322" s="2960"/>
    </row>
    <row r="323" spans="1:7" s="2781" customFormat="1" ht="14.25" customHeight="1">
      <c r="A323" s="2947" t="s">
        <v>306</v>
      </c>
      <c r="B323" s="2947" t="s">
        <v>3043</v>
      </c>
      <c r="C323" s="2947"/>
      <c r="D323" s="2947"/>
      <c r="E323" s="2947"/>
      <c r="F323" s="2947">
        <v>880</v>
      </c>
      <c r="G323" s="2960"/>
    </row>
    <row r="324" spans="1:7" s="2781" customFormat="1" ht="14.25" customHeight="1">
      <c r="A324" s="2947" t="s">
        <v>306</v>
      </c>
      <c r="B324" s="2947" t="s">
        <v>3045</v>
      </c>
      <c r="C324" s="2947"/>
      <c r="D324" s="2947"/>
      <c r="E324" s="2947"/>
      <c r="F324" s="2947">
        <v>930</v>
      </c>
      <c r="G324" s="2960"/>
    </row>
    <row r="325" spans="1:7" s="2781" customFormat="1" ht="14.25" customHeight="1">
      <c r="A325" s="2947" t="s">
        <v>306</v>
      </c>
      <c r="B325" s="2948" t="s">
        <v>3047</v>
      </c>
      <c r="C325" s="2947"/>
      <c r="D325" s="2947"/>
      <c r="E325" s="2947"/>
      <c r="F325" s="2947">
        <v>900</v>
      </c>
      <c r="G325" s="2960"/>
    </row>
    <row r="326" spans="1:7" s="2781" customFormat="1" ht="14.25" customHeight="1" thickBot="1">
      <c r="A326" s="2961" t="s">
        <v>306</v>
      </c>
      <c r="B326" s="2954" t="s">
        <v>3049</v>
      </c>
      <c r="C326" s="2954"/>
      <c r="D326" s="2954"/>
      <c r="E326" s="2954"/>
      <c r="F326" s="2954">
        <v>790</v>
      </c>
      <c r="G326" s="2962"/>
    </row>
    <row r="327" spans="1:7" s="2781" customFormat="1" ht="14.25" customHeight="1">
      <c r="A327" s="2952" t="s">
        <v>307</v>
      </c>
      <c r="B327" s="2943" t="s">
        <v>3148</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3149</v>
      </c>
      <c r="C329" s="2947">
        <v>2730</v>
      </c>
      <c r="D329" s="2947">
        <v>2690</v>
      </c>
      <c r="E329" s="2947">
        <v>3100</v>
      </c>
      <c r="F329" s="2947">
        <v>660</v>
      </c>
      <c r="G329" s="2947">
        <v>1610</v>
      </c>
    </row>
    <row r="330" spans="1:7" s="2781" customFormat="1" ht="14.25" customHeight="1">
      <c r="A330" s="2947" t="s">
        <v>307</v>
      </c>
      <c r="B330" s="2947" t="s">
        <v>3150</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2883</v>
      </c>
      <c r="C332" s="2947">
        <v>3520</v>
      </c>
      <c r="D332" s="2947">
        <v>3480</v>
      </c>
      <c r="E332" s="2947">
        <v>3830</v>
      </c>
      <c r="F332" s="2947">
        <v>720</v>
      </c>
      <c r="G332" s="2947">
        <v>2090</v>
      </c>
    </row>
    <row r="333" spans="1:7" s="2781" customFormat="1" ht="14.25" customHeight="1">
      <c r="A333" s="2947" t="s">
        <v>307</v>
      </c>
      <c r="B333" s="2947" t="s">
        <v>3151</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2893</v>
      </c>
      <c r="C336" s="2947">
        <v>3570</v>
      </c>
      <c r="D336" s="2947">
        <v>3530</v>
      </c>
      <c r="E336" s="2947">
        <v>3880</v>
      </c>
      <c r="F336" s="2947">
        <v>770</v>
      </c>
      <c r="G336" s="2947">
        <v>2110</v>
      </c>
    </row>
    <row r="337" spans="1:10" s="2781" customFormat="1" ht="14.25" customHeight="1">
      <c r="A337" s="2947" t="s">
        <v>307</v>
      </c>
      <c r="B337" s="2947" t="s">
        <v>3152</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3153</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3154</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2918</v>
      </c>
      <c r="C345" s="2947">
        <v>3190</v>
      </c>
      <c r="D345" s="2947">
        <v>3140</v>
      </c>
      <c r="E345" s="2947">
        <v>3450</v>
      </c>
      <c r="F345" s="2947">
        <v>720</v>
      </c>
      <c r="G345" s="2947">
        <v>1880</v>
      </c>
      <c r="J345" s="2781"/>
    </row>
    <row r="346" spans="1:10">
      <c r="A346" s="2947" t="s">
        <v>307</v>
      </c>
      <c r="B346" s="2947" t="s">
        <v>3155</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2927</v>
      </c>
      <c r="C348" s="2947">
        <v>4000</v>
      </c>
      <c r="D348" s="2947">
        <v>3950</v>
      </c>
      <c r="E348" s="2947">
        <v>4430</v>
      </c>
      <c r="F348" s="2947">
        <v>760</v>
      </c>
      <c r="G348" s="2947">
        <v>2360</v>
      </c>
      <c r="J348" s="2781"/>
    </row>
    <row r="349" spans="1:10">
      <c r="A349" s="2947" t="s">
        <v>307</v>
      </c>
      <c r="B349" s="2947" t="s">
        <v>2932</v>
      </c>
      <c r="C349" s="2947">
        <v>3820</v>
      </c>
      <c r="D349" s="2947">
        <v>3780</v>
      </c>
      <c r="E349" s="2947">
        <v>4170</v>
      </c>
      <c r="F349" s="2947">
        <v>710</v>
      </c>
      <c r="G349" s="2947">
        <v>2260</v>
      </c>
      <c r="J349" s="2781"/>
    </row>
    <row r="350" spans="1:10">
      <c r="A350" s="2947" t="s">
        <v>307</v>
      </c>
      <c r="B350" s="2947" t="s">
        <v>3156</v>
      </c>
      <c r="C350" s="2947">
        <v>3760</v>
      </c>
      <c r="D350" s="2947">
        <v>3730</v>
      </c>
      <c r="E350" s="2947">
        <v>4100</v>
      </c>
      <c r="F350" s="2947">
        <v>800</v>
      </c>
      <c r="G350" s="2947">
        <v>2230</v>
      </c>
      <c r="J350" s="2781"/>
    </row>
    <row r="351" spans="1:10">
      <c r="A351" s="2947" t="s">
        <v>307</v>
      </c>
      <c r="B351" s="2947" t="s">
        <v>2940</v>
      </c>
      <c r="C351" s="2947">
        <v>3610</v>
      </c>
      <c r="D351" s="2947">
        <v>3580</v>
      </c>
      <c r="E351" s="2947">
        <v>3930</v>
      </c>
      <c r="F351" s="2947">
        <v>700</v>
      </c>
      <c r="G351" s="2947">
        <v>2140</v>
      </c>
      <c r="J351" s="2781"/>
    </row>
    <row r="352" spans="1:10">
      <c r="A352" s="2947" t="s">
        <v>307</v>
      </c>
      <c r="B352" s="2947" t="s">
        <v>2945</v>
      </c>
      <c r="C352" s="2947">
        <v>3670</v>
      </c>
      <c r="D352" s="2947">
        <v>3630</v>
      </c>
      <c r="E352" s="2947">
        <v>4000</v>
      </c>
      <c r="F352" s="2947">
        <v>750</v>
      </c>
      <c r="G352" s="2947">
        <v>2180</v>
      </c>
    </row>
    <row r="353" spans="1:7" s="2782" customFormat="1">
      <c r="A353" s="2947" t="s">
        <v>307</v>
      </c>
      <c r="B353" s="2947" t="s">
        <v>3157</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2965</v>
      </c>
      <c r="C355" s="2947">
        <v>3650</v>
      </c>
      <c r="D355" s="2947">
        <v>3610</v>
      </c>
      <c r="E355" s="2947">
        <v>4200</v>
      </c>
      <c r="F355" s="2947">
        <v>640</v>
      </c>
      <c r="G355" s="2947">
        <v>2160</v>
      </c>
    </row>
    <row r="356" spans="1:7" s="2782" customFormat="1">
      <c r="A356" s="2947" t="s">
        <v>307</v>
      </c>
      <c r="B356" s="2947" t="s">
        <v>2972</v>
      </c>
      <c r="C356" s="2947">
        <v>3260</v>
      </c>
      <c r="D356" s="2947">
        <v>3230</v>
      </c>
      <c r="E356" s="2947">
        <v>3740</v>
      </c>
      <c r="F356" s="2947">
        <v>600</v>
      </c>
      <c r="G356" s="2947">
        <v>1930</v>
      </c>
    </row>
    <row r="357" spans="1:7" s="2782" customFormat="1" ht="12" thickBot="1">
      <c r="A357" s="2955" t="s">
        <v>307</v>
      </c>
      <c r="B357" s="2958" t="s">
        <v>3158</v>
      </c>
      <c r="C357" s="2958">
        <v>3690</v>
      </c>
      <c r="D357" s="2958">
        <v>3650</v>
      </c>
      <c r="E357" s="2958">
        <v>4020</v>
      </c>
      <c r="F357" s="2958">
        <v>700</v>
      </c>
      <c r="G357" s="2958">
        <v>2190</v>
      </c>
    </row>
    <row r="358" spans="1:7" s="2782" customFormat="1">
      <c r="A358" s="2952" t="s">
        <v>3159</v>
      </c>
      <c r="B358" s="2943" t="s">
        <v>3160</v>
      </c>
      <c r="C358" s="2943">
        <v>2080</v>
      </c>
      <c r="D358" s="2943">
        <v>2040</v>
      </c>
      <c r="E358" s="2943">
        <v>2010</v>
      </c>
      <c r="F358" s="2943">
        <v>530</v>
      </c>
      <c r="G358" s="2959">
        <v>1230</v>
      </c>
    </row>
    <row r="359" spans="1:7" s="2782" customFormat="1">
      <c r="A359" s="2947" t="s">
        <v>3159</v>
      </c>
      <c r="B359" s="2947" t="s">
        <v>3161</v>
      </c>
      <c r="C359" s="2947">
        <v>1850</v>
      </c>
      <c r="D359" s="2947">
        <v>1820</v>
      </c>
      <c r="E359" s="2947">
        <v>1780</v>
      </c>
      <c r="F359" s="2947">
        <v>520</v>
      </c>
      <c r="G359" s="2960">
        <v>1100</v>
      </c>
    </row>
    <row r="360" spans="1:7" s="2782" customFormat="1">
      <c r="A360" s="2947" t="s">
        <v>3159</v>
      </c>
      <c r="B360" s="2947" t="s">
        <v>3162</v>
      </c>
      <c r="C360" s="2947">
        <v>2020</v>
      </c>
      <c r="D360" s="2947">
        <v>1990</v>
      </c>
      <c r="E360" s="2947">
        <v>1950</v>
      </c>
      <c r="F360" s="2947">
        <v>500</v>
      </c>
      <c r="G360" s="2960">
        <v>1200</v>
      </c>
    </row>
    <row r="361" spans="1:7" s="2782" customFormat="1">
      <c r="A361" s="2947" t="s">
        <v>3159</v>
      </c>
      <c r="B361" s="2947" t="s">
        <v>153</v>
      </c>
      <c r="C361" s="2947">
        <v>2260</v>
      </c>
      <c r="D361" s="2947">
        <v>2220</v>
      </c>
      <c r="E361" s="2947">
        <v>2180</v>
      </c>
      <c r="F361" s="2947">
        <v>580</v>
      </c>
      <c r="G361" s="2960">
        <v>1340</v>
      </c>
    </row>
    <row r="362" spans="1:7" s="2782" customFormat="1">
      <c r="A362" s="2947" t="s">
        <v>3159</v>
      </c>
      <c r="B362" s="2947" t="s">
        <v>3163</v>
      </c>
      <c r="C362" s="2947">
        <v>2650</v>
      </c>
      <c r="D362" s="2947">
        <v>2610</v>
      </c>
      <c r="E362" s="2947">
        <v>2570</v>
      </c>
      <c r="F362" s="2947">
        <v>630</v>
      </c>
      <c r="G362" s="2960">
        <v>1570</v>
      </c>
    </row>
    <row r="363" spans="1:7" s="2782" customFormat="1">
      <c r="A363" s="2947" t="s">
        <v>3159</v>
      </c>
      <c r="B363" s="2947" t="s">
        <v>2884</v>
      </c>
      <c r="C363" s="2947">
        <v>2390</v>
      </c>
      <c r="D363" s="2947">
        <v>2360</v>
      </c>
      <c r="E363" s="2947">
        <v>2320</v>
      </c>
      <c r="F363" s="2947">
        <v>600</v>
      </c>
      <c r="G363" s="2960">
        <v>1420</v>
      </c>
    </row>
    <row r="364" spans="1:7" s="2782" customFormat="1">
      <c r="A364" s="2947" t="s">
        <v>3159</v>
      </c>
      <c r="B364" s="2947" t="s">
        <v>3164</v>
      </c>
      <c r="C364" s="2947">
        <v>2050</v>
      </c>
      <c r="D364" s="2947">
        <v>2030</v>
      </c>
      <c r="E364" s="2947">
        <v>1990</v>
      </c>
      <c r="F364" s="2947">
        <v>550</v>
      </c>
      <c r="G364" s="2960">
        <v>1220</v>
      </c>
    </row>
    <row r="365" spans="1:7" s="2782" customFormat="1">
      <c r="A365" s="2947" t="s">
        <v>3159</v>
      </c>
      <c r="B365" s="2947" t="s">
        <v>200</v>
      </c>
      <c r="C365" s="2947">
        <v>2140</v>
      </c>
      <c r="D365" s="2947">
        <v>2100</v>
      </c>
      <c r="E365" s="2947">
        <v>2060</v>
      </c>
      <c r="F365" s="2947">
        <v>540</v>
      </c>
      <c r="G365" s="2960">
        <v>1270</v>
      </c>
    </row>
    <row r="366" spans="1:7" s="2782" customFormat="1">
      <c r="A366" s="2947" t="s">
        <v>3159</v>
      </c>
      <c r="B366" s="2947" t="s">
        <v>2891</v>
      </c>
      <c r="C366" s="2947">
        <v>2410</v>
      </c>
      <c r="D366" s="2947">
        <v>2370</v>
      </c>
      <c r="E366" s="2947">
        <v>2330</v>
      </c>
      <c r="F366" s="2947">
        <v>570</v>
      </c>
      <c r="G366" s="2960">
        <v>1440</v>
      </c>
    </row>
    <row r="367" spans="1:7" s="2782" customFormat="1">
      <c r="A367" s="2947" t="s">
        <v>3159</v>
      </c>
      <c r="B367" s="2947" t="s">
        <v>3165</v>
      </c>
      <c r="C367" s="2947">
        <v>2300</v>
      </c>
      <c r="D367" s="2947">
        <v>2260</v>
      </c>
      <c r="E367" s="2947">
        <v>2220</v>
      </c>
      <c r="F367" s="2947">
        <v>560</v>
      </c>
      <c r="G367" s="2960">
        <v>1370</v>
      </c>
    </row>
    <row r="368" spans="1:7" s="2782" customFormat="1">
      <c r="A368" s="2947" t="s">
        <v>3159</v>
      </c>
      <c r="B368" s="2947" t="s">
        <v>3166</v>
      </c>
      <c r="C368" s="2947">
        <v>2430</v>
      </c>
      <c r="D368" s="2947">
        <v>2390</v>
      </c>
      <c r="E368" s="2947">
        <v>2350</v>
      </c>
      <c r="F368" s="2947">
        <v>570</v>
      </c>
      <c r="G368" s="2960">
        <v>1450</v>
      </c>
    </row>
    <row r="369" spans="1:7" s="2782" customFormat="1">
      <c r="A369" s="2947" t="s">
        <v>3159</v>
      </c>
      <c r="B369" s="2947" t="s">
        <v>214</v>
      </c>
      <c r="C369" s="2947">
        <v>2320</v>
      </c>
      <c r="D369" s="2947">
        <v>2290</v>
      </c>
      <c r="E369" s="2947">
        <v>2250</v>
      </c>
      <c r="F369" s="2947">
        <v>550</v>
      </c>
      <c r="G369" s="2960">
        <v>1380</v>
      </c>
    </row>
    <row r="370" spans="1:7" s="2782" customFormat="1">
      <c r="A370" s="2947" t="s">
        <v>3159</v>
      </c>
      <c r="B370" s="2947" t="s">
        <v>221</v>
      </c>
      <c r="C370" s="2947">
        <v>2190</v>
      </c>
      <c r="D370" s="2947">
        <v>2170</v>
      </c>
      <c r="E370" s="2947">
        <v>2130</v>
      </c>
      <c r="F370" s="2947">
        <v>530</v>
      </c>
      <c r="G370" s="2960">
        <v>1310</v>
      </c>
    </row>
    <row r="371" spans="1:7" s="2782" customFormat="1">
      <c r="A371" s="2947" t="s">
        <v>3159</v>
      </c>
      <c r="B371" s="2947" t="s">
        <v>229</v>
      </c>
      <c r="C371" s="2947">
        <v>2460</v>
      </c>
      <c r="D371" s="2947">
        <v>2420</v>
      </c>
      <c r="E371" s="2947">
        <v>2370</v>
      </c>
      <c r="F371" s="2947">
        <v>560</v>
      </c>
      <c r="G371" s="2960">
        <v>1470</v>
      </c>
    </row>
    <row r="372" spans="1:7" s="2782" customFormat="1">
      <c r="A372" s="2947" t="s">
        <v>3159</v>
      </c>
      <c r="B372" s="2947" t="s">
        <v>3167</v>
      </c>
      <c r="C372" s="2947">
        <v>2250</v>
      </c>
      <c r="D372" s="2947">
        <v>2210</v>
      </c>
      <c r="E372" s="2947">
        <v>2180</v>
      </c>
      <c r="F372" s="2947">
        <v>550</v>
      </c>
      <c r="G372" s="2960">
        <v>1340</v>
      </c>
    </row>
    <row r="373" spans="1:7" s="2782" customFormat="1">
      <c r="A373" s="2947" t="s">
        <v>3159</v>
      </c>
      <c r="B373" s="2947" t="s">
        <v>258</v>
      </c>
      <c r="C373" s="2947">
        <v>2210</v>
      </c>
      <c r="D373" s="2947">
        <v>2190</v>
      </c>
      <c r="E373" s="2947">
        <v>2150</v>
      </c>
      <c r="F373" s="2947">
        <v>530</v>
      </c>
      <c r="G373" s="2960">
        <v>1320</v>
      </c>
    </row>
    <row r="374" spans="1:7" s="2782" customFormat="1">
      <c r="A374" s="2947" t="s">
        <v>3159</v>
      </c>
      <c r="B374" s="2947" t="s">
        <v>266</v>
      </c>
      <c r="C374" s="2947">
        <v>2320</v>
      </c>
      <c r="D374" s="2947">
        <v>2280</v>
      </c>
      <c r="E374" s="2947">
        <v>2230</v>
      </c>
      <c r="F374" s="2947">
        <v>580</v>
      </c>
      <c r="G374" s="2960">
        <v>1380</v>
      </c>
    </row>
    <row r="375" spans="1:7" s="2782" customFormat="1">
      <c r="A375" s="2947" t="s">
        <v>3159</v>
      </c>
      <c r="B375" s="2947" t="s">
        <v>3168</v>
      </c>
      <c r="C375" s="2947">
        <v>2090</v>
      </c>
      <c r="D375" s="2947">
        <v>2050</v>
      </c>
      <c r="E375" s="2947">
        <v>2020</v>
      </c>
      <c r="F375" s="2947">
        <v>520</v>
      </c>
      <c r="G375" s="2960">
        <v>1240</v>
      </c>
    </row>
    <row r="376" spans="1:7" s="2782" customFormat="1">
      <c r="A376" s="2947" t="s">
        <v>3159</v>
      </c>
      <c r="B376" s="2947" t="s">
        <v>277</v>
      </c>
      <c r="C376" s="2947">
        <v>2010</v>
      </c>
      <c r="D376" s="2947">
        <v>1980</v>
      </c>
      <c r="E376" s="2947">
        <v>1940</v>
      </c>
      <c r="F376" s="2947">
        <v>540</v>
      </c>
      <c r="G376" s="2960">
        <v>1190</v>
      </c>
    </row>
    <row r="377" spans="1:7" s="2782" customFormat="1" ht="12" thickBot="1">
      <c r="A377" s="2955" t="s">
        <v>3159</v>
      </c>
      <c r="B377" s="2958" t="s">
        <v>2921</v>
      </c>
      <c r="C377" s="2958">
        <v>1930</v>
      </c>
      <c r="D377" s="2958">
        <v>1890</v>
      </c>
      <c r="E377" s="2958">
        <v>1860</v>
      </c>
      <c r="F377" s="2958">
        <v>530</v>
      </c>
      <c r="G377" s="2963">
        <v>1150</v>
      </c>
    </row>
    <row r="378" spans="1:7" s="2782" customFormat="1">
      <c r="A378" s="2964" t="s">
        <v>3169</v>
      </c>
      <c r="B378" s="2943" t="s">
        <v>3170</v>
      </c>
      <c r="C378" s="2943">
        <v>1520</v>
      </c>
      <c r="D378" s="2943">
        <v>1490</v>
      </c>
      <c r="E378" s="2943">
        <v>1460</v>
      </c>
      <c r="F378" s="2943">
        <v>460</v>
      </c>
      <c r="G378" s="2959">
        <v>940</v>
      </c>
    </row>
    <row r="379" spans="1:7" s="2782" customFormat="1">
      <c r="A379" s="2965" t="s">
        <v>3169</v>
      </c>
      <c r="B379" s="2947" t="s">
        <v>3171</v>
      </c>
      <c r="C379" s="2947">
        <v>1500</v>
      </c>
      <c r="D379" s="2947">
        <v>1470</v>
      </c>
      <c r="E379" s="2947">
        <v>1430</v>
      </c>
      <c r="F379" s="2947">
        <v>460</v>
      </c>
      <c r="G379" s="2960">
        <v>920</v>
      </c>
    </row>
    <row r="380" spans="1:7" s="2782" customFormat="1">
      <c r="A380" s="2965" t="s">
        <v>3169</v>
      </c>
      <c r="B380" s="2947" t="s">
        <v>3172</v>
      </c>
      <c r="C380" s="2947">
        <v>1620</v>
      </c>
      <c r="D380" s="2947">
        <v>1590</v>
      </c>
      <c r="E380" s="2947">
        <v>1560</v>
      </c>
      <c r="F380" s="2947">
        <v>480</v>
      </c>
      <c r="G380" s="2960">
        <v>1000</v>
      </c>
    </row>
    <row r="381" spans="1:7" s="2782" customFormat="1">
      <c r="A381" s="2965" t="s">
        <v>3169</v>
      </c>
      <c r="B381" s="2947" t="s">
        <v>3173</v>
      </c>
      <c r="C381" s="2947">
        <v>1460</v>
      </c>
      <c r="D381" s="2947">
        <v>1430</v>
      </c>
      <c r="E381" s="2947">
        <v>1390</v>
      </c>
      <c r="F381" s="2947">
        <v>450</v>
      </c>
      <c r="G381" s="2960">
        <v>900</v>
      </c>
    </row>
    <row r="382" spans="1:7" s="2782" customFormat="1">
      <c r="A382" s="2965" t="s">
        <v>3169</v>
      </c>
      <c r="B382" s="2947" t="s">
        <v>3174</v>
      </c>
      <c r="C382" s="2947">
        <v>1310</v>
      </c>
      <c r="D382" s="2947">
        <v>1280</v>
      </c>
      <c r="E382" s="2947">
        <v>1250</v>
      </c>
      <c r="F382" s="2947">
        <v>440</v>
      </c>
      <c r="G382" s="2960">
        <v>800</v>
      </c>
    </row>
    <row r="383" spans="1:7" s="2782" customFormat="1">
      <c r="A383" s="2965" t="s">
        <v>3169</v>
      </c>
      <c r="B383" s="2947" t="s">
        <v>3175</v>
      </c>
      <c r="C383" s="2947">
        <v>1260</v>
      </c>
      <c r="D383" s="2947">
        <v>1230</v>
      </c>
      <c r="E383" s="2947">
        <v>1200</v>
      </c>
      <c r="F383" s="2947">
        <v>420</v>
      </c>
      <c r="G383" s="2960">
        <v>770</v>
      </c>
    </row>
    <row r="384" spans="1:7" s="2782" customFormat="1" ht="12" thickBot="1">
      <c r="A384" s="2966" t="s">
        <v>3169</v>
      </c>
      <c r="B384" s="2954" t="s">
        <v>3176</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45" t="s">
        <v>3177</v>
      </c>
      <c r="B1" s="3545"/>
    </row>
    <row r="2" spans="1:7" ht="14.25" thickBot="1">
      <c r="A2" s="2968"/>
      <c r="B2" s="2968"/>
    </row>
    <row r="3" spans="1:7" ht="14.25" thickBot="1">
      <c r="A3" s="2968"/>
      <c r="B3" s="2968"/>
      <c r="C3" s="2969" t="s">
        <v>2807</v>
      </c>
      <c r="D3" s="2969" t="s">
        <v>2863</v>
      </c>
      <c r="E3" s="2969" t="s">
        <v>2809</v>
      </c>
      <c r="F3" s="2969" t="s">
        <v>2864</v>
      </c>
      <c r="G3" s="2969" t="s">
        <v>2627</v>
      </c>
    </row>
    <row r="4" spans="1:7" ht="14.25" thickBot="1">
      <c r="A4" s="2970" t="s">
        <v>2862</v>
      </c>
      <c r="B4" s="2971" t="s">
        <v>2868</v>
      </c>
      <c r="C4" s="2969"/>
      <c r="D4" s="2969"/>
      <c r="E4" s="2969"/>
      <c r="F4" s="2969"/>
      <c r="G4" s="2969"/>
    </row>
    <row r="5" spans="1:7">
      <c r="A5" s="2972" t="s">
        <v>2836</v>
      </c>
      <c r="B5" s="2973" t="s">
        <v>2850</v>
      </c>
      <c r="C5" s="2974">
        <v>9.8000000000000004E-2</v>
      </c>
      <c r="D5" s="2974">
        <v>8.6999999999999994E-2</v>
      </c>
      <c r="E5" s="2974">
        <v>8.6999999999999994E-2</v>
      </c>
      <c r="F5" s="2974">
        <v>9.8000000000000004E-2</v>
      </c>
      <c r="G5" s="2975">
        <v>9.5000000000000001E-2</v>
      </c>
    </row>
    <row r="6" spans="1:7">
      <c r="A6" s="2976" t="s">
        <v>144</v>
      </c>
      <c r="B6" s="2977" t="s">
        <v>2865</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2851</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2901</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2919</v>
      </c>
      <c r="C29" s="2986"/>
      <c r="D29" s="2982">
        <v>5.1999999999999998E-2</v>
      </c>
      <c r="E29" s="2982">
        <v>7.0000000000000007E-2</v>
      </c>
      <c r="F29" s="2986"/>
      <c r="G29" s="2984">
        <v>7.0999999999999994E-2</v>
      </c>
    </row>
    <row r="30" spans="1:7">
      <c r="A30" s="2987" t="s">
        <v>296</v>
      </c>
      <c r="B30" s="2973" t="s">
        <v>2852</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2838</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2922</v>
      </c>
      <c r="C50" s="2978">
        <v>9.8000000000000004E-2</v>
      </c>
      <c r="D50" s="2978">
        <v>7.2999999999999995E-2</v>
      </c>
      <c r="E50" s="2978">
        <v>7.0999999999999994E-2</v>
      </c>
      <c r="F50" s="2989"/>
      <c r="G50" s="2979">
        <v>7.2999999999999995E-2</v>
      </c>
    </row>
    <row r="51" spans="1:7">
      <c r="A51" s="2988" t="s">
        <v>296</v>
      </c>
      <c r="B51" s="2977" t="s">
        <v>2924</v>
      </c>
      <c r="C51" s="2978">
        <v>9.9000000000000005E-2</v>
      </c>
      <c r="D51" s="2978">
        <v>8.5000000000000006E-2</v>
      </c>
      <c r="E51" s="2978">
        <v>6.3E-2</v>
      </c>
      <c r="F51" s="2989"/>
      <c r="G51" s="2979">
        <v>9.6000000000000002E-2</v>
      </c>
    </row>
    <row r="52" spans="1:7">
      <c r="A52" s="2988" t="s">
        <v>296</v>
      </c>
      <c r="B52" s="2977" t="s">
        <v>2928</v>
      </c>
      <c r="C52" s="2978">
        <v>7.3999999999999996E-2</v>
      </c>
      <c r="D52" s="2978">
        <v>9.6000000000000002E-2</v>
      </c>
      <c r="E52" s="2978">
        <v>0.05</v>
      </c>
      <c r="F52" s="2989"/>
      <c r="G52" s="2979">
        <v>9.8000000000000004E-2</v>
      </c>
    </row>
    <row r="53" spans="1:7">
      <c r="A53" s="2988" t="s">
        <v>296</v>
      </c>
      <c r="B53" s="2977" t="s">
        <v>2933</v>
      </c>
      <c r="C53" s="2978">
        <v>8.5999999999999993E-2</v>
      </c>
      <c r="D53" s="2989"/>
      <c r="E53" s="2978">
        <v>9.1999999999999998E-2</v>
      </c>
      <c r="F53" s="2989"/>
      <c r="G53" s="2990"/>
    </row>
    <row r="54" spans="1:7" ht="14.25" thickBot="1">
      <c r="A54" s="2991" t="s">
        <v>296</v>
      </c>
      <c r="B54" s="2981" t="s">
        <v>2936</v>
      </c>
      <c r="C54" s="2982">
        <v>9.6000000000000002E-2</v>
      </c>
      <c r="D54" s="2983"/>
      <c r="E54" s="2992"/>
      <c r="F54" s="2983"/>
      <c r="G54" s="2993"/>
    </row>
    <row r="55" spans="1:7">
      <c r="A55" s="2987" t="s">
        <v>110</v>
      </c>
      <c r="B55" s="2973" t="s">
        <v>2853</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2934</v>
      </c>
      <c r="C78" s="2978">
        <v>0.1</v>
      </c>
      <c r="D78" s="2978">
        <v>8.5000000000000006E-2</v>
      </c>
      <c r="E78" s="2978">
        <v>9.6000000000000002E-2</v>
      </c>
      <c r="F78" s="2989"/>
      <c r="G78" s="2979">
        <v>9.6000000000000002E-2</v>
      </c>
    </row>
    <row r="79" spans="1:7">
      <c r="A79" s="2988" t="s">
        <v>110</v>
      </c>
      <c r="B79" s="2977" t="s">
        <v>2937</v>
      </c>
      <c r="C79" s="2978">
        <v>0.05</v>
      </c>
      <c r="D79" s="2978">
        <v>9.6000000000000002E-2</v>
      </c>
      <c r="E79" s="2978">
        <v>9.5000000000000001E-2</v>
      </c>
      <c r="F79" s="2989"/>
      <c r="G79" s="2979">
        <v>9.8000000000000004E-2</v>
      </c>
    </row>
    <row r="80" spans="1:7">
      <c r="A80" s="2988" t="s">
        <v>110</v>
      </c>
      <c r="B80" s="2977" t="s">
        <v>2941</v>
      </c>
      <c r="C80" s="2978">
        <v>8.5999999999999993E-2</v>
      </c>
      <c r="D80" s="2994"/>
      <c r="E80" s="2978">
        <v>0.1</v>
      </c>
      <c r="F80" s="2989"/>
      <c r="G80" s="2990"/>
    </row>
    <row r="81" spans="1:7">
      <c r="A81" s="2988" t="s">
        <v>110</v>
      </c>
      <c r="B81" s="2977" t="s">
        <v>2946</v>
      </c>
      <c r="C81" s="2978">
        <v>9.6000000000000002E-2</v>
      </c>
      <c r="D81" s="2989"/>
      <c r="E81" s="2978">
        <v>9.8000000000000004E-2</v>
      </c>
      <c r="F81" s="2989"/>
      <c r="G81" s="2990"/>
    </row>
    <row r="82" spans="1:7">
      <c r="A82" s="2988" t="s">
        <v>110</v>
      </c>
      <c r="B82" s="2977" t="s">
        <v>2953</v>
      </c>
      <c r="C82" s="2994"/>
      <c r="D82" s="2989"/>
      <c r="E82" s="2978">
        <v>7.6999999999999999E-2</v>
      </c>
      <c r="F82" s="2989"/>
      <c r="G82" s="2990"/>
    </row>
    <row r="83" spans="1:7">
      <c r="A83" s="2988" t="s">
        <v>110</v>
      </c>
      <c r="B83" s="2977" t="s">
        <v>2959</v>
      </c>
      <c r="C83" s="2989"/>
      <c r="D83" s="2989"/>
      <c r="E83" s="2989"/>
      <c r="F83" s="2978">
        <v>0.1</v>
      </c>
      <c r="G83" s="2995"/>
    </row>
    <row r="84" spans="1:7">
      <c r="A84" s="2988" t="s">
        <v>110</v>
      </c>
      <c r="B84" s="2977" t="s">
        <v>2966</v>
      </c>
      <c r="C84" s="2989"/>
      <c r="D84" s="2989"/>
      <c r="E84" s="2989"/>
      <c r="F84" s="2978">
        <v>0.1</v>
      </c>
      <c r="G84" s="2995"/>
    </row>
    <row r="85" spans="1:7">
      <c r="A85" s="2988" t="s">
        <v>110</v>
      </c>
      <c r="B85" s="2977" t="s">
        <v>2973</v>
      </c>
      <c r="C85" s="2989"/>
      <c r="D85" s="2989"/>
      <c r="E85" s="2989"/>
      <c r="F85" s="2978">
        <v>0.1</v>
      </c>
      <c r="G85" s="2995"/>
    </row>
    <row r="86" spans="1:7" ht="14.25" thickBot="1">
      <c r="A86" s="2991" t="s">
        <v>110</v>
      </c>
      <c r="B86" s="2981" t="s">
        <v>2978</v>
      </c>
      <c r="C86" s="2982">
        <v>9.8000000000000004E-2</v>
      </c>
      <c r="D86" s="2982">
        <v>9.8000000000000004E-2</v>
      </c>
      <c r="E86" s="2982">
        <v>9.6000000000000002E-2</v>
      </c>
      <c r="F86" s="2992"/>
      <c r="G86" s="2984">
        <v>0.1</v>
      </c>
    </row>
    <row r="87" spans="1:7">
      <c r="A87" s="2987" t="s">
        <v>303</v>
      </c>
      <c r="B87" s="2973" t="s">
        <v>2854</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2947</v>
      </c>
      <c r="C113" s="2978">
        <v>0.1</v>
      </c>
      <c r="D113" s="2978">
        <v>0.1</v>
      </c>
      <c r="E113" s="2989"/>
      <c r="F113" s="2989"/>
      <c r="G113" s="2979">
        <v>0.1</v>
      </c>
    </row>
    <row r="114" spans="1:7">
      <c r="A114" s="2988" t="s">
        <v>303</v>
      </c>
      <c r="B114" s="2977" t="s">
        <v>2954</v>
      </c>
      <c r="C114" s="2978">
        <v>9.7000000000000003E-2</v>
      </c>
      <c r="D114" s="2978">
        <v>9.7000000000000003E-2</v>
      </c>
      <c r="E114" s="2989"/>
      <c r="F114" s="2989"/>
      <c r="G114" s="2979">
        <v>9.9000000000000005E-2</v>
      </c>
    </row>
    <row r="115" spans="1:7">
      <c r="A115" s="2988" t="s">
        <v>303</v>
      </c>
      <c r="B115" s="2977" t="s">
        <v>2960</v>
      </c>
      <c r="C115" s="2978">
        <v>0.1</v>
      </c>
      <c r="D115" s="2978">
        <v>0.1</v>
      </c>
      <c r="E115" s="2989"/>
      <c r="F115" s="2989"/>
      <c r="G115" s="2979">
        <v>0.1</v>
      </c>
    </row>
    <row r="116" spans="1:7">
      <c r="A116" s="2988" t="s">
        <v>303</v>
      </c>
      <c r="B116" s="2977" t="s">
        <v>2967</v>
      </c>
      <c r="C116" s="2978">
        <v>0.1</v>
      </c>
      <c r="D116" s="2978">
        <v>0.1</v>
      </c>
      <c r="E116" s="2989"/>
      <c r="F116" s="2989"/>
      <c r="G116" s="2979">
        <v>0.1</v>
      </c>
    </row>
    <row r="117" spans="1:7">
      <c r="A117" s="2988" t="s">
        <v>303</v>
      </c>
      <c r="B117" s="2977" t="s">
        <v>2974</v>
      </c>
      <c r="C117" s="2978">
        <v>9.7000000000000003E-2</v>
      </c>
      <c r="D117" s="2978">
        <v>9.7000000000000003E-2</v>
      </c>
      <c r="E117" s="2989"/>
      <c r="F117" s="2989"/>
      <c r="G117" s="2979">
        <v>9.7000000000000003E-2</v>
      </c>
    </row>
    <row r="118" spans="1:7">
      <c r="A118" s="2988" t="s">
        <v>303</v>
      </c>
      <c r="B118" s="2977" t="s">
        <v>2979</v>
      </c>
      <c r="C118" s="2978">
        <v>0.1</v>
      </c>
      <c r="D118" s="2978">
        <v>0.1</v>
      </c>
      <c r="E118" s="2989"/>
      <c r="F118" s="2989"/>
      <c r="G118" s="2979">
        <v>0.1</v>
      </c>
    </row>
    <row r="119" spans="1:7">
      <c r="A119" s="2988" t="s">
        <v>303</v>
      </c>
      <c r="B119" s="2977" t="s">
        <v>2983</v>
      </c>
      <c r="C119" s="2978">
        <v>5.0999999999999997E-2</v>
      </c>
      <c r="D119" s="2978">
        <v>5.1999999999999998E-2</v>
      </c>
      <c r="E119" s="2989"/>
      <c r="F119" s="2994"/>
      <c r="G119" s="2979">
        <v>0.06</v>
      </c>
    </row>
    <row r="120" spans="1:7">
      <c r="A120" s="2988" t="s">
        <v>303</v>
      </c>
      <c r="B120" s="2977" t="s">
        <v>2987</v>
      </c>
      <c r="C120" s="2989"/>
      <c r="D120" s="2989"/>
      <c r="E120" s="2989"/>
      <c r="F120" s="2978">
        <v>0.1</v>
      </c>
      <c r="G120" s="2995"/>
    </row>
    <row r="121" spans="1:7">
      <c r="A121" s="2988" t="s">
        <v>303</v>
      </c>
      <c r="B121" s="2977" t="s">
        <v>2992</v>
      </c>
      <c r="C121" s="2989"/>
      <c r="D121" s="2989"/>
      <c r="E121" s="2989"/>
      <c r="F121" s="2978">
        <v>0.1</v>
      </c>
      <c r="G121" s="2995"/>
    </row>
    <row r="122" spans="1:7">
      <c r="A122" s="2988" t="s">
        <v>303</v>
      </c>
      <c r="B122" s="2977" t="s">
        <v>2997</v>
      </c>
      <c r="C122" s="2978">
        <v>0.1</v>
      </c>
      <c r="D122" s="2978">
        <v>0.1</v>
      </c>
      <c r="E122" s="2978">
        <v>9.8000000000000004E-2</v>
      </c>
      <c r="F122" s="2978">
        <v>0.1</v>
      </c>
      <c r="G122" s="2979">
        <v>0.1</v>
      </c>
    </row>
    <row r="123" spans="1:7">
      <c r="A123" s="2988" t="s">
        <v>303</v>
      </c>
      <c r="B123" s="2977" t="s">
        <v>3002</v>
      </c>
      <c r="C123" s="2978">
        <v>0.1</v>
      </c>
      <c r="D123" s="2978">
        <v>0.1</v>
      </c>
      <c r="E123" s="2978">
        <v>9.8000000000000004E-2</v>
      </c>
      <c r="F123" s="2978">
        <v>0.1</v>
      </c>
      <c r="G123" s="2979">
        <v>0.1</v>
      </c>
    </row>
    <row r="124" spans="1:7">
      <c r="A124" s="2988" t="s">
        <v>303</v>
      </c>
      <c r="B124" s="2977" t="s">
        <v>3007</v>
      </c>
      <c r="C124" s="2978">
        <v>0.1</v>
      </c>
      <c r="D124" s="2978">
        <v>0.1</v>
      </c>
      <c r="E124" s="2978">
        <v>9.8000000000000004E-2</v>
      </c>
      <c r="F124" s="2994"/>
      <c r="G124" s="2979">
        <v>0.1</v>
      </c>
    </row>
    <row r="125" spans="1:7">
      <c r="A125" s="2988" t="s">
        <v>303</v>
      </c>
      <c r="B125" s="2977" t="s">
        <v>3012</v>
      </c>
      <c r="C125" s="2978">
        <v>9.8000000000000004E-2</v>
      </c>
      <c r="D125" s="2978">
        <v>9.8000000000000004E-2</v>
      </c>
      <c r="E125" s="2978">
        <v>9.6000000000000002E-2</v>
      </c>
      <c r="F125" s="2994"/>
      <c r="G125" s="2979">
        <v>0.1</v>
      </c>
    </row>
    <row r="126" spans="1:7" ht="14.25" thickBot="1">
      <c r="A126" s="2991" t="s">
        <v>303</v>
      </c>
      <c r="B126" s="2981" t="s">
        <v>3178</v>
      </c>
      <c r="C126" s="2982">
        <v>0.1</v>
      </c>
      <c r="D126" s="2982">
        <v>0.1</v>
      </c>
      <c r="E126" s="2982">
        <v>9.8000000000000004E-2</v>
      </c>
      <c r="F126" s="2982">
        <v>0.1</v>
      </c>
      <c r="G126" s="2984">
        <v>0.1</v>
      </c>
    </row>
    <row r="127" spans="1:7">
      <c r="A127" s="2987" t="s">
        <v>29</v>
      </c>
      <c r="B127" s="2973" t="s">
        <v>2855</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2925</v>
      </c>
      <c r="C148" s="2978">
        <v>0.13</v>
      </c>
      <c r="D148" s="2978">
        <v>0.13</v>
      </c>
      <c r="E148" s="2978">
        <v>0.13</v>
      </c>
      <c r="F148" s="2989"/>
      <c r="G148" s="2979">
        <v>0.13</v>
      </c>
    </row>
    <row r="149" spans="1:7">
      <c r="A149" s="2988" t="s">
        <v>29</v>
      </c>
      <c r="B149" s="2977" t="s">
        <v>2929</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2948</v>
      </c>
      <c r="C153" s="2978">
        <v>0.13</v>
      </c>
      <c r="D153" s="2978">
        <v>0.13</v>
      </c>
      <c r="E153" s="2978">
        <v>0.13</v>
      </c>
      <c r="F153" s="2978">
        <v>0.13</v>
      </c>
      <c r="G153" s="2979">
        <v>0.13</v>
      </c>
    </row>
    <row r="154" spans="1:7">
      <c r="A154" s="2988" t="s">
        <v>29</v>
      </c>
      <c r="B154" s="2977" t="s">
        <v>2955</v>
      </c>
      <c r="C154" s="2978">
        <v>0.121</v>
      </c>
      <c r="D154" s="2978">
        <v>0.121</v>
      </c>
      <c r="E154" s="2978">
        <v>0.105</v>
      </c>
      <c r="F154" s="2978">
        <v>0.121</v>
      </c>
      <c r="G154" s="2979">
        <v>0.123</v>
      </c>
    </row>
    <row r="155" spans="1:7">
      <c r="A155" s="2988" t="s">
        <v>29</v>
      </c>
      <c r="B155" s="2977" t="s">
        <v>2961</v>
      </c>
      <c r="C155" s="2978">
        <v>0.1</v>
      </c>
      <c r="D155" s="2978">
        <v>0.1</v>
      </c>
      <c r="E155" s="2978">
        <v>0.1</v>
      </c>
      <c r="F155" s="2978">
        <v>0.1</v>
      </c>
      <c r="G155" s="2979">
        <v>0.1</v>
      </c>
    </row>
    <row r="156" spans="1:7">
      <c r="A156" s="2988" t="s">
        <v>29</v>
      </c>
      <c r="B156" s="2977" t="s">
        <v>2968</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2988</v>
      </c>
      <c r="C160" s="2978">
        <v>0.13</v>
      </c>
      <c r="D160" s="2978">
        <v>0.13</v>
      </c>
      <c r="E160" s="2978">
        <v>0.124</v>
      </c>
      <c r="F160" s="2978">
        <v>0.126</v>
      </c>
      <c r="G160" s="2979">
        <v>0.13</v>
      </c>
    </row>
    <row r="161" spans="1:7">
      <c r="A161" s="2988" t="s">
        <v>29</v>
      </c>
      <c r="B161" s="2977" t="s">
        <v>2993</v>
      </c>
      <c r="C161" s="2978">
        <v>0.13</v>
      </c>
      <c r="D161" s="2978">
        <v>0.13</v>
      </c>
      <c r="E161" s="2978">
        <v>0.124</v>
      </c>
      <c r="F161" s="2978">
        <v>0.127</v>
      </c>
      <c r="G161" s="2979">
        <v>0.13</v>
      </c>
    </row>
    <row r="162" spans="1:7">
      <c r="A162" s="2988" t="s">
        <v>29</v>
      </c>
      <c r="B162" s="2977" t="s">
        <v>2998</v>
      </c>
      <c r="C162" s="2978">
        <v>0.1</v>
      </c>
      <c r="D162" s="2978">
        <v>0.1</v>
      </c>
      <c r="E162" s="2978">
        <v>0.1</v>
      </c>
      <c r="F162" s="2978">
        <v>0.121</v>
      </c>
      <c r="G162" s="2979">
        <v>0.105</v>
      </c>
    </row>
    <row r="163" spans="1:7">
      <c r="A163" s="2988" t="s">
        <v>29</v>
      </c>
      <c r="B163" s="2977" t="s">
        <v>3003</v>
      </c>
      <c r="C163" s="2978">
        <v>0.1</v>
      </c>
      <c r="D163" s="2978">
        <v>0.1</v>
      </c>
      <c r="E163" s="2978">
        <v>0.1</v>
      </c>
      <c r="F163" s="2978">
        <v>0.1</v>
      </c>
      <c r="G163" s="2979">
        <v>0.1</v>
      </c>
    </row>
    <row r="164" spans="1:7">
      <c r="A164" s="2988" t="s">
        <v>29</v>
      </c>
      <c r="B164" s="2977" t="s">
        <v>3008</v>
      </c>
      <c r="C164" s="2994"/>
      <c r="D164" s="2994"/>
      <c r="E164" s="2994"/>
      <c r="F164" s="2978">
        <v>0.1</v>
      </c>
      <c r="G164" s="2990"/>
    </row>
    <row r="165" spans="1:7">
      <c r="A165" s="2988" t="s">
        <v>29</v>
      </c>
      <c r="B165" s="2977" t="s">
        <v>3179</v>
      </c>
      <c r="C165" s="2978">
        <v>0.126</v>
      </c>
      <c r="D165" s="2978">
        <v>0.126</v>
      </c>
      <c r="E165" s="2978">
        <v>0.11899999999999999</v>
      </c>
      <c r="F165" s="2978">
        <v>0.13</v>
      </c>
      <c r="G165" s="2979">
        <v>0.128</v>
      </c>
    </row>
    <row r="166" spans="1:7">
      <c r="A166" s="2988" t="s">
        <v>29</v>
      </c>
      <c r="B166" s="2977" t="s">
        <v>3018</v>
      </c>
      <c r="C166" s="2978">
        <v>0.129</v>
      </c>
      <c r="D166" s="2978">
        <v>0.129</v>
      </c>
      <c r="E166" s="2978">
        <v>0.123</v>
      </c>
      <c r="F166" s="2978">
        <v>0.128</v>
      </c>
      <c r="G166" s="2979">
        <v>0.13</v>
      </c>
    </row>
    <row r="167" spans="1:7">
      <c r="A167" s="2988" t="s">
        <v>29</v>
      </c>
      <c r="B167" s="2977" t="s">
        <v>3022</v>
      </c>
      <c r="C167" s="2978">
        <v>0.125</v>
      </c>
      <c r="D167" s="2978">
        <v>0.125</v>
      </c>
      <c r="E167" s="2978">
        <v>0.11700000000000001</v>
      </c>
      <c r="F167" s="2978">
        <v>0.13</v>
      </c>
      <c r="G167" s="2979">
        <v>0.126</v>
      </c>
    </row>
    <row r="168" spans="1:7">
      <c r="A168" s="2988" t="s">
        <v>29</v>
      </c>
      <c r="B168" s="2977" t="s">
        <v>3027</v>
      </c>
      <c r="C168" s="2978">
        <v>0.128</v>
      </c>
      <c r="D168" s="2978">
        <v>0.128</v>
      </c>
      <c r="E168" s="2978">
        <v>0.123</v>
      </c>
      <c r="F168" s="2989"/>
      <c r="G168" s="2979">
        <v>0.13</v>
      </c>
    </row>
    <row r="169" spans="1:7">
      <c r="A169" s="2988" t="s">
        <v>29</v>
      </c>
      <c r="B169" s="2977" t="s">
        <v>3180</v>
      </c>
      <c r="C169" s="2994"/>
      <c r="D169" s="2994"/>
      <c r="E169" s="2994"/>
      <c r="F169" s="2978">
        <v>0.05</v>
      </c>
      <c r="G169" s="2990"/>
    </row>
    <row r="170" spans="1:7">
      <c r="A170" s="2988" t="s">
        <v>29</v>
      </c>
      <c r="B170" s="2977" t="s">
        <v>3181</v>
      </c>
      <c r="C170" s="2994"/>
      <c r="D170" s="2994"/>
      <c r="E170" s="2994"/>
      <c r="F170" s="2978">
        <v>0.05</v>
      </c>
      <c r="G170" s="2990"/>
    </row>
    <row r="171" spans="1:7">
      <c r="A171" s="2988" t="s">
        <v>29</v>
      </c>
      <c r="B171" s="2977" t="s">
        <v>3182</v>
      </c>
      <c r="C171" s="2994"/>
      <c r="D171" s="2994"/>
      <c r="E171" s="2994"/>
      <c r="F171" s="2978">
        <v>0.05</v>
      </c>
      <c r="G171" s="2995"/>
    </row>
    <row r="172" spans="1:7">
      <c r="A172" s="2988" t="s">
        <v>29</v>
      </c>
      <c r="B172" s="2977" t="s">
        <v>3183</v>
      </c>
      <c r="C172" s="2994"/>
      <c r="D172" s="2994"/>
      <c r="E172" s="2994"/>
      <c r="F172" s="2978">
        <v>0.05</v>
      </c>
      <c r="G172" s="2995"/>
    </row>
    <row r="173" spans="1:7">
      <c r="A173" s="2988" t="s">
        <v>29</v>
      </c>
      <c r="B173" s="2977" t="s">
        <v>3184</v>
      </c>
      <c r="C173" s="2994"/>
      <c r="D173" s="2994"/>
      <c r="E173" s="2994"/>
      <c r="F173" s="2978">
        <v>0.05</v>
      </c>
      <c r="G173" s="2990"/>
    </row>
    <row r="174" spans="1:7">
      <c r="A174" s="2988" t="s">
        <v>29</v>
      </c>
      <c r="B174" s="2977" t="s">
        <v>3185</v>
      </c>
      <c r="C174" s="2994"/>
      <c r="D174" s="2994"/>
      <c r="E174" s="2994"/>
      <c r="F174" s="2978">
        <v>0.05</v>
      </c>
      <c r="G174" s="2990"/>
    </row>
    <row r="175" spans="1:7">
      <c r="A175" s="2988" t="s">
        <v>29</v>
      </c>
      <c r="B175" s="2977" t="s">
        <v>3186</v>
      </c>
      <c r="C175" s="2994"/>
      <c r="D175" s="2994"/>
      <c r="E175" s="2994"/>
      <c r="F175" s="2978">
        <v>0.05</v>
      </c>
      <c r="G175" s="2990"/>
    </row>
    <row r="176" spans="1:7">
      <c r="A176" s="2988" t="s">
        <v>29</v>
      </c>
      <c r="B176" s="2977" t="s">
        <v>3187</v>
      </c>
      <c r="C176" s="2994"/>
      <c r="D176" s="2994"/>
      <c r="E176" s="2994"/>
      <c r="F176" s="2978">
        <v>0.05</v>
      </c>
      <c r="G176" s="2990"/>
    </row>
    <row r="177" spans="1:7">
      <c r="A177" s="2988" t="s">
        <v>29</v>
      </c>
      <c r="B177" s="2977" t="s">
        <v>3188</v>
      </c>
      <c r="C177" s="2989"/>
      <c r="D177" s="2989"/>
      <c r="E177" s="2989"/>
      <c r="F177" s="2978">
        <v>0.05</v>
      </c>
      <c r="G177" s="2995"/>
    </row>
    <row r="178" spans="1:7">
      <c r="A178" s="2988" t="s">
        <v>29</v>
      </c>
      <c r="B178" s="2977" t="s">
        <v>3189</v>
      </c>
      <c r="C178" s="2989"/>
      <c r="D178" s="2989"/>
      <c r="E178" s="2989"/>
      <c r="F178" s="2978">
        <v>0.05</v>
      </c>
      <c r="G178" s="2995"/>
    </row>
    <row r="179" spans="1:7">
      <c r="A179" s="2988" t="s">
        <v>29</v>
      </c>
      <c r="B179" s="2977" t="s">
        <v>3190</v>
      </c>
      <c r="C179" s="2989"/>
      <c r="D179" s="2989"/>
      <c r="E179" s="2989"/>
      <c r="F179" s="2978">
        <v>0.05</v>
      </c>
      <c r="G179" s="2995"/>
    </row>
    <row r="180" spans="1:7">
      <c r="A180" s="2988" t="s">
        <v>29</v>
      </c>
      <c r="B180" s="2977" t="s">
        <v>3191</v>
      </c>
      <c r="C180" s="2989"/>
      <c r="D180" s="2989"/>
      <c r="E180" s="2989"/>
      <c r="F180" s="2978">
        <v>0.05</v>
      </c>
      <c r="G180" s="2995"/>
    </row>
    <row r="181" spans="1:7">
      <c r="A181" s="2988" t="s">
        <v>29</v>
      </c>
      <c r="B181" s="2977" t="s">
        <v>3192</v>
      </c>
      <c r="C181" s="2989"/>
      <c r="D181" s="2989"/>
      <c r="E181" s="2989"/>
      <c r="F181" s="2978">
        <v>0.05</v>
      </c>
      <c r="G181" s="2995"/>
    </row>
    <row r="182" spans="1:7">
      <c r="A182" s="2988" t="s">
        <v>29</v>
      </c>
      <c r="B182" s="2977" t="s">
        <v>3193</v>
      </c>
      <c r="C182" s="2989"/>
      <c r="D182" s="2989"/>
      <c r="E182" s="2989"/>
      <c r="F182" s="2978">
        <v>0.05</v>
      </c>
      <c r="G182" s="2995"/>
    </row>
    <row r="183" spans="1:7">
      <c r="A183" s="2988" t="s">
        <v>29</v>
      </c>
      <c r="B183" s="2977" t="s">
        <v>3194</v>
      </c>
      <c r="C183" s="2989"/>
      <c r="D183" s="2989"/>
      <c r="E183" s="2989"/>
      <c r="F183" s="2978">
        <v>0.05</v>
      </c>
      <c r="G183" s="2995"/>
    </row>
    <row r="184" spans="1:7">
      <c r="A184" s="2988" t="s">
        <v>29</v>
      </c>
      <c r="B184" s="2977" t="s">
        <v>3195</v>
      </c>
      <c r="C184" s="2989"/>
      <c r="D184" s="2989"/>
      <c r="E184" s="2989"/>
      <c r="F184" s="2978">
        <v>0.05</v>
      </c>
      <c r="G184" s="2995"/>
    </row>
    <row r="185" spans="1:7">
      <c r="A185" s="2988" t="s">
        <v>29</v>
      </c>
      <c r="B185" s="2977" t="s">
        <v>3196</v>
      </c>
      <c r="C185" s="2989"/>
      <c r="D185" s="2989"/>
      <c r="E185" s="2989"/>
      <c r="F185" s="2978">
        <v>0.05</v>
      </c>
      <c r="G185" s="2995"/>
    </row>
    <row r="186" spans="1:7">
      <c r="A186" s="2988" t="s">
        <v>29</v>
      </c>
      <c r="B186" s="2977" t="s">
        <v>3197</v>
      </c>
      <c r="C186" s="2989"/>
      <c r="D186" s="2989"/>
      <c r="E186" s="2989"/>
      <c r="F186" s="2978">
        <v>0.05</v>
      </c>
      <c r="G186" s="2995"/>
    </row>
    <row r="187" spans="1:7">
      <c r="A187" s="2988" t="s">
        <v>29</v>
      </c>
      <c r="B187" s="2977" t="s">
        <v>3198</v>
      </c>
      <c r="C187" s="2989"/>
      <c r="D187" s="2989"/>
      <c r="E187" s="2989"/>
      <c r="F187" s="2978">
        <v>0.05</v>
      </c>
      <c r="G187" s="2995"/>
    </row>
    <row r="188" spans="1:7">
      <c r="A188" s="2988" t="s">
        <v>29</v>
      </c>
      <c r="B188" s="2977" t="s">
        <v>3199</v>
      </c>
      <c r="C188" s="2989"/>
      <c r="D188" s="2989"/>
      <c r="E188" s="2989"/>
      <c r="F188" s="2978">
        <v>0.05</v>
      </c>
      <c r="G188" s="2995"/>
    </row>
    <row r="189" spans="1:7" ht="14.25" thickBot="1">
      <c r="A189" s="2991" t="s">
        <v>29</v>
      </c>
      <c r="B189" s="2981" t="s">
        <v>3200</v>
      </c>
      <c r="C189" s="2983"/>
      <c r="D189" s="2983"/>
      <c r="E189" s="2983"/>
      <c r="F189" s="2982">
        <v>0.05</v>
      </c>
      <c r="G189" s="2996"/>
    </row>
    <row r="190" spans="1:7">
      <c r="A190" s="2987" t="s">
        <v>304</v>
      </c>
      <c r="B190" s="2973" t="s">
        <v>2856</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2892</v>
      </c>
      <c r="C199" s="2978">
        <v>0.13</v>
      </c>
      <c r="D199" s="2978">
        <v>0.13</v>
      </c>
      <c r="E199" s="2978">
        <v>0.13</v>
      </c>
      <c r="F199" s="2978">
        <v>0.13</v>
      </c>
      <c r="G199" s="2979">
        <v>0.13</v>
      </c>
    </row>
    <row r="200" spans="1:7">
      <c r="A200" s="2988" t="s">
        <v>304</v>
      </c>
      <c r="B200" s="2977" t="s">
        <v>2895</v>
      </c>
      <c r="C200" s="2994"/>
      <c r="D200" s="2994"/>
      <c r="E200" s="2994"/>
      <c r="F200" s="2978">
        <v>0.13</v>
      </c>
      <c r="G200" s="2990"/>
    </row>
    <row r="201" spans="1:7">
      <c r="A201" s="2988" t="s">
        <v>304</v>
      </c>
      <c r="B201" s="2977" t="s">
        <v>2900</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2903</v>
      </c>
      <c r="C203" s="2978">
        <v>0.129</v>
      </c>
      <c r="D203" s="2978">
        <v>0.129</v>
      </c>
      <c r="E203" s="2978">
        <v>0.13</v>
      </c>
      <c r="F203" s="2978">
        <v>0.13</v>
      </c>
      <c r="G203" s="2979">
        <v>0.13</v>
      </c>
    </row>
    <row r="204" spans="1:7">
      <c r="A204" s="2988" t="s">
        <v>304</v>
      </c>
      <c r="B204" s="2977" t="s">
        <v>2906</v>
      </c>
      <c r="C204" s="2978">
        <v>0.129</v>
      </c>
      <c r="D204" s="2978">
        <v>0.129</v>
      </c>
      <c r="E204" s="2978">
        <v>0.123</v>
      </c>
      <c r="F204" s="2978">
        <v>0.13</v>
      </c>
      <c r="G204" s="2979">
        <v>0.13</v>
      </c>
    </row>
    <row r="205" spans="1:7">
      <c r="A205" s="2988" t="s">
        <v>304</v>
      </c>
      <c r="B205" s="2977" t="s">
        <v>2908</v>
      </c>
      <c r="C205" s="2978">
        <v>0.13</v>
      </c>
      <c r="D205" s="2978">
        <v>0.13</v>
      </c>
      <c r="E205" s="2978">
        <v>0.13</v>
      </c>
      <c r="F205" s="2978">
        <v>0.13</v>
      </c>
      <c r="G205" s="2979">
        <v>0.13</v>
      </c>
    </row>
    <row r="206" spans="1:7">
      <c r="A206" s="2988" t="s">
        <v>304</v>
      </c>
      <c r="B206" s="2977" t="s">
        <v>2911</v>
      </c>
      <c r="C206" s="2978">
        <v>0.13</v>
      </c>
      <c r="D206" s="2978">
        <v>0.13</v>
      </c>
      <c r="E206" s="2978">
        <v>0.13</v>
      </c>
      <c r="F206" s="2978">
        <v>0.128</v>
      </c>
      <c r="G206" s="2979">
        <v>0.13</v>
      </c>
    </row>
    <row r="207" spans="1:7">
      <c r="A207" s="2988" t="s">
        <v>304</v>
      </c>
      <c r="B207" s="2977" t="s">
        <v>2913</v>
      </c>
      <c r="C207" s="2978">
        <v>0.13</v>
      </c>
      <c r="D207" s="2978">
        <v>0.13</v>
      </c>
      <c r="E207" s="2978">
        <v>0.13</v>
      </c>
      <c r="F207" s="2978">
        <v>0.13</v>
      </c>
      <c r="G207" s="2979">
        <v>0.13</v>
      </c>
    </row>
    <row r="208" spans="1:7">
      <c r="A208" s="2988" t="s">
        <v>304</v>
      </c>
      <c r="B208" s="2977" t="s">
        <v>2916</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2923</v>
      </c>
      <c r="C210" s="2978">
        <v>0.121</v>
      </c>
      <c r="D210" s="2978">
        <v>0.121</v>
      </c>
      <c r="E210" s="2978">
        <v>0.125</v>
      </c>
      <c r="F210" s="2978">
        <v>0.13</v>
      </c>
      <c r="G210" s="2979">
        <v>0.123</v>
      </c>
    </row>
    <row r="211" spans="1:7">
      <c r="A211" s="2988" t="s">
        <v>304</v>
      </c>
      <c r="B211" s="2977" t="s">
        <v>2926</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2938</v>
      </c>
      <c r="C214" s="2978">
        <v>0.128</v>
      </c>
      <c r="D214" s="2978">
        <v>0.128</v>
      </c>
      <c r="E214" s="2978">
        <v>0.13</v>
      </c>
      <c r="F214" s="2978">
        <v>0.13</v>
      </c>
      <c r="G214" s="2979">
        <v>0.13</v>
      </c>
    </row>
    <row r="215" spans="1:7">
      <c r="A215" s="2988" t="s">
        <v>304</v>
      </c>
      <c r="B215" s="2977" t="s">
        <v>2942</v>
      </c>
      <c r="C215" s="2978">
        <v>0.13</v>
      </c>
      <c r="D215" s="2978">
        <v>0.13</v>
      </c>
      <c r="E215" s="2978">
        <v>0.13</v>
      </c>
      <c r="F215" s="2978">
        <v>0.129</v>
      </c>
      <c r="G215" s="2979">
        <v>0.13</v>
      </c>
    </row>
    <row r="216" spans="1:7">
      <c r="A216" s="2988" t="s">
        <v>304</v>
      </c>
      <c r="B216" s="2977" t="s">
        <v>2949</v>
      </c>
      <c r="C216" s="2978">
        <v>0.13</v>
      </c>
      <c r="D216" s="2978">
        <v>0.13</v>
      </c>
      <c r="E216" s="2978">
        <v>0.13</v>
      </c>
      <c r="F216" s="2978">
        <v>0.13</v>
      </c>
      <c r="G216" s="2979">
        <v>0.13</v>
      </c>
    </row>
    <row r="217" spans="1:7">
      <c r="A217" s="2988" t="s">
        <v>304</v>
      </c>
      <c r="B217" s="2977" t="s">
        <v>2956</v>
      </c>
      <c r="C217" s="2978">
        <v>0.129</v>
      </c>
      <c r="D217" s="2978">
        <v>0.129</v>
      </c>
      <c r="E217" s="2978">
        <v>0.13</v>
      </c>
      <c r="F217" s="2978">
        <v>0.13</v>
      </c>
      <c r="G217" s="2979">
        <v>0.13</v>
      </c>
    </row>
    <row r="218" spans="1:7">
      <c r="A218" s="2988" t="s">
        <v>304</v>
      </c>
      <c r="B218" s="2977" t="s">
        <v>2962</v>
      </c>
      <c r="C218" s="2989"/>
      <c r="D218" s="2989"/>
      <c r="E218" s="2989"/>
      <c r="F218" s="2978">
        <v>0.05</v>
      </c>
      <c r="G218" s="2995"/>
    </row>
    <row r="219" spans="1:7">
      <c r="A219" s="2988" t="s">
        <v>304</v>
      </c>
      <c r="B219" s="2977" t="s">
        <v>2969</v>
      </c>
      <c r="C219" s="2989"/>
      <c r="D219" s="2989"/>
      <c r="E219" s="2989"/>
      <c r="F219" s="2978">
        <v>0.05</v>
      </c>
      <c r="G219" s="2995"/>
    </row>
    <row r="220" spans="1:7">
      <c r="A220" s="2988" t="s">
        <v>304</v>
      </c>
      <c r="B220" s="2977" t="s">
        <v>2975</v>
      </c>
      <c r="C220" s="2989"/>
      <c r="D220" s="2989"/>
      <c r="E220" s="2989"/>
      <c r="F220" s="2978">
        <v>0.05</v>
      </c>
      <c r="G220" s="2995"/>
    </row>
    <row r="221" spans="1:7">
      <c r="A221" s="2988" t="s">
        <v>304</v>
      </c>
      <c r="B221" s="2977" t="s">
        <v>2980</v>
      </c>
      <c r="C221" s="2989"/>
      <c r="D221" s="2989"/>
      <c r="E221" s="2989"/>
      <c r="F221" s="2978">
        <v>0.05</v>
      </c>
      <c r="G221" s="2995"/>
    </row>
    <row r="222" spans="1:7">
      <c r="A222" s="2988" t="s">
        <v>304</v>
      </c>
      <c r="B222" s="2977" t="s">
        <v>2984</v>
      </c>
      <c r="C222" s="2989"/>
      <c r="D222" s="2989"/>
      <c r="E222" s="2989"/>
      <c r="F222" s="2978">
        <v>0.05</v>
      </c>
      <c r="G222" s="2995"/>
    </row>
    <row r="223" spans="1:7">
      <c r="A223" s="2988" t="s">
        <v>304</v>
      </c>
      <c r="B223" s="2977" t="s">
        <v>2989</v>
      </c>
      <c r="C223" s="2989"/>
      <c r="D223" s="2989"/>
      <c r="E223" s="2989"/>
      <c r="F223" s="2978">
        <v>0.05</v>
      </c>
      <c r="G223" s="2995"/>
    </row>
    <row r="224" spans="1:7">
      <c r="A224" s="2988" t="s">
        <v>304</v>
      </c>
      <c r="B224" s="2977" t="s">
        <v>2994</v>
      </c>
      <c r="C224" s="2989"/>
      <c r="D224" s="2989"/>
      <c r="E224" s="2989"/>
      <c r="F224" s="2978">
        <v>0.05</v>
      </c>
      <c r="G224" s="2995"/>
    </row>
    <row r="225" spans="1:7">
      <c r="A225" s="2988" t="s">
        <v>304</v>
      </c>
      <c r="B225" s="2977" t="s">
        <v>2999</v>
      </c>
      <c r="C225" s="2989"/>
      <c r="D225" s="2989"/>
      <c r="E225" s="2989"/>
      <c r="F225" s="2978">
        <v>0.05</v>
      </c>
      <c r="G225" s="2995"/>
    </row>
    <row r="226" spans="1:7">
      <c r="A226" s="2988" t="s">
        <v>304</v>
      </c>
      <c r="B226" s="2977" t="s">
        <v>3201</v>
      </c>
      <c r="C226" s="2989"/>
      <c r="D226" s="2989"/>
      <c r="E226" s="2989"/>
      <c r="F226" s="2978">
        <v>0.05</v>
      </c>
      <c r="G226" s="2995"/>
    </row>
    <row r="227" spans="1:7">
      <c r="A227" s="2988" t="s">
        <v>304</v>
      </c>
      <c r="B227" s="2977" t="s">
        <v>3202</v>
      </c>
      <c r="C227" s="2989"/>
      <c r="D227" s="2989"/>
      <c r="E227" s="2989"/>
      <c r="F227" s="2978">
        <v>0.05</v>
      </c>
      <c r="G227" s="2995"/>
    </row>
    <row r="228" spans="1:7">
      <c r="A228" s="2988" t="s">
        <v>304</v>
      </c>
      <c r="B228" s="2977" t="s">
        <v>3203</v>
      </c>
      <c r="C228" s="2989"/>
      <c r="D228" s="2989"/>
      <c r="E228" s="2989"/>
      <c r="F228" s="2978">
        <v>0.05</v>
      </c>
      <c r="G228" s="2995"/>
    </row>
    <row r="229" spans="1:7">
      <c r="A229" s="2988" t="s">
        <v>304</v>
      </c>
      <c r="B229" s="2977" t="s">
        <v>3204</v>
      </c>
      <c r="C229" s="2989"/>
      <c r="D229" s="2989"/>
      <c r="E229" s="2989"/>
      <c r="F229" s="2978">
        <v>0.05</v>
      </c>
      <c r="G229" s="2995"/>
    </row>
    <row r="230" spans="1:7">
      <c r="A230" s="2988" t="s">
        <v>304</v>
      </c>
      <c r="B230" s="2977" t="s">
        <v>3205</v>
      </c>
      <c r="C230" s="2989"/>
      <c r="D230" s="2989"/>
      <c r="E230" s="2989"/>
      <c r="F230" s="2978">
        <v>0.05</v>
      </c>
      <c r="G230" s="2995"/>
    </row>
    <row r="231" spans="1:7">
      <c r="A231" s="2988" t="s">
        <v>304</v>
      </c>
      <c r="B231" s="2977" t="s">
        <v>3206</v>
      </c>
      <c r="C231" s="2989"/>
      <c r="D231" s="2989"/>
      <c r="E231" s="2989"/>
      <c r="F231" s="2978">
        <v>0.05</v>
      </c>
      <c r="G231" s="2995"/>
    </row>
    <row r="232" spans="1:7">
      <c r="A232" s="2988" t="s">
        <v>304</v>
      </c>
      <c r="B232" s="2977" t="s">
        <v>3207</v>
      </c>
      <c r="C232" s="2989"/>
      <c r="D232" s="2989"/>
      <c r="E232" s="2989"/>
      <c r="F232" s="2978">
        <v>0.05</v>
      </c>
      <c r="G232" s="2995"/>
    </row>
    <row r="233" spans="1:7" ht="14.25" thickBot="1">
      <c r="A233" s="2991" t="s">
        <v>304</v>
      </c>
      <c r="B233" s="2981" t="s">
        <v>3208</v>
      </c>
      <c r="C233" s="2983"/>
      <c r="D233" s="2983"/>
      <c r="E233" s="2983"/>
      <c r="F233" s="2982">
        <v>0.05</v>
      </c>
      <c r="G233" s="2996"/>
    </row>
    <row r="234" spans="1:7">
      <c r="A234" s="2987" t="s">
        <v>305</v>
      </c>
      <c r="B234" s="2973" t="s">
        <v>2857</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2877</v>
      </c>
      <c r="C238" s="2978">
        <v>0.14899999999999999</v>
      </c>
      <c r="D238" s="2978">
        <v>0.14899999999999999</v>
      </c>
      <c r="E238" s="2978">
        <v>0.15</v>
      </c>
      <c r="F238" s="2978">
        <v>0.15</v>
      </c>
      <c r="G238" s="2979">
        <v>0.15</v>
      </c>
    </row>
    <row r="239" spans="1:7">
      <c r="A239" s="2988" t="s">
        <v>305</v>
      </c>
      <c r="B239" s="2977" t="s">
        <v>2881</v>
      </c>
      <c r="C239" s="2978">
        <v>0.15</v>
      </c>
      <c r="D239" s="2978">
        <v>0.15</v>
      </c>
      <c r="E239" s="2978">
        <v>0.15</v>
      </c>
      <c r="F239" s="2978">
        <v>0.15</v>
      </c>
      <c r="G239" s="2979">
        <v>0.15</v>
      </c>
    </row>
    <row r="240" spans="1:7">
      <c r="A240" s="2988" t="s">
        <v>305</v>
      </c>
      <c r="B240" s="2977" t="s">
        <v>2886</v>
      </c>
      <c r="C240" s="2978">
        <v>0.15</v>
      </c>
      <c r="D240" s="2978">
        <v>0.15</v>
      </c>
      <c r="E240" s="2978">
        <v>0.15</v>
      </c>
      <c r="F240" s="2978">
        <v>0.15</v>
      </c>
      <c r="G240" s="2979">
        <v>0.15</v>
      </c>
    </row>
    <row r="241" spans="1:7">
      <c r="A241" s="2988" t="s">
        <v>305</v>
      </c>
      <c r="B241" s="2977" t="s">
        <v>2890</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2896</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2904</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2909</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2917</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2930</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2939</v>
      </c>
      <c r="C258" s="2978">
        <v>0.14299999999999999</v>
      </c>
      <c r="D258" s="2978">
        <v>0.14299999999999999</v>
      </c>
      <c r="E258" s="2978">
        <v>0.15</v>
      </c>
      <c r="F258" s="2978">
        <v>0.14799999999999999</v>
      </c>
      <c r="G258" s="2979">
        <v>0.14599999999999999</v>
      </c>
    </row>
    <row r="259" spans="1:7">
      <c r="A259" s="2988" t="s">
        <v>305</v>
      </c>
      <c r="B259" s="2977" t="s">
        <v>2943</v>
      </c>
      <c r="C259" s="2978">
        <v>0.14399999999999999</v>
      </c>
      <c r="D259" s="2978">
        <v>0.14399999999999999</v>
      </c>
      <c r="E259" s="2978">
        <v>0.14899999999999999</v>
      </c>
      <c r="F259" s="2978">
        <v>0.14699999999999999</v>
      </c>
      <c r="G259" s="2979">
        <v>0.14599999999999999</v>
      </c>
    </row>
    <row r="260" spans="1:7">
      <c r="A260" s="2988" t="s">
        <v>305</v>
      </c>
      <c r="B260" s="2977" t="s">
        <v>2950</v>
      </c>
      <c r="C260" s="2978">
        <v>0.109</v>
      </c>
      <c r="D260" s="2978">
        <v>0.111</v>
      </c>
      <c r="E260" s="2978">
        <v>0.13100000000000001</v>
      </c>
      <c r="F260" s="2978">
        <v>0.126</v>
      </c>
      <c r="G260" s="2979">
        <v>0.11899999999999999</v>
      </c>
    </row>
    <row r="261" spans="1:7">
      <c r="A261" s="2988" t="s">
        <v>305</v>
      </c>
      <c r="B261" s="2977" t="s">
        <v>2957</v>
      </c>
      <c r="C261" s="2978">
        <v>0.1</v>
      </c>
      <c r="D261" s="2978">
        <v>0.1</v>
      </c>
      <c r="E261" s="2978">
        <v>0.11799999999999999</v>
      </c>
      <c r="F261" s="2978">
        <v>0.108</v>
      </c>
      <c r="G261" s="2979">
        <v>0.107</v>
      </c>
    </row>
    <row r="262" spans="1:7">
      <c r="A262" s="2988" t="s">
        <v>305</v>
      </c>
      <c r="B262" s="2977" t="s">
        <v>2963</v>
      </c>
      <c r="C262" s="2978">
        <v>0.1</v>
      </c>
      <c r="D262" s="2978">
        <v>0.1</v>
      </c>
      <c r="E262" s="2978">
        <v>0.1</v>
      </c>
      <c r="F262" s="2978">
        <v>0.14099999999999999</v>
      </c>
      <c r="G262" s="2979">
        <v>0.1</v>
      </c>
    </row>
    <row r="263" spans="1:7">
      <c r="A263" s="2988" t="s">
        <v>305</v>
      </c>
      <c r="B263" s="2977" t="s">
        <v>2970</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2981</v>
      </c>
      <c r="C265" s="2989"/>
      <c r="D265" s="2989"/>
      <c r="E265" s="2989"/>
      <c r="F265" s="2978">
        <v>0.05</v>
      </c>
      <c r="G265" s="2995"/>
    </row>
    <row r="266" spans="1:7">
      <c r="A266" s="2988" t="s">
        <v>305</v>
      </c>
      <c r="B266" s="2977" t="s">
        <v>2985</v>
      </c>
      <c r="C266" s="2989"/>
      <c r="D266" s="2989"/>
      <c r="E266" s="2989"/>
      <c r="F266" s="2978">
        <v>0.05</v>
      </c>
      <c r="G266" s="2995"/>
    </row>
    <row r="267" spans="1:7">
      <c r="A267" s="2988" t="s">
        <v>305</v>
      </c>
      <c r="B267" s="2977" t="s">
        <v>2990</v>
      </c>
      <c r="C267" s="2989"/>
      <c r="D267" s="2989"/>
      <c r="E267" s="2989"/>
      <c r="F267" s="2978">
        <v>0.05</v>
      </c>
      <c r="G267" s="2995"/>
    </row>
    <row r="268" spans="1:7">
      <c r="A268" s="2988" t="s">
        <v>305</v>
      </c>
      <c r="B268" s="2977" t="s">
        <v>2995</v>
      </c>
      <c r="C268" s="2989"/>
      <c r="D268" s="2989"/>
      <c r="E268" s="2989"/>
      <c r="F268" s="2978">
        <v>0.05</v>
      </c>
      <c r="G268" s="2995"/>
    </row>
    <row r="269" spans="1:7">
      <c r="A269" s="2988" t="s">
        <v>305</v>
      </c>
      <c r="B269" s="2977" t="s">
        <v>3000</v>
      </c>
      <c r="C269" s="2989"/>
      <c r="D269" s="2989"/>
      <c r="E269" s="2989"/>
      <c r="F269" s="2978">
        <v>0.05</v>
      </c>
      <c r="G269" s="2995"/>
    </row>
    <row r="270" spans="1:7">
      <c r="A270" s="2988" t="s">
        <v>305</v>
      </c>
      <c r="B270" s="2977" t="s">
        <v>3005</v>
      </c>
      <c r="C270" s="2989"/>
      <c r="D270" s="2989"/>
      <c r="E270" s="2989"/>
      <c r="F270" s="2978">
        <v>0.05</v>
      </c>
      <c r="G270" s="2995"/>
    </row>
    <row r="271" spans="1:7">
      <c r="A271" s="2988" t="s">
        <v>305</v>
      </c>
      <c r="B271" s="2977" t="s">
        <v>3209</v>
      </c>
      <c r="C271" s="2989"/>
      <c r="D271" s="2989"/>
      <c r="E271" s="2989"/>
      <c r="F271" s="2978">
        <v>0.05</v>
      </c>
      <c r="G271" s="2995"/>
    </row>
    <row r="272" spans="1:7">
      <c r="A272" s="2988" t="s">
        <v>305</v>
      </c>
      <c r="B272" s="2977" t="s">
        <v>3210</v>
      </c>
      <c r="C272" s="2989"/>
      <c r="D272" s="2989"/>
      <c r="E272" s="2989"/>
      <c r="F272" s="2978">
        <v>0.05</v>
      </c>
      <c r="G272" s="2995"/>
    </row>
    <row r="273" spans="1:7">
      <c r="A273" s="2988" t="s">
        <v>305</v>
      </c>
      <c r="B273" s="2977" t="s">
        <v>3211</v>
      </c>
      <c r="C273" s="2989"/>
      <c r="D273" s="2989"/>
      <c r="E273" s="2989"/>
      <c r="F273" s="2978">
        <v>0.05</v>
      </c>
      <c r="G273" s="2995"/>
    </row>
    <row r="274" spans="1:7">
      <c r="A274" s="2988" t="s">
        <v>305</v>
      </c>
      <c r="B274" s="2977" t="s">
        <v>3212</v>
      </c>
      <c r="C274" s="2989"/>
      <c r="D274" s="2989"/>
      <c r="E274" s="2989"/>
      <c r="F274" s="2978">
        <v>0.05</v>
      </c>
      <c r="G274" s="2995"/>
    </row>
    <row r="275" spans="1:7">
      <c r="A275" s="2988" t="s">
        <v>305</v>
      </c>
      <c r="B275" s="2977" t="s">
        <v>3213</v>
      </c>
      <c r="C275" s="2989"/>
      <c r="D275" s="2989"/>
      <c r="E275" s="2989"/>
      <c r="F275" s="2978">
        <v>0.05</v>
      </c>
      <c r="G275" s="2995"/>
    </row>
    <row r="276" spans="1:7" ht="14.25" thickBot="1">
      <c r="A276" s="2991" t="s">
        <v>305</v>
      </c>
      <c r="B276" s="2981" t="s">
        <v>3214</v>
      </c>
      <c r="C276" s="2983"/>
      <c r="D276" s="2983"/>
      <c r="E276" s="2983"/>
      <c r="F276" s="2982">
        <v>0.05</v>
      </c>
      <c r="G276" s="2996"/>
    </row>
    <row r="277" spans="1:7">
      <c r="A277" s="2987" t="s">
        <v>306</v>
      </c>
      <c r="B277" s="2973" t="s">
        <v>2858</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2870</v>
      </c>
      <c r="C279" s="2978">
        <v>0.15</v>
      </c>
      <c r="D279" s="2978">
        <v>0.15</v>
      </c>
      <c r="E279" s="2978">
        <v>0.15</v>
      </c>
      <c r="F279" s="2978">
        <v>0.15</v>
      </c>
      <c r="G279" s="2979">
        <v>0.15</v>
      </c>
    </row>
    <row r="280" spans="1:7">
      <c r="A280" s="2988" t="s">
        <v>306</v>
      </c>
      <c r="B280" s="2977" t="s">
        <v>2874</v>
      </c>
      <c r="C280" s="2978">
        <v>0.15</v>
      </c>
      <c r="D280" s="2978">
        <v>0.15</v>
      </c>
      <c r="E280" s="2978">
        <v>0.15</v>
      </c>
      <c r="F280" s="2978">
        <v>0.15</v>
      </c>
      <c r="G280" s="2979">
        <v>0.15</v>
      </c>
    </row>
    <row r="281" spans="1:7">
      <c r="A281" s="2988" t="s">
        <v>306</v>
      </c>
      <c r="B281" s="2977" t="s">
        <v>2878</v>
      </c>
      <c r="C281" s="2978">
        <v>0.15</v>
      </c>
      <c r="D281" s="2978">
        <v>0.15</v>
      </c>
      <c r="E281" s="2978">
        <v>0.15</v>
      </c>
      <c r="F281" s="2978">
        <v>0.15</v>
      </c>
      <c r="G281" s="2979">
        <v>0.15</v>
      </c>
    </row>
    <row r="282" spans="1:7">
      <c r="A282" s="2988" t="s">
        <v>306</v>
      </c>
      <c r="B282" s="2977" t="s">
        <v>2882</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2897</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2902</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2912</v>
      </c>
      <c r="C293" s="2978">
        <v>0.15</v>
      </c>
      <c r="D293" s="2978">
        <v>0.15</v>
      </c>
      <c r="E293" s="2978">
        <v>0.15</v>
      </c>
      <c r="F293" s="2978">
        <v>0.14499999999999999</v>
      </c>
      <c r="G293" s="2979">
        <v>0.15</v>
      </c>
    </row>
    <row r="294" spans="1:7">
      <c r="A294" s="2988" t="s">
        <v>306</v>
      </c>
      <c r="B294" s="2977" t="s">
        <v>2914</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2931</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2944</v>
      </c>
      <c r="C302" s="2978">
        <v>0.15</v>
      </c>
      <c r="D302" s="2978">
        <v>0.15</v>
      </c>
      <c r="E302" s="2978">
        <v>0.15</v>
      </c>
      <c r="F302" s="2978">
        <v>0.14699999999999999</v>
      </c>
      <c r="G302" s="2979">
        <v>0.15</v>
      </c>
    </row>
    <row r="303" spans="1:7">
      <c r="A303" s="2988" t="s">
        <v>306</v>
      </c>
      <c r="B303" s="2977" t="s">
        <v>2951</v>
      </c>
      <c r="C303" s="2978">
        <v>0.15</v>
      </c>
      <c r="D303" s="2978">
        <v>0.15</v>
      </c>
      <c r="E303" s="2978">
        <v>0.15</v>
      </c>
      <c r="F303" s="2978">
        <v>0.14199999999999999</v>
      </c>
      <c r="G303" s="2979">
        <v>0.15</v>
      </c>
    </row>
    <row r="304" spans="1:7">
      <c r="A304" s="2988" t="s">
        <v>306</v>
      </c>
      <c r="B304" s="2977" t="s">
        <v>2958</v>
      </c>
      <c r="C304" s="2978">
        <v>0.15</v>
      </c>
      <c r="D304" s="2978">
        <v>0.15</v>
      </c>
      <c r="E304" s="2978">
        <v>0.15</v>
      </c>
      <c r="F304" s="2978">
        <v>0.14499999999999999</v>
      </c>
      <c r="G304" s="2979">
        <v>0.15</v>
      </c>
    </row>
    <row r="305" spans="1:7">
      <c r="A305" s="2988" t="s">
        <v>306</v>
      </c>
      <c r="B305" s="2977" t="s">
        <v>2964</v>
      </c>
      <c r="C305" s="2978">
        <v>0.15</v>
      </c>
      <c r="D305" s="2978">
        <v>0.15</v>
      </c>
      <c r="E305" s="2978">
        <v>0.15</v>
      </c>
      <c r="F305" s="2978">
        <v>0.111</v>
      </c>
      <c r="G305" s="2979">
        <v>0.15</v>
      </c>
    </row>
    <row r="306" spans="1:7">
      <c r="A306" s="2988" t="s">
        <v>306</v>
      </c>
      <c r="B306" s="2977" t="s">
        <v>2971</v>
      </c>
      <c r="C306" s="2978">
        <v>0.15</v>
      </c>
      <c r="D306" s="2978">
        <v>0.15</v>
      </c>
      <c r="E306" s="2978">
        <v>0.15</v>
      </c>
      <c r="F306" s="2978">
        <v>0.126</v>
      </c>
      <c r="G306" s="2979">
        <v>0.15</v>
      </c>
    </row>
    <row r="307" spans="1:7">
      <c r="A307" s="2988" t="s">
        <v>306</v>
      </c>
      <c r="B307" s="2977" t="s">
        <v>2976</v>
      </c>
      <c r="C307" s="2978">
        <v>0.15</v>
      </c>
      <c r="D307" s="2978">
        <v>0.15</v>
      </c>
      <c r="E307" s="2978">
        <v>0.15</v>
      </c>
      <c r="F307" s="2978">
        <v>0.12</v>
      </c>
      <c r="G307" s="2979">
        <v>0.15</v>
      </c>
    </row>
    <row r="308" spans="1:7">
      <c r="A308" s="2988" t="s">
        <v>306</v>
      </c>
      <c r="B308" s="2977" t="s">
        <v>2982</v>
      </c>
      <c r="C308" s="2978">
        <v>0.15</v>
      </c>
      <c r="D308" s="2978">
        <v>0.15</v>
      </c>
      <c r="E308" s="2978">
        <v>0.15</v>
      </c>
      <c r="F308" s="2978">
        <v>0.13</v>
      </c>
      <c r="G308" s="2979">
        <v>0.15</v>
      </c>
    </row>
    <row r="309" spans="1:7">
      <c r="A309" s="2988" t="s">
        <v>306</v>
      </c>
      <c r="B309" s="2977" t="s">
        <v>2986</v>
      </c>
      <c r="C309" s="2978">
        <v>0.15</v>
      </c>
      <c r="D309" s="2978">
        <v>0.15</v>
      </c>
      <c r="E309" s="2978">
        <v>0.15</v>
      </c>
      <c r="F309" s="2978">
        <v>0.14099999999999999</v>
      </c>
      <c r="G309" s="2979">
        <v>0.15</v>
      </c>
    </row>
    <row r="310" spans="1:7">
      <c r="A310" s="2988" t="s">
        <v>306</v>
      </c>
      <c r="B310" s="2977" t="s">
        <v>2991</v>
      </c>
      <c r="C310" s="2978">
        <v>0.15</v>
      </c>
      <c r="D310" s="2978">
        <v>0.15</v>
      </c>
      <c r="E310" s="2978">
        <v>0.15</v>
      </c>
      <c r="F310" s="2978">
        <v>0.15</v>
      </c>
      <c r="G310" s="2979">
        <v>0.15</v>
      </c>
    </row>
    <row r="311" spans="1:7">
      <c r="A311" s="2988" t="s">
        <v>306</v>
      </c>
      <c r="B311" s="2977" t="s">
        <v>2996</v>
      </c>
      <c r="C311" s="2978">
        <v>0.13200000000000001</v>
      </c>
      <c r="D311" s="2978">
        <v>0.13300000000000001</v>
      </c>
      <c r="E311" s="2978">
        <v>0.14499999999999999</v>
      </c>
      <c r="F311" s="2978">
        <v>0.14199999999999999</v>
      </c>
      <c r="G311" s="2979">
        <v>0.14000000000000001</v>
      </c>
    </row>
    <row r="312" spans="1:7">
      <c r="A312" s="2988" t="s">
        <v>306</v>
      </c>
      <c r="B312" s="2977" t="s">
        <v>3001</v>
      </c>
      <c r="C312" s="2978">
        <v>0.13800000000000001</v>
      </c>
      <c r="D312" s="2978">
        <v>0.14000000000000001</v>
      </c>
      <c r="E312" s="2978">
        <v>0.14599999999999999</v>
      </c>
      <c r="F312" s="2978">
        <v>0.14899999999999999</v>
      </c>
      <c r="G312" s="2979">
        <v>0.14199999999999999</v>
      </c>
    </row>
    <row r="313" spans="1:7">
      <c r="A313" s="2988" t="s">
        <v>306</v>
      </c>
      <c r="B313" s="2977" t="s">
        <v>3006</v>
      </c>
      <c r="C313" s="2978">
        <v>0.125</v>
      </c>
      <c r="D313" s="2978">
        <v>0.127</v>
      </c>
      <c r="E313" s="2978">
        <v>0.14399999999999999</v>
      </c>
      <c r="F313" s="2978">
        <v>0.115</v>
      </c>
      <c r="G313" s="2979">
        <v>0.13600000000000001</v>
      </c>
    </row>
    <row r="314" spans="1:7">
      <c r="A314" s="2988" t="s">
        <v>306</v>
      </c>
      <c r="B314" s="2977" t="s">
        <v>3215</v>
      </c>
      <c r="C314" s="2994"/>
      <c r="D314" s="2994"/>
      <c r="E314" s="2994"/>
      <c r="F314" s="2978">
        <v>0.05</v>
      </c>
      <c r="G314" s="2995"/>
    </row>
    <row r="315" spans="1:7">
      <c r="A315" s="2988" t="s">
        <v>306</v>
      </c>
      <c r="B315" s="2977" t="s">
        <v>3216</v>
      </c>
      <c r="C315" s="2994"/>
      <c r="D315" s="2994"/>
      <c r="E315" s="2994"/>
      <c r="F315" s="2978">
        <v>0.05</v>
      </c>
      <c r="G315" s="2995"/>
    </row>
    <row r="316" spans="1:7">
      <c r="A316" s="2988" t="s">
        <v>306</v>
      </c>
      <c r="B316" s="2977" t="s">
        <v>3217</v>
      </c>
      <c r="C316" s="2989"/>
      <c r="D316" s="2989"/>
      <c r="E316" s="2989"/>
      <c r="F316" s="2978">
        <v>0.05</v>
      </c>
      <c r="G316" s="2995"/>
    </row>
    <row r="317" spans="1:7">
      <c r="A317" s="2988" t="s">
        <v>306</v>
      </c>
      <c r="B317" s="2977" t="s">
        <v>3218</v>
      </c>
      <c r="C317" s="2989"/>
      <c r="D317" s="2989"/>
      <c r="E317" s="2989"/>
      <c r="F317" s="2978">
        <v>0.05</v>
      </c>
      <c r="G317" s="2995"/>
    </row>
    <row r="318" spans="1:7">
      <c r="A318" s="2988" t="s">
        <v>306</v>
      </c>
      <c r="B318" s="2977" t="s">
        <v>3219</v>
      </c>
      <c r="C318" s="2989"/>
      <c r="D318" s="2989"/>
      <c r="E318" s="2989"/>
      <c r="F318" s="2978">
        <v>0.05</v>
      </c>
      <c r="G318" s="2995"/>
    </row>
    <row r="319" spans="1:7">
      <c r="A319" s="2988" t="s">
        <v>306</v>
      </c>
      <c r="B319" s="2977" t="s">
        <v>3220</v>
      </c>
      <c r="C319" s="2989"/>
      <c r="D319" s="2989"/>
      <c r="E319" s="2989"/>
      <c r="F319" s="2978">
        <v>0.05</v>
      </c>
      <c r="G319" s="2995"/>
    </row>
    <row r="320" spans="1:7">
      <c r="A320" s="2988" t="s">
        <v>306</v>
      </c>
      <c r="B320" s="2977" t="s">
        <v>3221</v>
      </c>
      <c r="C320" s="2989"/>
      <c r="D320" s="2989"/>
      <c r="E320" s="2989"/>
      <c r="F320" s="2978">
        <v>0.05</v>
      </c>
      <c r="G320" s="2995"/>
    </row>
    <row r="321" spans="1:7">
      <c r="A321" s="2988" t="s">
        <v>306</v>
      </c>
      <c r="B321" s="2977" t="s">
        <v>3222</v>
      </c>
      <c r="C321" s="2989"/>
      <c r="D321" s="2989"/>
      <c r="E321" s="2989"/>
      <c r="F321" s="2978">
        <v>0.05</v>
      </c>
      <c r="G321" s="2995"/>
    </row>
    <row r="322" spans="1:7">
      <c r="A322" s="2988" t="s">
        <v>306</v>
      </c>
      <c r="B322" s="2977" t="s">
        <v>3223</v>
      </c>
      <c r="C322" s="2989"/>
      <c r="D322" s="2989"/>
      <c r="E322" s="2989"/>
      <c r="F322" s="2978">
        <v>0.05</v>
      </c>
      <c r="G322" s="2995"/>
    </row>
    <row r="323" spans="1:7">
      <c r="A323" s="2988" t="s">
        <v>306</v>
      </c>
      <c r="B323" s="2977" t="s">
        <v>3224</v>
      </c>
      <c r="C323" s="2989"/>
      <c r="D323" s="2989"/>
      <c r="E323" s="2989"/>
      <c r="F323" s="2978">
        <v>0.05</v>
      </c>
      <c r="G323" s="2995"/>
    </row>
    <row r="324" spans="1:7">
      <c r="A324" s="2988" t="s">
        <v>306</v>
      </c>
      <c r="B324" s="2977" t="s">
        <v>3225</v>
      </c>
      <c r="C324" s="2989"/>
      <c r="D324" s="2989"/>
      <c r="E324" s="2989"/>
      <c r="F324" s="2978">
        <v>0.05</v>
      </c>
      <c r="G324" s="2995"/>
    </row>
    <row r="325" spans="1:7">
      <c r="A325" s="2988" t="s">
        <v>306</v>
      </c>
      <c r="B325" s="2977" t="s">
        <v>3226</v>
      </c>
      <c r="C325" s="2989"/>
      <c r="D325" s="2989"/>
      <c r="E325" s="2989"/>
      <c r="F325" s="2978">
        <v>0.05</v>
      </c>
      <c r="G325" s="2995"/>
    </row>
    <row r="326" spans="1:7" ht="14.25" thickBot="1">
      <c r="A326" s="2991" t="s">
        <v>306</v>
      </c>
      <c r="B326" s="2981" t="s">
        <v>3227</v>
      </c>
      <c r="C326" s="2983"/>
      <c r="D326" s="2983"/>
      <c r="E326" s="2983"/>
      <c r="F326" s="2982">
        <v>0.05</v>
      </c>
      <c r="G326" s="2996"/>
    </row>
    <row r="327" spans="1:7">
      <c r="A327" s="2987" t="s">
        <v>307</v>
      </c>
      <c r="B327" s="2973" t="s">
        <v>2859</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2871</v>
      </c>
      <c r="C329" s="2978">
        <v>0.15</v>
      </c>
      <c r="D329" s="2978">
        <v>0.15</v>
      </c>
      <c r="E329" s="2978">
        <v>0.15</v>
      </c>
      <c r="F329" s="2978">
        <v>0.15</v>
      </c>
      <c r="G329" s="2979">
        <v>0.15</v>
      </c>
    </row>
    <row r="330" spans="1:7">
      <c r="A330" s="2988" t="s">
        <v>307</v>
      </c>
      <c r="B330" s="2977" t="s">
        <v>2875</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2883</v>
      </c>
      <c r="C332" s="2978">
        <v>0.15</v>
      </c>
      <c r="D332" s="2978">
        <v>0.15</v>
      </c>
      <c r="E332" s="2978">
        <v>0.15</v>
      </c>
      <c r="F332" s="2978">
        <v>0.15</v>
      </c>
      <c r="G332" s="2979">
        <v>0.15</v>
      </c>
    </row>
    <row r="333" spans="1:7">
      <c r="A333" s="2988" t="s">
        <v>307</v>
      </c>
      <c r="B333" s="2977" t="s">
        <v>2887</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2893</v>
      </c>
      <c r="C336" s="2978">
        <v>0.15</v>
      </c>
      <c r="D336" s="2978">
        <v>0.15</v>
      </c>
      <c r="E336" s="2978">
        <v>0.15</v>
      </c>
      <c r="F336" s="2978">
        <v>0.14199999999999999</v>
      </c>
      <c r="G336" s="2979">
        <v>0.15</v>
      </c>
    </row>
    <row r="337" spans="1:7">
      <c r="A337" s="2988" t="s">
        <v>307</v>
      </c>
      <c r="B337" s="2977" t="s">
        <v>2898</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2905</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2910</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2918</v>
      </c>
      <c r="C345" s="2978">
        <v>0.15</v>
      </c>
      <c r="D345" s="2978">
        <v>0.15</v>
      </c>
      <c r="E345" s="2978">
        <v>0.15</v>
      </c>
      <c r="F345" s="2978">
        <v>0.13800000000000001</v>
      </c>
      <c r="G345" s="2979">
        <v>0.15</v>
      </c>
    </row>
    <row r="346" spans="1:7">
      <c r="A346" s="2988" t="s">
        <v>307</v>
      </c>
      <c r="B346" s="2977" t="s">
        <v>2920</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2927</v>
      </c>
      <c r="C348" s="2978">
        <v>0.15</v>
      </c>
      <c r="D348" s="2978">
        <v>0.15</v>
      </c>
      <c r="E348" s="2978">
        <v>0.15</v>
      </c>
      <c r="F348" s="2978">
        <v>0.14399999999999999</v>
      </c>
      <c r="G348" s="2979">
        <v>0.15</v>
      </c>
    </row>
    <row r="349" spans="1:7">
      <c r="A349" s="2988" t="s">
        <v>307</v>
      </c>
      <c r="B349" s="2977" t="s">
        <v>2932</v>
      </c>
      <c r="C349" s="2978">
        <v>0.15</v>
      </c>
      <c r="D349" s="2978">
        <v>0.15</v>
      </c>
      <c r="E349" s="2978">
        <v>0.15</v>
      </c>
      <c r="F349" s="2978">
        <v>0.15</v>
      </c>
      <c r="G349" s="2979">
        <v>0.15</v>
      </c>
    </row>
    <row r="350" spans="1:7">
      <c r="A350" s="2988" t="s">
        <v>307</v>
      </c>
      <c r="B350" s="2977" t="s">
        <v>2935</v>
      </c>
      <c r="C350" s="2978">
        <v>0.15</v>
      </c>
      <c r="D350" s="2978">
        <v>0.15</v>
      </c>
      <c r="E350" s="2978">
        <v>0.15</v>
      </c>
      <c r="F350" s="2978">
        <v>0.14699999999999999</v>
      </c>
      <c r="G350" s="2979">
        <v>0.15</v>
      </c>
    </row>
    <row r="351" spans="1:7">
      <c r="A351" s="2988" t="s">
        <v>307</v>
      </c>
      <c r="B351" s="2977" t="s">
        <v>2940</v>
      </c>
      <c r="C351" s="2978">
        <v>0.15</v>
      </c>
      <c r="D351" s="2978">
        <v>0.15</v>
      </c>
      <c r="E351" s="2978">
        <v>0.15</v>
      </c>
      <c r="F351" s="2978">
        <v>0.13</v>
      </c>
      <c r="G351" s="2979">
        <v>0.15</v>
      </c>
    </row>
    <row r="352" spans="1:7">
      <c r="A352" s="2988" t="s">
        <v>307</v>
      </c>
      <c r="B352" s="2977" t="s">
        <v>2945</v>
      </c>
      <c r="C352" s="2978">
        <v>0.15</v>
      </c>
      <c r="D352" s="2978">
        <v>0.15</v>
      </c>
      <c r="E352" s="2978">
        <v>0.15</v>
      </c>
      <c r="F352" s="2978">
        <v>0.14599999999999999</v>
      </c>
      <c r="G352" s="2979">
        <v>0.15</v>
      </c>
    </row>
    <row r="353" spans="1:7">
      <c r="A353" s="2988" t="s">
        <v>307</v>
      </c>
      <c r="B353" s="2977" t="s">
        <v>2952</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2965</v>
      </c>
      <c r="C355" s="2978">
        <v>0.15</v>
      </c>
      <c r="D355" s="2978">
        <v>0.15</v>
      </c>
      <c r="E355" s="2978">
        <v>0.15</v>
      </c>
      <c r="F355" s="2978">
        <v>0.15</v>
      </c>
      <c r="G355" s="2979">
        <v>0.15</v>
      </c>
    </row>
    <row r="356" spans="1:7">
      <c r="A356" s="2988" t="s">
        <v>307</v>
      </c>
      <c r="B356" s="2977" t="s">
        <v>2972</v>
      </c>
      <c r="C356" s="2978">
        <v>0.15</v>
      </c>
      <c r="D356" s="2978">
        <v>0.15</v>
      </c>
      <c r="E356" s="2978">
        <v>0.15</v>
      </c>
      <c r="F356" s="2978">
        <v>0.15</v>
      </c>
      <c r="G356" s="2979">
        <v>0.15</v>
      </c>
    </row>
    <row r="357" spans="1:7" ht="14.25" thickBot="1">
      <c r="A357" s="2991" t="s">
        <v>307</v>
      </c>
      <c r="B357" s="2981" t="s">
        <v>2977</v>
      </c>
      <c r="C357" s="2982">
        <v>0.126</v>
      </c>
      <c r="D357" s="2982">
        <v>0.127</v>
      </c>
      <c r="E357" s="2982">
        <v>0.14299999999999999</v>
      </c>
      <c r="F357" s="2982">
        <v>0.125</v>
      </c>
      <c r="G357" s="2984">
        <v>0.129</v>
      </c>
    </row>
    <row r="358" spans="1:7">
      <c r="A358" s="2987" t="s">
        <v>2846</v>
      </c>
      <c r="B358" s="2973" t="s">
        <v>2860</v>
      </c>
      <c r="C358" s="2974">
        <v>0.15</v>
      </c>
      <c r="D358" s="2974">
        <v>0.15</v>
      </c>
      <c r="E358" s="2974">
        <v>0.15</v>
      </c>
      <c r="F358" s="2974">
        <v>0.15</v>
      </c>
      <c r="G358" s="2975">
        <v>0.15</v>
      </c>
    </row>
    <row r="359" spans="1:7">
      <c r="A359" s="2988" t="s">
        <v>2846</v>
      </c>
      <c r="B359" s="2977" t="s">
        <v>2866</v>
      </c>
      <c r="C359" s="2978">
        <v>0.1</v>
      </c>
      <c r="D359" s="2978">
        <v>0.1</v>
      </c>
      <c r="E359" s="2978">
        <v>0.1</v>
      </c>
      <c r="F359" s="2978">
        <v>0.1</v>
      </c>
      <c r="G359" s="2979">
        <v>0.1</v>
      </c>
    </row>
    <row r="360" spans="1:7">
      <c r="A360" s="2988" t="s">
        <v>2846</v>
      </c>
      <c r="B360" s="2977" t="s">
        <v>2872</v>
      </c>
      <c r="C360" s="2978">
        <v>0.15</v>
      </c>
      <c r="D360" s="2978">
        <v>0.15</v>
      </c>
      <c r="E360" s="2978">
        <v>0.15</v>
      </c>
      <c r="F360" s="2978">
        <v>0.14899999999999999</v>
      </c>
      <c r="G360" s="2979">
        <v>0.15</v>
      </c>
    </row>
    <row r="361" spans="1:7">
      <c r="A361" s="2988" t="s">
        <v>2846</v>
      </c>
      <c r="B361" s="2977" t="s">
        <v>153</v>
      </c>
      <c r="C361" s="2978">
        <v>0.15</v>
      </c>
      <c r="D361" s="2978">
        <v>0.15</v>
      </c>
      <c r="E361" s="2978">
        <v>0.15</v>
      </c>
      <c r="F361" s="2978">
        <v>0.115</v>
      </c>
      <c r="G361" s="2979">
        <v>0.15</v>
      </c>
    </row>
    <row r="362" spans="1:7">
      <c r="A362" s="2988" t="s">
        <v>2846</v>
      </c>
      <c r="B362" s="2977" t="s">
        <v>2879</v>
      </c>
      <c r="C362" s="2978">
        <v>0.15</v>
      </c>
      <c r="D362" s="2978">
        <v>0.15</v>
      </c>
      <c r="E362" s="2978">
        <v>0.15</v>
      </c>
      <c r="F362" s="2978">
        <v>0.106</v>
      </c>
      <c r="G362" s="2979">
        <v>0.15</v>
      </c>
    </row>
    <row r="363" spans="1:7">
      <c r="A363" s="2988" t="s">
        <v>2846</v>
      </c>
      <c r="B363" s="2977" t="s">
        <v>2884</v>
      </c>
      <c r="C363" s="2978">
        <v>0.15</v>
      </c>
      <c r="D363" s="2978">
        <v>0.15</v>
      </c>
      <c r="E363" s="2978">
        <v>0.15</v>
      </c>
      <c r="F363" s="2978">
        <v>0.14699999999999999</v>
      </c>
      <c r="G363" s="2979">
        <v>0.15</v>
      </c>
    </row>
    <row r="364" spans="1:7">
      <c r="A364" s="2988" t="s">
        <v>2846</v>
      </c>
      <c r="B364" s="2977" t="s">
        <v>2888</v>
      </c>
      <c r="C364" s="2978">
        <v>0.15</v>
      </c>
      <c r="D364" s="2978">
        <v>0.15</v>
      </c>
      <c r="E364" s="2978">
        <v>0.15</v>
      </c>
      <c r="F364" s="2978">
        <v>0.14799999999999999</v>
      </c>
      <c r="G364" s="2979">
        <v>0.15</v>
      </c>
    </row>
    <row r="365" spans="1:7">
      <c r="A365" s="2988" t="s">
        <v>2846</v>
      </c>
      <c r="B365" s="2977" t="s">
        <v>200</v>
      </c>
      <c r="C365" s="2978">
        <v>0.15</v>
      </c>
      <c r="D365" s="2978">
        <v>0.15</v>
      </c>
      <c r="E365" s="2978">
        <v>0.15</v>
      </c>
      <c r="F365" s="2978">
        <v>0.15</v>
      </c>
      <c r="G365" s="2979">
        <v>0.15</v>
      </c>
    </row>
    <row r="366" spans="1:7">
      <c r="A366" s="2988" t="s">
        <v>2846</v>
      </c>
      <c r="B366" s="2977" t="s">
        <v>2891</v>
      </c>
      <c r="C366" s="2978">
        <v>0.15</v>
      </c>
      <c r="D366" s="2978">
        <v>0.15</v>
      </c>
      <c r="E366" s="2978">
        <v>0.15</v>
      </c>
      <c r="F366" s="2978">
        <v>0.15</v>
      </c>
      <c r="G366" s="2979">
        <v>0.15</v>
      </c>
    </row>
    <row r="367" spans="1:7">
      <c r="A367" s="2988" t="s">
        <v>2846</v>
      </c>
      <c r="B367" s="2977" t="s">
        <v>2894</v>
      </c>
      <c r="C367" s="2978">
        <v>0.15</v>
      </c>
      <c r="D367" s="2978">
        <v>0.15</v>
      </c>
      <c r="E367" s="2978">
        <v>0.15</v>
      </c>
      <c r="F367" s="2978">
        <v>0.14699999999999999</v>
      </c>
      <c r="G367" s="2979">
        <v>0.15</v>
      </c>
    </row>
    <row r="368" spans="1:7">
      <c r="A368" s="2988" t="s">
        <v>2846</v>
      </c>
      <c r="B368" s="2977" t="s">
        <v>2899</v>
      </c>
      <c r="C368" s="2978">
        <v>0.15</v>
      </c>
      <c r="D368" s="2978">
        <v>0.15</v>
      </c>
      <c r="E368" s="2978">
        <v>0.15</v>
      </c>
      <c r="F368" s="2978">
        <v>0.13600000000000001</v>
      </c>
      <c r="G368" s="2979">
        <v>0.15</v>
      </c>
    </row>
    <row r="369" spans="1:7">
      <c r="A369" s="2988" t="s">
        <v>2846</v>
      </c>
      <c r="B369" s="2977" t="s">
        <v>214</v>
      </c>
      <c r="C369" s="2978">
        <v>0.15</v>
      </c>
      <c r="D369" s="2978">
        <v>0.15</v>
      </c>
      <c r="E369" s="2978">
        <v>0.15</v>
      </c>
      <c r="F369" s="2978">
        <v>0.14399999999999999</v>
      </c>
      <c r="G369" s="2979">
        <v>0.15</v>
      </c>
    </row>
    <row r="370" spans="1:7">
      <c r="A370" s="2988" t="s">
        <v>2846</v>
      </c>
      <c r="B370" s="2977" t="s">
        <v>221</v>
      </c>
      <c r="C370" s="2978">
        <v>0.15</v>
      </c>
      <c r="D370" s="2978">
        <v>0.15</v>
      </c>
      <c r="E370" s="2978">
        <v>0.15</v>
      </c>
      <c r="F370" s="2978">
        <v>0.14599999999999999</v>
      </c>
      <c r="G370" s="2979">
        <v>0.15</v>
      </c>
    </row>
    <row r="371" spans="1:7">
      <c r="A371" s="2988" t="s">
        <v>2846</v>
      </c>
      <c r="B371" s="2977" t="s">
        <v>229</v>
      </c>
      <c r="C371" s="2978">
        <v>0.15</v>
      </c>
      <c r="D371" s="2978">
        <v>0.15</v>
      </c>
      <c r="E371" s="2978">
        <v>0.15</v>
      </c>
      <c r="F371" s="2978">
        <v>0.12</v>
      </c>
      <c r="G371" s="2979">
        <v>0.15</v>
      </c>
    </row>
    <row r="372" spans="1:7">
      <c r="A372" s="2988" t="s">
        <v>2846</v>
      </c>
      <c r="B372" s="2977" t="s">
        <v>2907</v>
      </c>
      <c r="C372" s="2978">
        <v>0.15</v>
      </c>
      <c r="D372" s="2978">
        <v>0.15</v>
      </c>
      <c r="E372" s="2978">
        <v>0.15</v>
      </c>
      <c r="F372" s="2978">
        <v>0.14299999999999999</v>
      </c>
      <c r="G372" s="2979">
        <v>0.15</v>
      </c>
    </row>
    <row r="373" spans="1:7">
      <c r="A373" s="2988" t="s">
        <v>2846</v>
      </c>
      <c r="B373" s="2977" t="s">
        <v>258</v>
      </c>
      <c r="C373" s="2978">
        <v>0.15</v>
      </c>
      <c r="D373" s="2978">
        <v>0.15</v>
      </c>
      <c r="E373" s="2978">
        <v>0.15</v>
      </c>
      <c r="F373" s="2978">
        <v>0.14599999999999999</v>
      </c>
      <c r="G373" s="2979">
        <v>0.15</v>
      </c>
    </row>
    <row r="374" spans="1:7">
      <c r="A374" s="2988" t="s">
        <v>2846</v>
      </c>
      <c r="B374" s="2977" t="s">
        <v>266</v>
      </c>
      <c r="C374" s="2978">
        <v>0.15</v>
      </c>
      <c r="D374" s="2978">
        <v>0.15</v>
      </c>
      <c r="E374" s="2978">
        <v>0.15</v>
      </c>
      <c r="F374" s="2978">
        <v>0.14399999999999999</v>
      </c>
      <c r="G374" s="2979">
        <v>0.15</v>
      </c>
    </row>
    <row r="375" spans="1:7">
      <c r="A375" s="2988" t="s">
        <v>2846</v>
      </c>
      <c r="B375" s="2977" t="s">
        <v>2915</v>
      </c>
      <c r="C375" s="2978">
        <v>0.15</v>
      </c>
      <c r="D375" s="2978">
        <v>0.15</v>
      </c>
      <c r="E375" s="2978">
        <v>0.15</v>
      </c>
      <c r="F375" s="2978">
        <v>0.13</v>
      </c>
      <c r="G375" s="2979">
        <v>0.15</v>
      </c>
    </row>
    <row r="376" spans="1:7">
      <c r="A376" s="2988" t="s">
        <v>2846</v>
      </c>
      <c r="B376" s="2977" t="s">
        <v>277</v>
      </c>
      <c r="C376" s="2978">
        <v>0.15</v>
      </c>
      <c r="D376" s="2978">
        <v>0.15</v>
      </c>
      <c r="E376" s="2978">
        <v>0.15</v>
      </c>
      <c r="F376" s="2978">
        <v>0.14199999999999999</v>
      </c>
      <c r="G376" s="2979">
        <v>0.15</v>
      </c>
    </row>
    <row r="377" spans="1:7" ht="14.25" thickBot="1">
      <c r="A377" s="2991" t="s">
        <v>2846</v>
      </c>
      <c r="B377" s="2981" t="s">
        <v>2921</v>
      </c>
      <c r="C377" s="2982">
        <v>0.15</v>
      </c>
      <c r="D377" s="2982">
        <v>0.15</v>
      </c>
      <c r="E377" s="2982">
        <v>0.15</v>
      </c>
      <c r="F377" s="2982">
        <v>0.14000000000000001</v>
      </c>
      <c r="G377" s="2984">
        <v>0.15</v>
      </c>
    </row>
    <row r="378" spans="1:7">
      <c r="A378" s="2987" t="s">
        <v>2847</v>
      </c>
      <c r="B378" s="2973" t="s">
        <v>2861</v>
      </c>
      <c r="C378" s="2974">
        <v>0.15</v>
      </c>
      <c r="D378" s="2974">
        <v>0.15</v>
      </c>
      <c r="E378" s="2974">
        <v>0.15</v>
      </c>
      <c r="F378" s="2974">
        <v>0.107</v>
      </c>
      <c r="G378" s="2975">
        <v>0.15</v>
      </c>
    </row>
    <row r="379" spans="1:7">
      <c r="A379" s="2988" t="s">
        <v>2847</v>
      </c>
      <c r="B379" s="2977" t="s">
        <v>2867</v>
      </c>
      <c r="C379" s="2978">
        <v>0.15</v>
      </c>
      <c r="D379" s="2978">
        <v>0.15</v>
      </c>
      <c r="E379" s="2978">
        <v>0.15</v>
      </c>
      <c r="F379" s="2978">
        <v>0.115</v>
      </c>
      <c r="G379" s="2979">
        <v>0.14899999999999999</v>
      </c>
    </row>
    <row r="380" spans="1:7">
      <c r="A380" s="2988" t="s">
        <v>2847</v>
      </c>
      <c r="B380" s="2977" t="s">
        <v>2873</v>
      </c>
      <c r="C380" s="2978">
        <v>0.15</v>
      </c>
      <c r="D380" s="2978">
        <v>0.15</v>
      </c>
      <c r="E380" s="2978">
        <v>0.15</v>
      </c>
      <c r="F380" s="2978">
        <v>0.1</v>
      </c>
      <c r="G380" s="2979">
        <v>0.14799999999999999</v>
      </c>
    </row>
    <row r="381" spans="1:7">
      <c r="A381" s="2988" t="s">
        <v>2847</v>
      </c>
      <c r="B381" s="2977" t="s">
        <v>2876</v>
      </c>
      <c r="C381" s="2978">
        <v>0.15</v>
      </c>
      <c r="D381" s="2978">
        <v>0.15</v>
      </c>
      <c r="E381" s="2978">
        <v>0.15</v>
      </c>
      <c r="F381" s="2978">
        <v>0.126</v>
      </c>
      <c r="G381" s="2979">
        <v>0.15</v>
      </c>
    </row>
    <row r="382" spans="1:7">
      <c r="A382" s="2988" t="s">
        <v>2847</v>
      </c>
      <c r="B382" s="2977" t="s">
        <v>2880</v>
      </c>
      <c r="C382" s="2978">
        <v>0.15</v>
      </c>
      <c r="D382" s="2978">
        <v>0.15</v>
      </c>
      <c r="E382" s="2978">
        <v>0.15</v>
      </c>
      <c r="F382" s="2978">
        <v>0.15</v>
      </c>
      <c r="G382" s="2979">
        <v>0.15</v>
      </c>
    </row>
    <row r="383" spans="1:7">
      <c r="A383" s="2988" t="s">
        <v>2847</v>
      </c>
      <c r="B383" s="2977" t="s">
        <v>2885</v>
      </c>
      <c r="C383" s="2978">
        <v>0.15</v>
      </c>
      <c r="D383" s="2978">
        <v>0.15</v>
      </c>
      <c r="E383" s="2978">
        <v>0.15</v>
      </c>
      <c r="F383" s="2978">
        <v>0.14699999999999999</v>
      </c>
      <c r="G383" s="2979">
        <v>0.15</v>
      </c>
    </row>
    <row r="384" spans="1:7" ht="14.25" thickBot="1">
      <c r="A384" s="2998" t="s">
        <v>2847</v>
      </c>
      <c r="B384" s="2999" t="s">
        <v>2889</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46" t="s">
        <v>3228</v>
      </c>
      <c r="B1" s="3546"/>
      <c r="C1" s="3546"/>
      <c r="D1" s="3546"/>
      <c r="E1" s="3546"/>
      <c r="F1" s="3547"/>
    </row>
    <row r="2" spans="1:6">
      <c r="A2" s="3002" t="s">
        <v>3229</v>
      </c>
    </row>
    <row r="3" spans="1:6">
      <c r="A3" s="3002" t="s">
        <v>3230</v>
      </c>
      <c r="F3" s="3003" t="s">
        <v>3231</v>
      </c>
    </row>
    <row r="4" spans="1:6">
      <c r="A4" s="3004" t="s">
        <v>670</v>
      </c>
      <c r="B4" s="3004" t="s">
        <v>671</v>
      </c>
      <c r="C4" s="3004" t="s">
        <v>21</v>
      </c>
      <c r="D4" s="3004" t="s">
        <v>672</v>
      </c>
      <c r="E4" s="3004" t="s">
        <v>3</v>
      </c>
      <c r="F4" s="3004" t="s">
        <v>3232</v>
      </c>
    </row>
    <row r="5" spans="1:6">
      <c r="A5" s="3005" t="s">
        <v>673</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A16" zoomScale="90" zoomScaleNormal="90" workbookViewId="0">
      <selection activeCell="F39" sqref="F39"/>
    </sheetView>
  </sheetViews>
  <sheetFormatPr defaultRowHeight="13.5"/>
  <cols>
    <col min="1" max="1" width="13.875" customWidth="1"/>
    <col min="11" max="17" width="0" hidden="1" customWidth="1"/>
    <col min="25" max="30" width="0" hidden="1" customWidth="1"/>
  </cols>
  <sheetData>
    <row r="1" spans="1:30">
      <c r="A1" s="2937">
        <f>基准地价修正!G23</f>
        <v>45604</v>
      </c>
      <c r="B1" s="2929" t="s">
        <v>3376</v>
      </c>
      <c r="C1" s="2930"/>
      <c r="D1" s="2930"/>
      <c r="E1" s="2930"/>
      <c r="F1" s="2930"/>
      <c r="G1" s="2930"/>
      <c r="H1" s="2930"/>
      <c r="I1" s="2930"/>
      <c r="J1" s="2896"/>
      <c r="K1" s="2930" t="s">
        <v>454</v>
      </c>
      <c r="L1" s="2930"/>
      <c r="M1" s="2930"/>
      <c r="N1" s="2930"/>
      <c r="O1" s="2930"/>
      <c r="P1" s="2930"/>
      <c r="Q1" s="2896"/>
      <c r="R1" s="3548" t="s">
        <v>456</v>
      </c>
      <c r="S1" s="3549"/>
      <c r="T1" s="3549"/>
      <c r="U1" s="3549"/>
      <c r="V1" s="3549"/>
      <c r="W1" s="3549"/>
      <c r="X1" s="2896"/>
      <c r="Y1" s="3548" t="s">
        <v>457</v>
      </c>
      <c r="Z1" s="3549"/>
      <c r="AA1" s="3549"/>
      <c r="AB1" s="3549"/>
      <c r="AC1" s="3549"/>
      <c r="AD1" s="3549"/>
    </row>
    <row r="2" spans="1:30" s="2009" customFormat="1" ht="14.25" thickBot="1">
      <c r="B2" s="2881"/>
      <c r="C2" s="2882"/>
      <c r="D2" s="2010" t="s">
        <v>2806</v>
      </c>
      <c r="E2" s="2011" t="s">
        <v>2807</v>
      </c>
      <c r="F2" s="2011" t="s">
        <v>2808</v>
      </c>
      <c r="G2" s="2011" t="s">
        <v>2809</v>
      </c>
      <c r="H2" s="2011" t="s">
        <v>2810</v>
      </c>
      <c r="I2" s="2011" t="s">
        <v>2627</v>
      </c>
      <c r="J2" s="2883"/>
      <c r="K2" s="2010" t="s">
        <v>2806</v>
      </c>
      <c r="L2" s="2011" t="s">
        <v>2807</v>
      </c>
      <c r="M2" s="2011" t="s">
        <v>2808</v>
      </c>
      <c r="N2" s="2011" t="s">
        <v>2809</v>
      </c>
      <c r="O2" s="2011" t="s">
        <v>2811</v>
      </c>
      <c r="P2" s="2011" t="s">
        <v>2627</v>
      </c>
      <c r="Q2" s="2883"/>
      <c r="R2" s="2010" t="s">
        <v>2806</v>
      </c>
      <c r="S2" s="2011" t="s">
        <v>2807</v>
      </c>
      <c r="T2" s="2011" t="s">
        <v>2808</v>
      </c>
      <c r="U2" s="2011" t="s">
        <v>2812</v>
      </c>
      <c r="V2" s="2011" t="s">
        <v>2813</v>
      </c>
      <c r="W2" s="2011" t="s">
        <v>2627</v>
      </c>
      <c r="X2" s="2883"/>
      <c r="Y2" s="2010" t="s">
        <v>2806</v>
      </c>
      <c r="Z2" s="2011" t="s">
        <v>2807</v>
      </c>
      <c r="AA2" s="2011" t="s">
        <v>2808</v>
      </c>
      <c r="AB2" s="2011" t="s">
        <v>2814</v>
      </c>
      <c r="AC2" s="2011" t="s">
        <v>2813</v>
      </c>
      <c r="AD2" s="2011" t="s">
        <v>2627</v>
      </c>
    </row>
    <row r="3" spans="1:30" s="2886" customFormat="1" ht="12.75">
      <c r="A3" s="2884" t="s">
        <v>2815</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3372</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3381</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3380</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3373</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3369</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3365</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3364</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3362</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3361</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3360</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3358</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3349</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2816</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2817</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2818</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2819</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2820</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2" t="s">
        <v>3379</v>
      </c>
    </row>
    <row r="24" spans="1:30">
      <c r="I24" s="1404" t="s">
        <v>2821</v>
      </c>
    </row>
    <row r="26" spans="1:30" s="2008" customFormat="1" ht="12.75">
      <c r="B26" s="2929" t="s">
        <v>3377</v>
      </c>
      <c r="C26" s="2930"/>
      <c r="D26" s="2930"/>
      <c r="E26" s="2930"/>
      <c r="F26" s="2930"/>
      <c r="G26" s="2930"/>
      <c r="H26" s="2930"/>
      <c r="I26" s="2930"/>
      <c r="J26" s="2896"/>
      <c r="K26" s="2930" t="s">
        <v>2822</v>
      </c>
      <c r="L26" s="2930"/>
      <c r="M26" s="2930"/>
      <c r="N26" s="2930"/>
      <c r="O26" s="2930"/>
      <c r="P26" s="2930"/>
      <c r="Q26" s="2896"/>
      <c r="R26" s="3548" t="s">
        <v>2823</v>
      </c>
      <c r="S26" s="3549"/>
      <c r="T26" s="3549"/>
      <c r="U26" s="3549"/>
      <c r="V26" s="3549"/>
      <c r="W26" s="3549"/>
      <c r="X26" s="2896"/>
      <c r="Y26" s="3548" t="s">
        <v>2824</v>
      </c>
      <c r="Z26" s="3549"/>
      <c r="AA26" s="3549"/>
      <c r="AB26" s="3549"/>
      <c r="AC26" s="3549"/>
      <c r="AD26" s="3549"/>
    </row>
    <row r="27" spans="1:30" s="2009" customFormat="1" ht="14.25" thickBot="1">
      <c r="B27" s="2881"/>
      <c r="C27" s="2882"/>
      <c r="D27" s="2010" t="s">
        <v>2825</v>
      </c>
      <c r="E27" s="2011" t="s">
        <v>2826</v>
      </c>
      <c r="F27" s="2011" t="s">
        <v>2827</v>
      </c>
      <c r="G27" s="2011" t="s">
        <v>2828</v>
      </c>
      <c r="H27" s="2011"/>
      <c r="I27" s="2011" t="s">
        <v>2829</v>
      </c>
      <c r="J27" s="2883"/>
      <c r="K27" s="2010" t="s">
        <v>2825</v>
      </c>
      <c r="L27" s="2011" t="s">
        <v>2826</v>
      </c>
      <c r="M27" s="2011" t="s">
        <v>2827</v>
      </c>
      <c r="N27" s="2011" t="s">
        <v>2828</v>
      </c>
      <c r="O27" s="2011"/>
      <c r="P27" s="2011" t="s">
        <v>2829</v>
      </c>
      <c r="Q27" s="2883"/>
      <c r="R27" s="2010" t="s">
        <v>2825</v>
      </c>
      <c r="S27" s="2011" t="s">
        <v>2826</v>
      </c>
      <c r="T27" s="2011" t="s">
        <v>2827</v>
      </c>
      <c r="U27" s="2011" t="s">
        <v>2828</v>
      </c>
      <c r="V27" s="2011"/>
      <c r="W27" s="2011" t="s">
        <v>2829</v>
      </c>
      <c r="X27" s="2883"/>
      <c r="Y27" s="2010" t="s">
        <v>2825</v>
      </c>
      <c r="Z27" s="2011" t="s">
        <v>2826</v>
      </c>
      <c r="AA27" s="2011" t="s">
        <v>2827</v>
      </c>
      <c r="AB27" s="2011" t="s">
        <v>2828</v>
      </c>
      <c r="AC27" s="2011"/>
      <c r="AD27" s="2011" t="s">
        <v>2829</v>
      </c>
    </row>
    <row r="28" spans="1:30" s="2886" customFormat="1" ht="12.75">
      <c r="A28" s="2884" t="s">
        <v>2830</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3372</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3374</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3367</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3375</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3368</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3366</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3364</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3363</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3361</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3360</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3359</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3349</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2831</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2832</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2833</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2834</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2820</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2"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8" t="str">
        <f>IF(项目基本情况!B9="房地产市场价值","估价结果一览表","结果表-2")</f>
        <v>结果表-2</v>
      </c>
      <c r="B1" s="3228"/>
      <c r="C1" s="3228"/>
      <c r="D1" s="3228"/>
      <c r="E1" s="3228"/>
      <c r="F1" s="3228"/>
      <c r="G1" s="3228"/>
      <c r="H1" s="3228"/>
      <c r="I1" s="3228"/>
    </row>
    <row r="2" spans="1:9" ht="30" customHeight="1" thickTop="1">
      <c r="A2" s="3229" t="s">
        <v>926</v>
      </c>
      <c r="B2" s="3229" t="s">
        <v>927</v>
      </c>
      <c r="C2" s="3229" t="s">
        <v>928</v>
      </c>
      <c r="D2" s="3229" t="str">
        <f>结果表!D116</f>
        <v>出让国有建设用地使用权价值</v>
      </c>
      <c r="E2" s="3229"/>
      <c r="F2" s="3229" t="str">
        <f>结果表!F116</f>
        <v>建筑物价值</v>
      </c>
      <c r="G2" s="3229"/>
      <c r="H2" s="3229" t="str">
        <f>IF(项目基本情况!B9="房地产市场价值","房地产市场价值","房地产价值")</f>
        <v>房地产价值</v>
      </c>
      <c r="I2" s="3229"/>
    </row>
    <row r="3" spans="1:9" ht="15">
      <c r="A3" s="3230"/>
      <c r="B3" s="3230"/>
      <c r="C3" s="3230"/>
      <c r="D3" s="801" t="s">
        <v>923</v>
      </c>
      <c r="E3" s="801" t="s">
        <v>929</v>
      </c>
      <c r="F3" s="801" t="s">
        <v>923</v>
      </c>
      <c r="G3" s="801" t="s">
        <v>924</v>
      </c>
      <c r="H3" s="801" t="s">
        <v>923</v>
      </c>
      <c r="I3" s="801" t="s">
        <v>924</v>
      </c>
    </row>
    <row r="4" spans="1:9" ht="15">
      <c r="A4" s="1402" t="str">
        <f>项目基本情况!S2</f>
        <v>北京市房地产</v>
      </c>
      <c r="B4" s="801">
        <f>项目基本情况!C17</f>
        <v>66017.299999999916</v>
      </c>
      <c r="C4" s="801">
        <f>项目基本情况!C18</f>
        <v>20242.14</v>
      </c>
      <c r="D4" s="801">
        <f ca="1">结果表!D118</f>
        <v>79461</v>
      </c>
      <c r="E4" s="801">
        <f ca="1">结果表!E118</f>
        <v>12036</v>
      </c>
      <c r="F4" s="801">
        <f ca="1">结果表!F118</f>
        <v>44117</v>
      </c>
      <c r="G4" s="801">
        <f ca="1">结果表!G118</f>
        <v>6683</v>
      </c>
      <c r="H4" s="801">
        <f ca="1">结果表!H118</f>
        <v>123578</v>
      </c>
      <c r="I4" s="801">
        <f ca="1">结果表!I118</f>
        <v>18719</v>
      </c>
    </row>
    <row r="5" spans="1:9" ht="30" customHeight="1">
      <c r="A5" s="3230" t="s">
        <v>925</v>
      </c>
      <c r="B5" s="3230"/>
      <c r="C5" s="3230"/>
      <c r="D5" s="3230" t="str">
        <f ca="1">结果表!D119</f>
        <v>柒亿玖仟肆佰陆拾壹万元整</v>
      </c>
      <c r="E5" s="3230"/>
      <c r="F5" s="3230" t="str">
        <f ca="1">结果表!F119</f>
        <v>肆亿肆仟壹佰壹拾柒万元整</v>
      </c>
      <c r="G5" s="3230"/>
      <c r="H5" s="3230" t="str">
        <f ca="1">结果表!H119</f>
        <v>壹拾贰亿叁仟伍佰柒拾捌万元整</v>
      </c>
      <c r="I5" s="3230"/>
    </row>
    <row r="6" spans="1:9" ht="15.75">
      <c r="A6" s="3231" t="str">
        <f>结果表!A120</f>
        <v>估价师知悉的法定优先受偿款</v>
      </c>
      <c r="B6" s="3231"/>
      <c r="C6" s="3231"/>
      <c r="D6" s="3231">
        <f>结果表!D120</f>
        <v>0</v>
      </c>
      <c r="E6" s="3231"/>
      <c r="F6" s="3231"/>
      <c r="G6" s="3231"/>
      <c r="H6" s="3231"/>
      <c r="I6" s="3231"/>
    </row>
    <row r="7" spans="1:9" ht="15">
      <c r="A7" s="3230" t="s">
        <v>925</v>
      </c>
      <c r="B7" s="3230"/>
      <c r="C7" s="3230"/>
      <c r="D7" s="3232" t="str">
        <f>结果表!D121</f>
        <v>零元整</v>
      </c>
      <c r="E7" s="3233"/>
      <c r="F7" s="3233"/>
      <c r="G7" s="3233"/>
      <c r="H7" s="3233"/>
      <c r="I7" s="3234"/>
    </row>
    <row r="8" spans="1:9" ht="15.75">
      <c r="A8" s="3231" t="str">
        <f>结果表!A122</f>
        <v>房地产抵押价值</v>
      </c>
      <c r="B8" s="3231"/>
      <c r="C8" s="3231"/>
      <c r="D8" s="3231">
        <f ca="1">结果表!D122</f>
        <v>123578</v>
      </c>
      <c r="E8" s="3231"/>
      <c r="F8" s="3231"/>
      <c r="G8" s="3231"/>
      <c r="H8" s="3231"/>
      <c r="I8" s="3231"/>
    </row>
    <row r="9" spans="1:9" ht="15">
      <c r="A9" s="3230" t="s">
        <v>925</v>
      </c>
      <c r="B9" s="3230"/>
      <c r="C9" s="3230"/>
      <c r="D9" s="3230" t="str">
        <f ca="1">结果表!D123</f>
        <v>壹拾贰亿叁仟伍佰柒拾捌万元整</v>
      </c>
      <c r="E9" s="3230"/>
      <c r="F9" s="3230"/>
      <c r="G9" s="3230"/>
      <c r="H9" s="3230"/>
      <c r="I9" s="3230"/>
    </row>
    <row r="10" spans="1:9" ht="15.75">
      <c r="A10" s="3231" t="str">
        <f>结果表!A124</f>
        <v/>
      </c>
      <c r="B10" s="3231"/>
      <c r="C10" s="3231"/>
      <c r="D10" s="3231" t="str">
        <f>结果表!D124</f>
        <v>——</v>
      </c>
      <c r="E10" s="3231"/>
      <c r="F10" s="3231"/>
      <c r="G10" s="3231"/>
      <c r="H10" s="3231"/>
      <c r="I10" s="3231"/>
    </row>
    <row r="11" spans="1:9" ht="15">
      <c r="A11" s="3230" t="s">
        <v>925</v>
      </c>
      <c r="B11" s="3230"/>
      <c r="C11" s="3230"/>
      <c r="D11" s="3230" t="e">
        <f>结果表!D125</f>
        <v>#VALUE!</v>
      </c>
      <c r="E11" s="3230"/>
      <c r="F11" s="3230"/>
      <c r="G11" s="3230"/>
      <c r="H11" s="3230"/>
      <c r="I11" s="3230"/>
    </row>
    <row r="12" spans="1:9" ht="15.75">
      <c r="A12" s="3231" t="str">
        <f>结果表!A126</f>
        <v/>
      </c>
      <c r="B12" s="3231"/>
      <c r="C12" s="3231"/>
      <c r="D12" s="3231" t="str">
        <f>结果表!D126</f>
        <v>——</v>
      </c>
      <c r="E12" s="3231"/>
      <c r="F12" s="3231"/>
      <c r="G12" s="3231"/>
      <c r="H12" s="3231"/>
      <c r="I12" s="3231"/>
    </row>
    <row r="13" spans="1:9" ht="15.75" thickBot="1">
      <c r="A13" s="3235" t="s">
        <v>925</v>
      </c>
      <c r="B13" s="3235"/>
      <c r="C13" s="3235"/>
      <c r="D13" s="3235" t="e">
        <f>结果表!D127</f>
        <v>#VALUE!</v>
      </c>
      <c r="E13" s="3235"/>
      <c r="F13" s="3235"/>
      <c r="G13" s="3235"/>
      <c r="H13" s="3235"/>
      <c r="I13" s="3235"/>
    </row>
    <row r="14" spans="1:9" ht="15" thickTop="1">
      <c r="A14" s="3236" t="s">
        <v>930</v>
      </c>
      <c r="B14" s="3236"/>
      <c r="C14" s="3236"/>
      <c r="D14" s="3236"/>
      <c r="E14" s="3236"/>
      <c r="F14" s="3236"/>
      <c r="G14" s="3236"/>
      <c r="H14" s="3236"/>
      <c r="I14" s="3236"/>
    </row>
    <row r="16" spans="1:9" ht="18.75">
      <c r="A16" s="1403"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53" t="s">
        <v>452</v>
      </c>
      <c r="C1" s="3553"/>
      <c r="D1" s="3553"/>
      <c r="E1" s="3553"/>
      <c r="F1" s="3553"/>
      <c r="G1" s="3549" t="s">
        <v>453</v>
      </c>
      <c r="H1" s="3549"/>
      <c r="I1" s="3549"/>
      <c r="J1" s="3549"/>
      <c r="K1" s="3549"/>
      <c r="L1" s="3549"/>
      <c r="N1" s="3549" t="s">
        <v>454</v>
      </c>
      <c r="O1" s="3549"/>
      <c r="P1" s="3549"/>
      <c r="Q1" s="3549"/>
      <c r="S1" s="3549" t="s">
        <v>455</v>
      </c>
      <c r="T1" s="3549"/>
      <c r="U1" s="3549"/>
      <c r="V1" s="3549"/>
      <c r="X1" s="3548" t="s">
        <v>456</v>
      </c>
      <c r="Y1" s="3549"/>
      <c r="Z1" s="3549"/>
      <c r="AA1" s="3549"/>
      <c r="AB1" s="3549"/>
      <c r="AD1" s="3548" t="s">
        <v>457</v>
      </c>
      <c r="AE1" s="3549"/>
      <c r="AF1" s="3549"/>
      <c r="AG1" s="3549"/>
      <c r="AH1" s="3549"/>
    </row>
    <row r="2" spans="1:34" s="2009" customFormat="1" ht="14.25" thickBot="1">
      <c r="B2" s="2010" t="s">
        <v>458</v>
      </c>
      <c r="C2" s="2010" t="s">
        <v>459</v>
      </c>
      <c r="D2" s="2011" t="s">
        <v>460</v>
      </c>
      <c r="E2" s="2011" t="s">
        <v>461</v>
      </c>
      <c r="F2" s="2010" t="s">
        <v>462</v>
      </c>
      <c r="G2" s="2012"/>
      <c r="I2" s="2010" t="s">
        <v>458</v>
      </c>
      <c r="J2" s="2011" t="s">
        <v>674</v>
      </c>
      <c r="K2" s="2011" t="s">
        <v>308</v>
      </c>
      <c r="L2" s="2010" t="s">
        <v>462</v>
      </c>
      <c r="N2" s="2010" t="s">
        <v>458</v>
      </c>
      <c r="O2" s="2011" t="s">
        <v>674</v>
      </c>
      <c r="P2" s="2011" t="s">
        <v>308</v>
      </c>
      <c r="Q2" s="2010" t="s">
        <v>462</v>
      </c>
      <c r="S2" s="2010" t="s">
        <v>458</v>
      </c>
      <c r="T2" s="2011" t="s">
        <v>674</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2108</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3357</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3354</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2109</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3355</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3356</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2124</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2122</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2121</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2120</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2118</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2117</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2119</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5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2115</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5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2114</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5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2107</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5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2105</v>
      </c>
      <c r="B25" s="2048">
        <v>439</v>
      </c>
      <c r="C25" s="2048">
        <v>327</v>
      </c>
      <c r="D25" s="2048">
        <f>C25</f>
        <v>327</v>
      </c>
      <c r="E25" s="2048">
        <v>627</v>
      </c>
      <c r="F25" s="2049">
        <v>283</v>
      </c>
      <c r="G25" s="355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2106</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5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675</v>
      </c>
      <c r="B27" s="2040">
        <f t="shared" si="232"/>
        <v>419.31181600000002</v>
      </c>
      <c r="C27" s="2040">
        <f t="shared" si="233"/>
        <v>313.95436800000004</v>
      </c>
      <c r="D27" s="2040">
        <f t="shared" si="234"/>
        <v>313.95436800000004</v>
      </c>
      <c r="E27" s="2040">
        <f t="shared" si="235"/>
        <v>596.63028431999999</v>
      </c>
      <c r="F27" s="2040">
        <f t="shared" si="236"/>
        <v>274.74220703999998</v>
      </c>
      <c r="G27" s="355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5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5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5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5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5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5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5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5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5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5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5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5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5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5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5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5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5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5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5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5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5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5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5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5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5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5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5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5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5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5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5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5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5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5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5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5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5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5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5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5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5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5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5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5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5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5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5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5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5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5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5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5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5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5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5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5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5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5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5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5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5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45604</v>
      </c>
      <c r="D1" s="1216" t="s">
        <v>603</v>
      </c>
      <c r="E1" s="1211">
        <f>'数据-取费表'!B22</f>
        <v>3</v>
      </c>
      <c r="F1" s="1216" t="s">
        <v>604</v>
      </c>
      <c r="G1" s="1212">
        <f ca="1">INDIRECT("d"&amp;$K$1)/100</f>
        <v>3.1E-2</v>
      </c>
      <c r="H1" s="1216" t="s">
        <v>634</v>
      </c>
      <c r="I1" s="1212">
        <f ca="1">F4/100</f>
        <v>1.4999999999999999E-2</v>
      </c>
      <c r="J1" s="1217">
        <f>IF(C1&gt;C13,0,MATCH(C1,C$13:C$114,-1))+IF(SUMIF(C13:C114,C1,D13:D114)=0,13,12)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2305</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67" sqref="R6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7" t="s">
        <v>947</v>
      </c>
      <c r="B1" s="3237"/>
      <c r="C1" s="3237"/>
      <c r="D1" s="3237"/>
    </row>
    <row r="2" spans="1:4" ht="18">
      <c r="A2" s="3238" t="s">
        <v>931</v>
      </c>
      <c r="B2" s="3238"/>
      <c r="C2" s="3238"/>
      <c r="D2" s="3238"/>
    </row>
    <row r="3" spans="1:4" ht="18.75">
      <c r="A3" s="1406" t="s">
        <v>932</v>
      </c>
      <c r="B3" s="1406" t="s">
        <v>933</v>
      </c>
      <c r="C3" s="1406" t="s">
        <v>934</v>
      </c>
      <c r="D3" s="1406" t="s">
        <v>935</v>
      </c>
    </row>
    <row r="4" spans="1:4" ht="56.25" customHeight="1">
      <c r="A4" s="1407" t="str">
        <f>项目基本情况!B4</f>
        <v>吴薇</v>
      </c>
      <c r="B4" s="1408">
        <f ca="1">项目基本情况!C4</f>
        <v>1419970001</v>
      </c>
      <c r="C4" s="1409"/>
      <c r="D4" s="1410" t="s">
        <v>936</v>
      </c>
    </row>
    <row r="5" spans="1:4" ht="56.25" customHeight="1">
      <c r="A5" s="1407" t="str">
        <f>项目基本情况!D4</f>
        <v>郑燚</v>
      </c>
      <c r="B5" s="1408">
        <f ca="1">项目基本情况!E4</f>
        <v>1120070131</v>
      </c>
      <c r="C5" s="1411"/>
      <c r="D5" s="1410" t="s">
        <v>936</v>
      </c>
    </row>
    <row r="6" spans="1:4" ht="18">
      <c r="A6" s="3238" t="s">
        <v>937</v>
      </c>
      <c r="B6" s="3238"/>
      <c r="C6" s="3238"/>
      <c r="D6" s="3238"/>
    </row>
    <row r="7" spans="1:4" ht="18.75">
      <c r="A7" s="1406" t="s">
        <v>932</v>
      </c>
      <c r="B7" s="1408" t="s">
        <v>938</v>
      </c>
      <c r="C7" s="1406" t="s">
        <v>934</v>
      </c>
      <c r="D7" s="1406" t="s">
        <v>935</v>
      </c>
    </row>
    <row r="8" spans="1:4" ht="56.25" customHeight="1">
      <c r="A8" s="1412" t="s">
        <v>390</v>
      </c>
      <c r="B8" s="1412" t="s">
        <v>0</v>
      </c>
      <c r="C8" s="1409"/>
      <c r="D8" s="1410" t="s">
        <v>936</v>
      </c>
    </row>
    <row r="10" spans="1:4" ht="18.75">
      <c r="A10" s="1413" t="s">
        <v>939</v>
      </c>
    </row>
    <row r="11" spans="1:4" ht="30" customHeight="1">
      <c r="A11" s="3239" t="s">
        <v>940</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40" t="str">
        <f>IF(项目基本情况!B8="抵押","4.本次评估估价师所知悉的法定优先受偿款情况说明如下：","——")</f>
        <v>4.本次评估估价师所知悉的法定优先受偿款情况说明如下：</v>
      </c>
      <c r="B14" s="3241"/>
      <c r="C14" s="3241"/>
      <c r="D14" s="3241"/>
    </row>
    <row r="15" spans="1:4" ht="42" customHeight="1">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spans="1:4" ht="30" customHeight="1">
      <c r="A16" s="3243" t="s">
        <v>941</v>
      </c>
      <c r="B16" s="3243"/>
      <c r="C16" s="3243"/>
      <c r="D16" s="3243"/>
    </row>
    <row r="17" spans="1:4" ht="144" customHeight="1">
      <c r="A17" s="3243" t="s">
        <v>942</v>
      </c>
      <c r="B17" s="3243"/>
      <c r="C17" s="3243"/>
      <c r="D17" s="3243"/>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4"/>
      <c r="C21" s="3244"/>
      <c r="D21" s="3244"/>
    </row>
    <row r="22" spans="1:4" ht="18.75" customHeight="1">
      <c r="A22" s="3245" t="s">
        <v>943</v>
      </c>
      <c r="B22" s="3245"/>
      <c r="C22" s="3245"/>
      <c r="D22" s="3245"/>
    </row>
    <row r="23" spans="1:4">
      <c r="A23" s="1414"/>
      <c r="B23" s="459"/>
      <c r="C23" s="459"/>
      <c r="D23" s="459"/>
    </row>
    <row r="24" spans="1:4">
      <c r="A24" s="1414"/>
      <c r="B24" s="459"/>
      <c r="C24" s="459"/>
      <c r="D24" s="459"/>
    </row>
    <row r="25" spans="1:4" ht="18.75">
      <c r="A25" s="1415" t="s">
        <v>944</v>
      </c>
    </row>
    <row r="26" spans="1:4" ht="18">
      <c r="A26" s="1386"/>
    </row>
    <row r="27" spans="1:4" ht="18.75">
      <c r="A27" s="1386" t="s">
        <v>945</v>
      </c>
    </row>
    <row r="30" spans="1:4" ht="18.75">
      <c r="D30" s="1415" t="s">
        <v>946</v>
      </c>
    </row>
    <row r="31" spans="1:4" ht="13.5" customHeight="1">
      <c r="C31" s="3242">
        <v>42551</v>
      </c>
      <c r="D31" s="32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948</v>
      </c>
    </row>
    <row r="3" spans="1:7">
      <c r="A3" s="1419" t="s">
        <v>55</v>
      </c>
      <c r="B3" s="1404" t="s">
        <v>949</v>
      </c>
      <c r="G3" s="1420"/>
    </row>
    <row r="4" spans="1:7">
      <c r="G4" s="1420"/>
    </row>
    <row r="5" spans="1:7">
      <c r="A5" s="1422" t="s">
        <v>46</v>
      </c>
      <c r="B5" s="1404" t="s">
        <v>950</v>
      </c>
      <c r="G5" s="1420"/>
    </row>
    <row r="6" spans="1:7">
      <c r="G6" s="1420"/>
    </row>
    <row r="7" spans="1:7">
      <c r="A7" s="1423" t="s">
        <v>108</v>
      </c>
      <c r="B7" s="1404" t="s">
        <v>951</v>
      </c>
      <c r="G7" s="1420"/>
    </row>
    <row r="8" spans="1:7">
      <c r="G8" s="1420"/>
    </row>
    <row r="9" spans="1:7">
      <c r="A9" s="1424" t="s">
        <v>47</v>
      </c>
      <c r="B9" s="1404" t="s">
        <v>952</v>
      </c>
    </row>
    <row r="11" spans="1:7">
      <c r="A11" s="1425" t="s">
        <v>48</v>
      </c>
      <c r="B11" s="1426" t="s">
        <v>45</v>
      </c>
    </row>
    <row r="13" spans="1:7">
      <c r="A13" s="1427" t="s">
        <v>953</v>
      </c>
    </row>
    <row r="15" spans="1:7" ht="13.5">
      <c r="A15" s="3251" t="s">
        <v>954</v>
      </c>
      <c r="B15" s="3246" t="s">
        <v>109</v>
      </c>
      <c r="C15" s="3247"/>
    </row>
    <row r="16" spans="1:7" ht="13.5">
      <c r="A16" s="3252"/>
      <c r="B16" s="3246" t="s">
        <v>42</v>
      </c>
      <c r="C16" s="3247"/>
    </row>
    <row r="17" spans="1:3" ht="13.5">
      <c r="A17" s="3252"/>
      <c r="B17" s="3249" t="s">
        <v>955</v>
      </c>
      <c r="C17" s="1428" t="s">
        <v>954</v>
      </c>
    </row>
    <row r="18" spans="1:3" ht="13.5">
      <c r="A18" s="3252"/>
      <c r="B18" s="3249"/>
      <c r="C18" s="1428" t="s">
        <v>956</v>
      </c>
    </row>
    <row r="19" spans="1:3" ht="13.5">
      <c r="A19" s="3252"/>
      <c r="B19" s="3249"/>
      <c r="C19" s="1428" t="s">
        <v>957</v>
      </c>
    </row>
    <row r="20" spans="1:3" ht="13.5">
      <c r="A20" s="3253"/>
      <c r="B20" s="3248" t="s">
        <v>958</v>
      </c>
      <c r="C20" s="3247"/>
    </row>
    <row r="21" spans="1:3" ht="13.5">
      <c r="A21" s="1429" t="s">
        <v>959</v>
      </c>
      <c r="B21" s="1430"/>
      <c r="C21" s="1431"/>
    </row>
    <row r="22" spans="1:3" ht="13.5">
      <c r="A22" s="3250" t="s">
        <v>960</v>
      </c>
      <c r="B22" s="3248" t="s">
        <v>961</v>
      </c>
      <c r="C22" s="3247"/>
    </row>
    <row r="23" spans="1:3" ht="13.5">
      <c r="A23" s="3250"/>
      <c r="B23" s="3248" t="s">
        <v>962</v>
      </c>
      <c r="C23" s="3247"/>
    </row>
    <row r="24" spans="1:3" ht="13.5">
      <c r="A24" s="3250"/>
      <c r="B24" s="3248" t="s">
        <v>963</v>
      </c>
      <c r="C24" s="3247"/>
    </row>
    <row r="25" spans="1:3" ht="13.5">
      <c r="A25" s="3250"/>
      <c r="B25" s="3249" t="s">
        <v>964</v>
      </c>
      <c r="C25" s="1428" t="s">
        <v>965</v>
      </c>
    </row>
    <row r="26" spans="1:3" ht="13.5">
      <c r="A26" s="3250"/>
      <c r="B26" s="3249"/>
      <c r="C26" s="1428" t="s">
        <v>966</v>
      </c>
    </row>
    <row r="27" spans="1:3" ht="13.5">
      <c r="A27" s="3250"/>
      <c r="B27" s="3249"/>
      <c r="C27" s="1428" t="s">
        <v>967</v>
      </c>
    </row>
    <row r="28" spans="1:3" ht="13.5">
      <c r="A28" s="3250"/>
      <c r="B28" s="3249"/>
      <c r="C28" s="1428" t="s">
        <v>968</v>
      </c>
    </row>
    <row r="29" spans="1:3" ht="13.5">
      <c r="A29" s="3250"/>
      <c r="B29" s="3249"/>
      <c r="C29" s="1428" t="s">
        <v>969</v>
      </c>
    </row>
    <row r="30" spans="1:3" ht="13.5">
      <c r="A30" s="3250"/>
      <c r="B30" s="3249"/>
      <c r="C30" s="1428" t="s">
        <v>970</v>
      </c>
    </row>
    <row r="31" spans="1:3" ht="13.5">
      <c r="A31" s="3250"/>
      <c r="B31" s="3249"/>
      <c r="C31" s="1428" t="s">
        <v>971</v>
      </c>
    </row>
    <row r="32" spans="1:3" ht="13.5">
      <c r="A32" s="3250"/>
      <c r="B32" s="3249"/>
      <c r="C32" s="1428" t="s">
        <v>972</v>
      </c>
    </row>
    <row r="33" spans="1:3" ht="13.5">
      <c r="A33" s="3250"/>
      <c r="B33" s="3249"/>
      <c r="C33" s="1428" t="s">
        <v>973</v>
      </c>
    </row>
    <row r="34" spans="1:3">
      <c r="A34" s="1432" t="s">
        <v>49</v>
      </c>
    </row>
    <row r="37" spans="1:3">
      <c r="A37" s="1432" t="s">
        <v>974</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2133</v>
      </c>
      <c r="B2" s="2156">
        <f ca="1">TODAY()</f>
        <v>45614</v>
      </c>
      <c r="C2" s="2157" t="s">
        <v>2134</v>
      </c>
      <c r="D2" s="2157"/>
      <c r="E2" s="2157"/>
      <c r="F2" s="2153"/>
      <c r="G2" s="2153"/>
      <c r="H2" s="2153"/>
    </row>
    <row r="3" spans="1:8" ht="24" customHeight="1">
      <c r="A3" s="2158" t="s">
        <v>2135</v>
      </c>
      <c r="B3" s="1218" t="s">
        <v>2136</v>
      </c>
      <c r="C3" s="1218" t="s">
        <v>2137</v>
      </c>
      <c r="D3" s="2159" t="s">
        <v>2138</v>
      </c>
      <c r="E3" s="2160" t="s">
        <v>2139</v>
      </c>
      <c r="F3" s="1218" t="s">
        <v>2140</v>
      </c>
      <c r="G3" s="1218" t="s">
        <v>2137</v>
      </c>
      <c r="H3" s="2159" t="s">
        <v>2141</v>
      </c>
    </row>
    <row r="4" spans="1:8" ht="24" customHeight="1">
      <c r="A4" s="1218" t="s">
        <v>2142</v>
      </c>
      <c r="B4" s="1218">
        <f ca="1">IF(C4&lt;B2,"已过期",1119970066)</f>
        <v>1119970066</v>
      </c>
      <c r="C4" s="2161">
        <v>45937</v>
      </c>
      <c r="D4" s="2162" t="str">
        <f ca="1">A4&amp;"（注册号："&amp;B4&amp;"）"</f>
        <v>梁津（注册号：1119970066）</v>
      </c>
      <c r="E4" s="2163" t="s">
        <v>2142</v>
      </c>
      <c r="F4" s="1218">
        <f ca="1">IF(G4&lt;B2,"已过期",96010014)</f>
        <v>96010014</v>
      </c>
      <c r="G4" s="2164">
        <v>47118</v>
      </c>
      <c r="H4" s="2165" t="str">
        <f ca="1">E4&amp;"（注册号："&amp;F4&amp;"）"</f>
        <v>梁津（注册号：96010014）</v>
      </c>
    </row>
    <row r="5" spans="1:8" ht="24" customHeight="1">
      <c r="A5" s="1218" t="s">
        <v>2143</v>
      </c>
      <c r="B5" s="1218">
        <f ca="1">IF(C5&lt;B2,"已过期",1119970111)</f>
        <v>1119970111</v>
      </c>
      <c r="C5" s="2161">
        <v>45937</v>
      </c>
      <c r="D5" s="2162" t="str">
        <f t="shared" ref="D5:D15" ca="1" si="0">A5&amp;"（注册号："&amp;B5&amp;"）"</f>
        <v>叶凌（注册号：1119970111）</v>
      </c>
      <c r="E5" s="2163" t="s">
        <v>2143</v>
      </c>
      <c r="F5" s="1218">
        <f ca="1">IF(G5&lt;B2,"已过期",94010078)</f>
        <v>94010078</v>
      </c>
      <c r="G5" s="2164">
        <v>46387</v>
      </c>
      <c r="H5" s="2165" t="str">
        <f t="shared" ref="H5:H16" ca="1" si="1">E5&amp;"（注册号："&amp;F5&amp;"）"</f>
        <v>叶凌（注册号：94010078）</v>
      </c>
    </row>
    <row r="6" spans="1:8" ht="24" customHeight="1">
      <c r="A6" s="1218" t="s">
        <v>2144</v>
      </c>
      <c r="B6" s="1218" t="str">
        <f ca="1">IF(C6&lt;B2,"已过期",1120050019)</f>
        <v>已过期</v>
      </c>
      <c r="C6" s="2161">
        <v>45410</v>
      </c>
      <c r="D6" s="2162" t="str">
        <f t="shared" ca="1" si="0"/>
        <v>王鹏（注册号：已过期）</v>
      </c>
      <c r="E6" s="2163" t="s">
        <v>2144</v>
      </c>
      <c r="F6" s="1218">
        <f ca="1">IF(G6&lt;B2,"已过期",2002110030)</f>
        <v>2002110030</v>
      </c>
      <c r="G6" s="2164">
        <v>46387</v>
      </c>
      <c r="H6" s="2165" t="str">
        <f t="shared" ca="1" si="1"/>
        <v>王鹏（注册号：2002110030）</v>
      </c>
    </row>
    <row r="7" spans="1:8" ht="24" customHeight="1">
      <c r="A7" s="1218" t="s">
        <v>2145</v>
      </c>
      <c r="B7" s="1218">
        <f ca="1">IF(C7&lt;B2,"已过期",1120000080)</f>
        <v>1120000080</v>
      </c>
      <c r="C7" s="2161">
        <v>45937</v>
      </c>
      <c r="D7" s="2162" t="str">
        <f t="shared" ca="1" si="0"/>
        <v>欧红伟（注册号：1120000080）</v>
      </c>
      <c r="E7" s="2163" t="s">
        <v>2145</v>
      </c>
      <c r="F7" s="1218">
        <f ca="1">IF(G7&lt;B2,"已过期",2000110082)</f>
        <v>2000110082</v>
      </c>
      <c r="G7" s="2164">
        <v>46387</v>
      </c>
      <c r="H7" s="2165" t="str">
        <f t="shared" ca="1" si="1"/>
        <v>欧红伟（注册号：2000110082）</v>
      </c>
    </row>
    <row r="8" spans="1:8" ht="24" customHeight="1">
      <c r="A8" s="1218" t="s">
        <v>2146</v>
      </c>
      <c r="B8" s="1218">
        <f ca="1">IF(C8&lt;B2,"已过期",1419970001)</f>
        <v>1419970001</v>
      </c>
      <c r="C8" s="2161">
        <v>45937</v>
      </c>
      <c r="D8" s="2162" t="str">
        <f t="shared" ca="1" si="0"/>
        <v>吴薇（注册号：1419970001）</v>
      </c>
      <c r="E8" s="2163" t="s">
        <v>2146</v>
      </c>
      <c r="F8" s="1218">
        <f ca="1">IF(G8&lt;B2,"已过期",2002110125)</f>
        <v>2002110125</v>
      </c>
      <c r="G8" s="2164">
        <v>47118</v>
      </c>
      <c r="H8" s="2165" t="str">
        <f t="shared" ca="1" si="1"/>
        <v>吴薇（注册号：2002110125）</v>
      </c>
    </row>
    <row r="9" spans="1:8" ht="24" customHeight="1">
      <c r="A9" s="1218" t="s">
        <v>2147</v>
      </c>
      <c r="B9" s="1218" t="str">
        <f ca="1">IF(C9&lt;B2,"已过期",1120060040)</f>
        <v>已过期</v>
      </c>
      <c r="C9" s="2166">
        <v>45592</v>
      </c>
      <c r="D9" s="2162" t="str">
        <f t="shared" ca="1" si="0"/>
        <v>陈颖（注册号：已过期）</v>
      </c>
      <c r="E9" s="2163" t="s">
        <v>2147</v>
      </c>
      <c r="F9" s="1218">
        <f ca="1">IF(G9&lt;B2,"已过期",2004110096)</f>
        <v>2004110096</v>
      </c>
      <c r="G9" s="2164">
        <v>47118</v>
      </c>
      <c r="H9" s="2165" t="str">
        <f t="shared" ca="1" si="1"/>
        <v>陈颖（注册号：2004110096）</v>
      </c>
    </row>
    <row r="10" spans="1:8" ht="24" customHeight="1">
      <c r="A10" s="1218" t="s">
        <v>2148</v>
      </c>
      <c r="B10" s="1218">
        <f ca="1">IF(C10&lt;B2,"已过期",1120100036)</f>
        <v>1120100036</v>
      </c>
      <c r="C10" s="2166">
        <v>45752</v>
      </c>
      <c r="D10" s="2162" t="str">
        <f t="shared" ca="1" si="0"/>
        <v>崔锴（注册号：1120100036）</v>
      </c>
      <c r="E10" s="2163" t="s">
        <v>2148</v>
      </c>
      <c r="F10" s="1218">
        <f ca="1">IF(G10&lt;B2,"已过期",2010110070)</f>
        <v>2010110070</v>
      </c>
      <c r="G10" s="2164">
        <v>47907</v>
      </c>
      <c r="H10" s="2165" t="str">
        <f t="shared" ca="1" si="1"/>
        <v>崔锴（注册号：2010110070）</v>
      </c>
    </row>
    <row r="11" spans="1:8" ht="24" customHeight="1">
      <c r="A11" s="1218" t="s">
        <v>2149</v>
      </c>
      <c r="B11" s="1218">
        <f ca="1">IF(C11&lt;B2,"已过期",1120070131)</f>
        <v>1120070131</v>
      </c>
      <c r="C11" s="2161">
        <v>45937</v>
      </c>
      <c r="D11" s="2162" t="str">
        <f t="shared" ca="1" si="0"/>
        <v>郑燚（注册号：1120070131）</v>
      </c>
      <c r="E11" s="2163" t="s">
        <v>2149</v>
      </c>
      <c r="F11" s="1218">
        <f ca="1">IF(G11&lt;B2,"已过期",2014110011)</f>
        <v>2014110011</v>
      </c>
      <c r="G11" s="2164">
        <v>49302</v>
      </c>
      <c r="H11" s="2165" t="str">
        <f t="shared" ca="1" si="1"/>
        <v>郑燚（注册号：2014110011）</v>
      </c>
    </row>
    <row r="12" spans="1:8" ht="24" customHeight="1">
      <c r="A12" s="1218" t="s">
        <v>2150</v>
      </c>
      <c r="B12" s="1218">
        <f ca="1">IF(C12&lt;B2,"已过期",1120040230)</f>
        <v>1120040230</v>
      </c>
      <c r="C12" s="2166">
        <v>45937</v>
      </c>
      <c r="D12" s="2162" t="str">
        <f t="shared" ca="1" si="0"/>
        <v>苏海（注册号：1120040230）</v>
      </c>
      <c r="E12" s="2163" t="s">
        <v>2150</v>
      </c>
      <c r="F12" s="1218">
        <f ca="1">IF(G12&lt;B2,"已过期",98030020)</f>
        <v>98030020</v>
      </c>
      <c r="G12" s="2164">
        <v>47118</v>
      </c>
      <c r="H12" s="2165" t="str">
        <f t="shared" ca="1" si="1"/>
        <v>苏海（注册号：98030020）</v>
      </c>
    </row>
    <row r="13" spans="1:8" ht="24" customHeight="1">
      <c r="A13" s="1218" t="s">
        <v>2151</v>
      </c>
      <c r="B13" s="1218" t="str">
        <f ca="1">IF(C13&lt;B2,"已过期",1120020033)</f>
        <v>已过期</v>
      </c>
      <c r="C13" s="2161">
        <v>45375</v>
      </c>
      <c r="D13" s="2162" t="str">
        <f t="shared" ca="1" si="0"/>
        <v>刘敬东（注册号：已过期）</v>
      </c>
      <c r="E13" s="2163" t="s">
        <v>2151</v>
      </c>
      <c r="F13" s="1218">
        <f ca="1">IF(G13&lt;B2,"已过期",2000110137)</f>
        <v>2000110137</v>
      </c>
      <c r="G13" s="2164">
        <v>46387</v>
      </c>
      <c r="H13" s="2165" t="str">
        <f t="shared" ca="1" si="1"/>
        <v>刘敬东（注册号：2000110137）</v>
      </c>
    </row>
    <row r="14" spans="1:8" ht="24" customHeight="1">
      <c r="A14" s="1218" t="s">
        <v>2152</v>
      </c>
      <c r="B14" s="1218" t="str">
        <f ca="1">IF(C14&lt;B2,"已过期",1119980106)</f>
        <v>已过期</v>
      </c>
      <c r="C14" s="2166">
        <v>44969</v>
      </c>
      <c r="D14" s="2162" t="str">
        <f t="shared" ca="1" si="0"/>
        <v>刘俊财（注册号：已过期）</v>
      </c>
      <c r="E14" s="2163" t="s">
        <v>2152</v>
      </c>
      <c r="F14" s="1218">
        <f ca="1">IF(G14&lt;B2,"已过期",96010063)</f>
        <v>96010063</v>
      </c>
      <c r="G14" s="2164">
        <v>47483</v>
      </c>
      <c r="H14" s="2165" t="str">
        <f t="shared" ca="1" si="1"/>
        <v>刘俊财（注册号：96010063）</v>
      </c>
    </row>
    <row r="15" spans="1:8" ht="24" customHeight="1">
      <c r="A15" s="1218" t="s">
        <v>2433</v>
      </c>
      <c r="B15" s="1218">
        <v>1120210056</v>
      </c>
      <c r="C15" s="2166">
        <v>45410</v>
      </c>
      <c r="D15" s="2162" t="str">
        <f t="shared" si="0"/>
        <v>宁小鳗（注册号：1120210056）</v>
      </c>
      <c r="E15" s="2163" t="s">
        <v>2153</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54" t="s">
        <v>2154</v>
      </c>
      <c r="B17" s="3254"/>
      <c r="C17" s="3254"/>
      <c r="D17" s="3254"/>
      <c r="E17" s="3254"/>
      <c r="F17" s="3254"/>
      <c r="G17" s="3254"/>
      <c r="H17" s="3254"/>
    </row>
    <row r="18" spans="1:8" ht="24" customHeight="1">
      <c r="A18" s="3255" t="s">
        <v>2155</v>
      </c>
      <c r="B18" s="3255"/>
      <c r="C18" s="3255"/>
      <c r="D18" s="2159"/>
      <c r="E18" s="3256" t="s">
        <v>2156</v>
      </c>
      <c r="F18" s="3255"/>
      <c r="G18" s="3255"/>
    </row>
    <row r="19" spans="1:8" s="2169" customFormat="1" ht="24" customHeight="1">
      <c r="A19" s="2168" t="s">
        <v>2157</v>
      </c>
      <c r="B19" s="1218" t="s">
        <v>2158</v>
      </c>
      <c r="C19" s="1218" t="s">
        <v>2137</v>
      </c>
      <c r="D19" s="2159"/>
      <c r="E19" s="2163" t="s">
        <v>2157</v>
      </c>
      <c r="F19" s="1218" t="s">
        <v>2158</v>
      </c>
      <c r="G19" s="1218" t="s">
        <v>2137</v>
      </c>
    </row>
    <row r="20" spans="1:8" s="2169" customFormat="1" ht="24" customHeight="1">
      <c r="A20" s="2170" t="s">
        <v>2159</v>
      </c>
      <c r="B20" s="2170" t="s">
        <v>2160</v>
      </c>
      <c r="C20" s="2164">
        <v>45898</v>
      </c>
      <c r="D20" s="2171"/>
      <c r="E20" s="2172" t="s">
        <v>2161</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面积指标</vt:lpstr>
      <vt:lpstr>分摊土地</vt:lpstr>
      <vt:lpstr>营业收入</vt:lpstr>
      <vt:lpstr>出租率及营业额</vt:lpstr>
      <vt:lpstr>数据-取费表</vt:lpstr>
      <vt:lpstr>估价对象房地状况</vt:lpstr>
      <vt:lpstr>系统读取表</vt:lpstr>
      <vt:lpstr>拆分结果</vt:lpstr>
      <vt:lpstr>结果表</vt:lpstr>
      <vt:lpstr>成本法</vt:lpstr>
      <vt:lpstr>成本法 (元)</vt:lpstr>
      <vt:lpstr>假设开发法</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2024-11-18T09:09:02Z</dcterms:modified>
</cp:coreProperties>
</file>