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营业收入" sheetId="85"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土地比较法-住宅、综合" sheetId="39"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商业租金" sheetId="84" r:id="rId49"/>
    <sheet name="Sheet1" sheetId="83" r:id="rId50"/>
  </sheets>
  <externalReferences>
    <externalReference r:id="rId51"/>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5" hidden="1">分摊土地!$I$2:$N$345</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7">'[3]数据-汇总表'!$C$17:$C$26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I22" i="68" l="1"/>
  <c r="I21" i="68"/>
  <c r="I20" i="68"/>
  <c r="B21" i="1" l="1"/>
  <c r="T33" i="1" l="1"/>
  <c r="K28" i="1"/>
  <c r="S28" i="1"/>
  <c r="S24" i="1"/>
  <c r="S25" i="1"/>
  <c r="S26" i="1"/>
  <c r="S27" i="1"/>
  <c r="S23" i="1"/>
  <c r="V23" i="1" s="1"/>
  <c r="T28" i="1"/>
  <c r="U28" i="1" s="1"/>
  <c r="T27" i="1"/>
  <c r="U27" i="1" s="1"/>
  <c r="C7" i="85"/>
  <c r="C6" i="85"/>
  <c r="C5" i="85"/>
  <c r="C4" i="85"/>
  <c r="J49" i="15"/>
  <c r="U25" i="1"/>
  <c r="U26" i="1"/>
  <c r="U29" i="1"/>
  <c r="U24" i="1"/>
  <c r="N6" i="1"/>
  <c r="Y6" i="1" s="1"/>
  <c r="V25" i="1" l="1"/>
  <c r="V24" i="1"/>
  <c r="V28" i="1"/>
  <c r="V27" i="1"/>
  <c r="V26" i="1"/>
  <c r="M28" i="1"/>
  <c r="F21" i="82" l="1"/>
  <c r="D21" i="82"/>
  <c r="E426" i="80"/>
  <c r="E427" i="80" s="1"/>
  <c r="D426" i="80"/>
  <c r="D427" i="80" s="1"/>
  <c r="M344" i="80"/>
  <c r="F20" i="82" s="1"/>
  <c r="F22" i="82" s="1"/>
  <c r="L344" i="80"/>
  <c r="D20" i="82" s="1"/>
  <c r="M343" i="80"/>
  <c r="L343" i="80"/>
  <c r="J28" i="82"/>
  <c r="A3" i="3" s="1"/>
  <c r="L342" i="80"/>
  <c r="S33" i="1" l="1"/>
  <c r="W33" i="1" s="1"/>
  <c r="M13" i="3"/>
  <c r="J22" i="68" s="1"/>
  <c r="K22" i="68" s="1"/>
  <c r="S29" i="1"/>
  <c r="K13" i="3"/>
  <c r="J21" i="68" s="1"/>
  <c r="K21" i="68" s="1"/>
  <c r="L345" i="80"/>
  <c r="M345" i="80"/>
  <c r="F6" i="82"/>
  <c r="D6" i="82"/>
  <c r="F5" i="82"/>
  <c r="D5" i="82"/>
  <c r="J12" i="82"/>
  <c r="U33" i="1" l="1"/>
  <c r="V33" i="1" s="1"/>
  <c r="G19" i="6"/>
  <c r="E57" i="39"/>
  <c r="S30" i="1"/>
  <c r="S34" i="1" s="1"/>
  <c r="V29" i="1"/>
  <c r="V30" i="1" s="1"/>
  <c r="F7" i="82"/>
  <c r="E425" i="80"/>
  <c r="D425" i="80"/>
  <c r="D424" i="80"/>
  <c r="E424" i="80"/>
  <c r="M342" i="80"/>
  <c r="U30" i="1" l="1"/>
  <c r="V34" i="1"/>
  <c r="U34" i="1" s="1"/>
  <c r="E771" i="80"/>
  <c r="G766" i="80"/>
  <c r="F43" i="82" l="1"/>
  <c r="F42" i="82"/>
  <c r="B42" i="82"/>
  <c r="F41" i="82"/>
  <c r="B41" i="82"/>
  <c r="F40" i="82"/>
  <c r="B40" i="82"/>
  <c r="F39" i="82"/>
  <c r="B39" i="82"/>
  <c r="F38" i="82"/>
  <c r="B38" i="82"/>
  <c r="F37" i="82"/>
  <c r="B37" i="82"/>
  <c r="F36" i="82"/>
  <c r="B36" i="82"/>
  <c r="E29" i="82"/>
  <c r="I28" i="82"/>
  <c r="N28" i="82"/>
  <c r="E22" i="82"/>
  <c r="D26" i="82"/>
  <c r="F34" i="82"/>
  <c r="E14" i="82"/>
  <c r="I12" i="82"/>
  <c r="N12" i="82"/>
  <c r="E7" i="82"/>
  <c r="B35" i="82"/>
  <c r="B34" i="82"/>
  <c r="D3" i="4"/>
  <c r="K27" i="1" l="1"/>
  <c r="I13" i="3"/>
  <c r="J20" i="68" s="1"/>
  <c r="F19" i="6"/>
  <c r="F35" i="82"/>
  <c r="F44" i="82" s="1"/>
  <c r="N30" i="82"/>
  <c r="B44" i="82"/>
  <c r="D7" i="82"/>
  <c r="M12" i="82" s="1"/>
  <c r="D22" i="82"/>
  <c r="M28" i="82" s="1"/>
  <c r="D29" i="82"/>
  <c r="D11" i="82"/>
  <c r="G14" i="73"/>
  <c r="F14" i="73"/>
  <c r="E14" i="73"/>
  <c r="J23" i="68" l="1"/>
  <c r="K20" i="68"/>
  <c r="K23" i="68" s="1"/>
  <c r="C6" i="68" s="1"/>
  <c r="M27" i="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G15" i="73"/>
  <c r="F15" i="73"/>
  <c r="E15" i="73"/>
  <c r="G16" i="73"/>
  <c r="F16" i="73"/>
  <c r="E16" i="73"/>
  <c r="M31" i="1" l="1"/>
  <c r="L25" i="1" s="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F38" i="71" s="1"/>
  <c r="F39" i="71" s="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26" i="71" s="1"/>
  <c r="B30" i="71"/>
  <c r="B31" i="71" s="1"/>
  <c r="B32" i="71" s="1"/>
  <c r="S32" i="71" s="1"/>
  <c r="P28" i="71"/>
  <c r="E28" i="71" s="1"/>
  <c r="U68" i="71"/>
  <c r="Q28" i="71"/>
  <c r="F28" i="71" s="1"/>
  <c r="C63" i="71"/>
  <c r="C64" i="71" s="1"/>
  <c r="D62" i="71"/>
  <c r="T68" i="71"/>
  <c r="D68" i="71"/>
  <c r="C67" i="71"/>
  <c r="D67" i="71" s="1"/>
  <c r="C87" i="71"/>
  <c r="C86" i="71" s="1"/>
  <c r="D86" i="71" s="1"/>
  <c r="F27" i="7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W18" i="36"/>
  <c r="U21" i="37"/>
  <c r="U21" i="34"/>
  <c r="J21" i="37"/>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F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J38" i="37" s="1"/>
  <c r="AC38" i="37" s="1"/>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J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AC33" i="36" s="1"/>
  <c r="B91" i="36"/>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B55" i="36"/>
  <c r="F11"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J22" i="35"/>
  <c r="AC22" i="35" s="1"/>
  <c r="B101" i="35"/>
  <c r="B99" i="35"/>
  <c r="H35" i="35" s="1"/>
  <c r="B97" i="35"/>
  <c r="H34" i="35" s="1"/>
  <c r="B77" i="35"/>
  <c r="F25" i="35" s="1"/>
  <c r="S25" i="35" s="1"/>
  <c r="B75" i="35"/>
  <c r="J24" i="35" s="1"/>
  <c r="AC24" i="35" s="1"/>
  <c r="B73" i="35"/>
  <c r="B57" i="35"/>
  <c r="F11" i="35" s="1"/>
  <c r="S11" i="35" s="1"/>
  <c r="B61" i="35"/>
  <c r="F13" i="35" s="1"/>
  <c r="B59" i="35"/>
  <c r="F12" i="35" s="1"/>
  <c r="B131" i="34"/>
  <c r="H47" i="34" s="1"/>
  <c r="U47" i="34" s="1"/>
  <c r="B129" i="34"/>
  <c r="B127" i="34"/>
  <c r="H45" i="34" s="1"/>
  <c r="U45" i="34" s="1"/>
  <c r="B99" i="34"/>
  <c r="B97" i="34"/>
  <c r="B95" i="34"/>
  <c r="B93" i="34"/>
  <c r="J29" i="34" s="1"/>
  <c r="B75" i="34"/>
  <c r="B73" i="34"/>
  <c r="B71" i="34"/>
  <c r="B130" i="33"/>
  <c r="B128" i="33"/>
  <c r="B126" i="33"/>
  <c r="B98" i="33"/>
  <c r="F31" i="33" s="1"/>
  <c r="B96" i="33"/>
  <c r="H30" i="33" s="1"/>
  <c r="B94" i="33"/>
  <c r="B74" i="33"/>
  <c r="F14" i="33" s="1"/>
  <c r="S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B96" i="21"/>
  <c r="H30" i="21" s="1"/>
  <c r="AB30" i="21" s="1"/>
  <c r="B94" i="21"/>
  <c r="J29" i="21" s="1"/>
  <c r="B92" i="21"/>
  <c r="B90" i="21"/>
  <c r="J27" i="21" s="1"/>
  <c r="W27" i="21" s="1"/>
  <c r="B74" i="21"/>
  <c r="B72"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F35" i="39"/>
  <c r="AA35" i="39" s="1"/>
  <c r="U30" i="37"/>
  <c r="F29" i="36"/>
  <c r="AA29" i="36" s="1"/>
  <c r="F16" i="36"/>
  <c r="AA16" i="36" s="1"/>
  <c r="W28" i="36"/>
  <c r="H22" i="35"/>
  <c r="AB22" i="35" s="1"/>
  <c r="U31" i="35"/>
  <c r="W22" i="35"/>
  <c r="F36" i="34"/>
  <c r="J35" i="34"/>
  <c r="H39" i="33"/>
  <c r="AB39" i="33" s="1"/>
  <c r="F11" i="40"/>
  <c r="AA11" i="40" s="1"/>
  <c r="H11" i="40"/>
  <c r="AB11" i="40" s="1"/>
  <c r="W8" i="40"/>
  <c r="U9" i="40"/>
  <c r="U34" i="40"/>
  <c r="F42" i="39"/>
  <c r="AA42" i="39" s="1"/>
  <c r="H40" i="39"/>
  <c r="AB40" i="39" s="1"/>
  <c r="H34" i="39"/>
  <c r="U34" i="39" s="1"/>
  <c r="F31" i="39"/>
  <c r="AA31" i="39" s="1"/>
  <c r="H19" i="39"/>
  <c r="AB19" i="39" s="1"/>
  <c r="F19" i="39"/>
  <c r="AA19" i="39" s="1"/>
  <c r="J23" i="40"/>
  <c r="AC23" i="40" s="1"/>
  <c r="F21" i="40"/>
  <c r="AA21" i="40" s="1"/>
  <c r="J21" i="40"/>
  <c r="W21" i="40" s="1"/>
  <c r="H42" i="39"/>
  <c r="AB42" i="39" s="1"/>
  <c r="J34" i="39"/>
  <c r="AC34" i="39" s="1"/>
  <c r="J31" i="39"/>
  <c r="J19" i="39"/>
  <c r="AC19" i="39" s="1"/>
  <c r="F11" i="21"/>
  <c r="S11" i="21" s="1"/>
  <c r="S40" i="21"/>
  <c r="C25" i="39"/>
  <c r="C15" i="39"/>
  <c r="H32" i="33"/>
  <c r="AB32" i="33" s="1"/>
  <c r="H11" i="21"/>
  <c r="U11" i="21" s="1"/>
  <c r="J11" i="21"/>
  <c r="W11" i="21" s="1"/>
  <c r="H37" i="40"/>
  <c r="U37" i="40" s="1"/>
  <c r="H36" i="40"/>
  <c r="AB36" i="40" s="1"/>
  <c r="F35" i="40"/>
  <c r="AA35" i="40" s="1"/>
  <c r="H23" i="40"/>
  <c r="AB23" i="40" s="1"/>
  <c r="H17" i="40"/>
  <c r="U17" i="40" s="1"/>
  <c r="J15" i="40"/>
  <c r="W15" i="40" s="1"/>
  <c r="J11" i="40"/>
  <c r="W11" i="40" s="1"/>
  <c r="U30" i="36"/>
  <c r="J30" i="35"/>
  <c r="W30" i="35" s="1"/>
  <c r="H30" i="35"/>
  <c r="AB30" i="35" s="1"/>
  <c r="F22" i="35"/>
  <c r="AA22" i="35" s="1"/>
  <c r="H10" i="35"/>
  <c r="U10" i="35" s="1"/>
  <c r="H16" i="36"/>
  <c r="AB16" i="36" s="1"/>
  <c r="F85" i="36"/>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F41" i="33"/>
  <c r="S38" i="33"/>
  <c r="E113" i="33"/>
  <c r="F113" i="33" s="1"/>
  <c r="G113" i="33" s="1"/>
  <c r="H113" i="33" s="1"/>
  <c r="I113" i="33" s="1"/>
  <c r="J113" i="33" s="1"/>
  <c r="K113" i="33" s="1"/>
  <c r="L113" i="33" s="1"/>
  <c r="M113" i="33" s="1"/>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37" i="33"/>
  <c r="AB37" i="33"/>
  <c r="H15" i="33"/>
  <c r="AB15" i="33" s="1"/>
  <c r="H11" i="33"/>
  <c r="AB11" i="33" s="1"/>
  <c r="F28" i="40"/>
  <c r="AA28" i="40"/>
  <c r="S42" i="34"/>
  <c r="AC38" i="34"/>
  <c r="J37" i="34"/>
  <c r="AC37" i="34" s="1"/>
  <c r="J11" i="33"/>
  <c r="W11" i="33" s="1"/>
  <c r="S28" i="34"/>
  <c r="J42" i="21"/>
  <c r="AC42" i="21" s="1"/>
  <c r="H42" i="21"/>
  <c r="U42" i="21" s="1"/>
  <c r="J44" i="34"/>
  <c r="AC44" i="34" s="1"/>
  <c r="F44" i="34"/>
  <c r="S44" i="34" s="1"/>
  <c r="J10" i="35"/>
  <c r="AC10" i="35" s="1"/>
  <c r="H14" i="21"/>
  <c r="U14" i="21" s="1"/>
  <c r="H28" i="21"/>
  <c r="AB28" i="21" s="1"/>
  <c r="U30" i="21"/>
  <c r="F30" i="21"/>
  <c r="S30" i="21" s="1"/>
  <c r="J30" i="21"/>
  <c r="AC30" i="21" s="1"/>
  <c r="H46" i="21"/>
  <c r="U46" i="21" s="1"/>
  <c r="J46" i="21"/>
  <c r="F46" i="21"/>
  <c r="AA46" i="21" s="1"/>
  <c r="H26" i="33"/>
  <c r="U26" i="33" s="1"/>
  <c r="J28" i="33"/>
  <c r="W28" i="33" s="1"/>
  <c r="F33" i="35"/>
  <c r="S33" i="35" s="1"/>
  <c r="J33" i="35"/>
  <c r="AC33" i="35" s="1"/>
  <c r="F30" i="35"/>
  <c r="S30" i="35" s="1"/>
  <c r="F89" i="35"/>
  <c r="G89" i="35" s="1"/>
  <c r="H89" i="35" s="1"/>
  <c r="I89" i="35" s="1"/>
  <c r="J89" i="35" s="1"/>
  <c r="K89" i="35" s="1"/>
  <c r="L89" i="35" s="1"/>
  <c r="M89" i="35" s="1"/>
  <c r="H10" i="36"/>
  <c r="AB10" i="36" s="1"/>
  <c r="J14" i="36"/>
  <c r="W14" i="36" s="1"/>
  <c r="H14" i="36"/>
  <c r="U14" i="36" s="1"/>
  <c r="F28" i="36"/>
  <c r="AA28" i="36" s="1"/>
  <c r="H27" i="21"/>
  <c r="AB27" i="21" s="1"/>
  <c r="F27" i="21"/>
  <c r="AA27" i="21" s="1"/>
  <c r="H29" i="21"/>
  <c r="U29" i="21" s="1"/>
  <c r="F31" i="21"/>
  <c r="S31" i="21" s="1"/>
  <c r="F27" i="33"/>
  <c r="AA27" i="33" s="1"/>
  <c r="F13" i="33"/>
  <c r="AA13" i="33" s="1"/>
  <c r="S13" i="33"/>
  <c r="J29" i="33"/>
  <c r="H29" i="33"/>
  <c r="U29" i="33" s="1"/>
  <c r="F29" i="33"/>
  <c r="S29" i="33" s="1"/>
  <c r="J31" i="33"/>
  <c r="W31" i="33" s="1"/>
  <c r="H31" i="33"/>
  <c r="H45" i="33"/>
  <c r="U45" i="33" s="1"/>
  <c r="J45" i="33"/>
  <c r="W45" i="33" s="1"/>
  <c r="F45" i="33"/>
  <c r="AA45" i="33" s="1"/>
  <c r="J14" i="34"/>
  <c r="W14" i="34" s="1"/>
  <c r="F14" i="34"/>
  <c r="S14" i="34" s="1"/>
  <c r="H14" i="34"/>
  <c r="J30" i="34"/>
  <c r="H32" i="34"/>
  <c r="U32" i="34" s="1"/>
  <c r="F32" i="34"/>
  <c r="J32" i="34"/>
  <c r="W32" i="34" s="1"/>
  <c r="H46" i="34"/>
  <c r="AB46" i="34" s="1"/>
  <c r="H11" i="35"/>
  <c r="AB11" i="35" s="1"/>
  <c r="J11" i="35"/>
  <c r="W11" i="35" s="1"/>
  <c r="J26" i="36"/>
  <c r="H28" i="36"/>
  <c r="U28" i="36" s="1"/>
  <c r="J32" i="36"/>
  <c r="W32" i="36" s="1"/>
  <c r="J11" i="36"/>
  <c r="AC11" i="36" s="1"/>
  <c r="H11" i="36"/>
  <c r="U11"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AB37" i="37" s="1"/>
  <c r="J40" i="37"/>
  <c r="AC40" i="37"/>
  <c r="F40" i="37"/>
  <c r="AA40" i="37" s="1"/>
  <c r="H14" i="33"/>
  <c r="U14" i="33" s="1"/>
  <c r="J14" i="33"/>
  <c r="F30" i="33"/>
  <c r="J30" i="33"/>
  <c r="J46" i="33"/>
  <c r="AC46" i="33" s="1"/>
  <c r="F46" i="33"/>
  <c r="AA46" i="33" s="1"/>
  <c r="H46" i="33"/>
  <c r="F29" i="34"/>
  <c r="S29" i="34" s="1"/>
  <c r="H29" i="34"/>
  <c r="AB29" i="34" s="1"/>
  <c r="F31" i="34"/>
  <c r="S31" i="34" s="1"/>
  <c r="J45" i="34"/>
  <c r="W45" i="34" s="1"/>
  <c r="F45" i="34"/>
  <c r="S45" i="34" s="1"/>
  <c r="F47" i="34"/>
  <c r="S47" i="34" s="1"/>
  <c r="J47" i="34"/>
  <c r="AC47" i="34" s="1"/>
  <c r="J13" i="35"/>
  <c r="H13" i="35"/>
  <c r="U13" i="35" s="1"/>
  <c r="J25" i="35"/>
  <c r="W25" i="35" s="1"/>
  <c r="H25" i="35"/>
  <c r="AB25" i="35" s="1"/>
  <c r="J35" i="35"/>
  <c r="AC35" i="35" s="1"/>
  <c r="F35" i="35"/>
  <c r="AA35" i="35" s="1"/>
  <c r="J25" i="36"/>
  <c r="W25" i="36" s="1"/>
  <c r="F25" i="36"/>
  <c r="S25" i="36" s="1"/>
  <c r="H13" i="37"/>
  <c r="AB13" i="37" s="1"/>
  <c r="F13" i="37"/>
  <c r="S13" i="37" s="1"/>
  <c r="J13" i="37"/>
  <c r="W13" i="37" s="1"/>
  <c r="J28" i="37"/>
  <c r="AC28" i="37" s="1"/>
  <c r="H28" i="37"/>
  <c r="H38" i="37"/>
  <c r="AB38" i="37" s="1"/>
  <c r="F38" i="37"/>
  <c r="AA38" i="37" s="1"/>
  <c r="F43" i="39"/>
  <c r="AA43" i="39" s="1"/>
  <c r="H43" i="39"/>
  <c r="F14" i="39"/>
  <c r="AA14" i="39" s="1"/>
  <c r="H14" i="39"/>
  <c r="AB14" i="39"/>
  <c r="H12" i="40"/>
  <c r="AB12" i="40"/>
  <c r="H30" i="40"/>
  <c r="U30" i="40" s="1"/>
  <c r="H33" i="40"/>
  <c r="U33" i="40" s="1"/>
  <c r="J35" i="40"/>
  <c r="AC35" i="40" s="1"/>
  <c r="J37" i="40"/>
  <c r="W37" i="40" s="1"/>
  <c r="H13" i="40"/>
  <c r="U13" i="40" s="1"/>
  <c r="J13" i="40"/>
  <c r="W13" i="40" s="1"/>
  <c r="F13" i="40"/>
  <c r="AA13" i="40" s="1"/>
  <c r="F14" i="37"/>
  <c r="AA14" i="37" s="1"/>
  <c r="F13" i="39"/>
  <c r="AA13" i="39" s="1"/>
  <c r="J13" i="39"/>
  <c r="W13" i="39" s="1"/>
  <c r="H13" i="39"/>
  <c r="AB13" i="39" s="1"/>
  <c r="F14" i="40"/>
  <c r="AA14" i="40" s="1"/>
  <c r="J27" i="37"/>
  <c r="AC27" i="37" s="1"/>
  <c r="J36" i="37"/>
  <c r="AC36" i="37" s="1"/>
  <c r="J10" i="36"/>
  <c r="AC10" i="36" s="1"/>
  <c r="AA14" i="34"/>
  <c r="S45" i="33"/>
  <c r="AB45" i="33"/>
  <c r="F17" i="21"/>
  <c r="AA17" i="21" s="1"/>
  <c r="H17" i="21"/>
  <c r="AB17" i="21" s="1"/>
  <c r="F15" i="21"/>
  <c r="S15" i="21" s="1"/>
  <c r="J41" i="39"/>
  <c r="W41" i="39" s="1"/>
  <c r="G544" i="3"/>
  <c r="G540" i="3"/>
  <c r="G535" i="3"/>
  <c r="G531" i="3"/>
  <c r="G527" i="3"/>
  <c r="G523" i="3"/>
  <c r="G510" i="3"/>
  <c r="G508" i="3"/>
  <c r="G504" i="3"/>
  <c r="G500" i="3"/>
  <c r="G496" i="3"/>
  <c r="G584" i="3"/>
  <c r="G580" i="3"/>
  <c r="G568" i="3"/>
  <c r="G564" i="3"/>
  <c r="G554" i="3"/>
  <c r="BL584" i="3"/>
  <c r="BL576" i="3"/>
  <c r="BL572" i="3"/>
  <c r="BL560" i="3"/>
  <c r="BL554" i="3"/>
  <c r="BL546" i="3"/>
  <c r="BL534" i="3"/>
  <c r="BL530" i="3"/>
  <c r="BL526" i="3"/>
  <c r="BL516" i="3"/>
  <c r="BL512" i="3"/>
  <c r="BL506" i="3"/>
  <c r="BL498" i="3"/>
  <c r="BL494" i="3"/>
  <c r="BL582" i="3"/>
  <c r="BL574" i="3"/>
  <c r="BL570" i="3"/>
  <c r="BL566" i="3"/>
  <c r="BL556" i="3"/>
  <c r="BL552" i="3"/>
  <c r="BL544" i="3"/>
  <c r="BL536" i="3"/>
  <c r="G533" i="3"/>
  <c r="BL532" i="3"/>
  <c r="G529" i="3"/>
  <c r="BL528" i="3"/>
  <c r="G525" i="3"/>
  <c r="BL524" i="3"/>
  <c r="BL514" i="3"/>
  <c r="BL510" i="3"/>
  <c r="BL504" i="3"/>
  <c r="BL496" i="3"/>
  <c r="G493" i="3"/>
  <c r="BA584" i="3"/>
  <c r="AZ584" i="3" s="1"/>
  <c r="BA580" i="3"/>
  <c r="BA578" i="3"/>
  <c r="BA576" i="3"/>
  <c r="BA572" i="3"/>
  <c r="BA570" i="3"/>
  <c r="AZ570" i="3" s="1"/>
  <c r="BA568" i="3"/>
  <c r="BA564" i="3"/>
  <c r="BA562" i="3"/>
  <c r="BA560" i="3"/>
  <c r="BA556" i="3"/>
  <c r="BA554" i="3"/>
  <c r="BA552" i="3"/>
  <c r="BA546" i="3"/>
  <c r="BA544" i="3"/>
  <c r="BA542" i="3"/>
  <c r="BA538" i="3"/>
  <c r="BA536" i="3"/>
  <c r="BA534" i="3"/>
  <c r="BA530" i="3"/>
  <c r="BA528" i="3"/>
  <c r="AZ528" i="3" s="1"/>
  <c r="BA526" i="3"/>
  <c r="AZ526" i="3" s="1"/>
  <c r="BA522" i="3"/>
  <c r="BA520" i="3"/>
  <c r="BA518" i="3"/>
  <c r="BA514" i="3"/>
  <c r="BA512" i="3"/>
  <c r="BA510" i="3"/>
  <c r="BA506" i="3"/>
  <c r="BA504" i="3"/>
  <c r="BA502" i="3"/>
  <c r="BA498" i="3"/>
  <c r="BA496" i="3"/>
  <c r="BA494" i="3"/>
  <c r="AZ494" i="3" s="1"/>
  <c r="BA581" i="3"/>
  <c r="BA579" i="3"/>
  <c r="BA577" i="3"/>
  <c r="BA573" i="3"/>
  <c r="BA571" i="3"/>
  <c r="BA569" i="3"/>
  <c r="BA565" i="3"/>
  <c r="BA563" i="3"/>
  <c r="BA561" i="3"/>
  <c r="BA555" i="3"/>
  <c r="BA553" i="3"/>
  <c r="BA549" i="3"/>
  <c r="BA545" i="3"/>
  <c r="BA543" i="3"/>
  <c r="BA541" i="3"/>
  <c r="BA537" i="3"/>
  <c r="BA535" i="3"/>
  <c r="BA533" i="3"/>
  <c r="BA529" i="3"/>
  <c r="BA527" i="3"/>
  <c r="AZ527" i="3" s="1"/>
  <c r="BA525" i="3"/>
  <c r="BA519" i="3"/>
  <c r="BA517" i="3"/>
  <c r="BA515" i="3"/>
  <c r="BA511" i="3"/>
  <c r="BA507" i="3"/>
  <c r="BA505" i="3"/>
  <c r="BA501" i="3"/>
  <c r="BA499" i="3"/>
  <c r="BA497" i="3"/>
  <c r="BA493" i="3"/>
  <c r="G583" i="3"/>
  <c r="G581" i="3"/>
  <c r="G577" i="3"/>
  <c r="G575" i="3"/>
  <c r="G573" i="3"/>
  <c r="G569" i="3"/>
  <c r="G567" i="3"/>
  <c r="G565" i="3"/>
  <c r="G561" i="3"/>
  <c r="BL558" i="3"/>
  <c r="BA557" i="3"/>
  <c r="AC557" i="3"/>
  <c r="BQ557" i="3"/>
  <c r="BL557" i="3" s="1"/>
  <c r="BQ583" i="3"/>
  <c r="BL583" i="3" s="1"/>
  <c r="BQ581" i="3"/>
  <c r="BL581" i="3" s="1"/>
  <c r="BQ579" i="3"/>
  <c r="BL579" i="3"/>
  <c r="BQ577" i="3"/>
  <c r="BL577" i="3" s="1"/>
  <c r="BQ575" i="3"/>
  <c r="BL575" i="3" s="1"/>
  <c r="BQ573" i="3"/>
  <c r="BQ571" i="3"/>
  <c r="BL571" i="3" s="1"/>
  <c r="BQ569" i="3"/>
  <c r="BL569" i="3" s="1"/>
  <c r="BQ567" i="3"/>
  <c r="BL567" i="3" s="1"/>
  <c r="BQ565" i="3"/>
  <c r="BQ563" i="3"/>
  <c r="BL563" i="3" s="1"/>
  <c r="BQ561" i="3"/>
  <c r="BL561" i="3" s="1"/>
  <c r="BQ559" i="3"/>
  <c r="BL559" i="3" s="1"/>
  <c r="G559" i="3"/>
  <c r="G555" i="3"/>
  <c r="G553" i="3"/>
  <c r="G549" i="3"/>
  <c r="G547" i="3"/>
  <c r="G545" i="3"/>
  <c r="G543" i="3"/>
  <c r="G541" i="3"/>
  <c r="G539" i="3"/>
  <c r="G537" i="3"/>
  <c r="BQ555" i="3"/>
  <c r="BL555" i="3" s="1"/>
  <c r="BQ553" i="3"/>
  <c r="BL553" i="3" s="1"/>
  <c r="BQ551" i="3"/>
  <c r="BL551" i="3"/>
  <c r="BQ549" i="3"/>
  <c r="BL549" i="3" s="1"/>
  <c r="BQ547" i="3"/>
  <c r="BL547" i="3" s="1"/>
  <c r="BQ545" i="3"/>
  <c r="BL545" i="3"/>
  <c r="BQ543" i="3"/>
  <c r="BL543" i="3" s="1"/>
  <c r="BQ541" i="3"/>
  <c r="BL541" i="3" s="1"/>
  <c r="BQ539" i="3"/>
  <c r="BQ537" i="3"/>
  <c r="BL537" i="3" s="1"/>
  <c r="BQ535" i="3"/>
  <c r="BL535" i="3" s="1"/>
  <c r="BQ533" i="3"/>
  <c r="BL533" i="3" s="1"/>
  <c r="BQ531" i="3"/>
  <c r="BQ529" i="3"/>
  <c r="BL529" i="3" s="1"/>
  <c r="BQ527" i="3"/>
  <c r="BL527" i="3" s="1"/>
  <c r="BQ525" i="3"/>
  <c r="BL525" i="3" s="1"/>
  <c r="BQ523" i="3"/>
  <c r="BA521" i="3"/>
  <c r="AC521" i="3"/>
  <c r="BQ521" i="3"/>
  <c r="BL521" i="3" s="1"/>
  <c r="G519" i="3"/>
  <c r="G517" i="3"/>
  <c r="G515" i="3"/>
  <c r="G511" i="3"/>
  <c r="BQ519" i="3"/>
  <c r="BL519" i="3" s="1"/>
  <c r="BQ517" i="3"/>
  <c r="BL517" i="3" s="1"/>
  <c r="BQ515" i="3"/>
  <c r="BQ513" i="3"/>
  <c r="BL513" i="3" s="1"/>
  <c r="BQ511" i="3"/>
  <c r="BL511" i="3" s="1"/>
  <c r="BA509" i="3"/>
  <c r="AC509" i="3"/>
  <c r="G509" i="3" s="1"/>
  <c r="BQ509" i="3"/>
  <c r="BL509" i="3" s="1"/>
  <c r="BL508" i="3"/>
  <c r="G507" i="3"/>
  <c r="G503" i="3"/>
  <c r="G501" i="3"/>
  <c r="G499" i="3"/>
  <c r="G495" i="3"/>
  <c r="BQ507" i="3"/>
  <c r="BQ505" i="3"/>
  <c r="BL505" i="3" s="1"/>
  <c r="BQ503" i="3"/>
  <c r="BQ501" i="3"/>
  <c r="BL501" i="3" s="1"/>
  <c r="BQ499" i="3"/>
  <c r="BL499" i="3" s="1"/>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U24" i="35" s="1"/>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26" i="37"/>
  <c r="AC45"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AB33" i="40"/>
  <c r="AC43" i="39"/>
  <c r="W43" i="39"/>
  <c r="U45" i="39"/>
  <c r="AB45" i="39"/>
  <c r="H37" i="39"/>
  <c r="AB37" i="39" s="1"/>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30"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s="1"/>
  <c r="BL388" i="3"/>
  <c r="G389" i="3"/>
  <c r="BA391" i="3"/>
  <c r="BL392" i="3"/>
  <c r="G393" i="3"/>
  <c r="BM5" i="3"/>
  <c r="BJ5" i="3"/>
  <c r="BH5" i="3"/>
  <c r="BF5" i="3"/>
  <c r="BD5" i="3"/>
  <c r="AZ506" i="3"/>
  <c r="AZ496" i="3"/>
  <c r="G548" i="3"/>
  <c r="G538" i="3"/>
  <c r="G520" i="3"/>
  <c r="G502" i="3"/>
  <c r="BS5" i="3"/>
  <c r="BP5" i="3"/>
  <c r="BN5" i="3"/>
  <c r="BK5" i="3"/>
  <c r="BI5" i="3"/>
  <c r="BG5" i="3"/>
  <c r="BE5" i="3"/>
  <c r="BC5" i="3"/>
  <c r="G17" i="3"/>
  <c r="BA17" i="3"/>
  <c r="BT5" i="3"/>
  <c r="BA15" i="3"/>
  <c r="BR5" i="3"/>
  <c r="BL493" i="3"/>
  <c r="U36" i="40"/>
  <c r="F83" i="43"/>
  <c r="H85" i="43" s="1"/>
  <c r="F50" i="43"/>
  <c r="H54" i="43" s="1"/>
  <c r="F72" i="43"/>
  <c r="H75" i="43" s="1"/>
  <c r="S14" i="35"/>
  <c r="U43" i="21"/>
  <c r="U35" i="21"/>
  <c r="AC35" i="21"/>
  <c r="G8" i="1"/>
  <c r="G10" i="1"/>
  <c r="W37" i="37"/>
  <c r="W44" i="34"/>
  <c r="U13" i="37"/>
  <c r="U12" i="40"/>
  <c r="J37" i="33"/>
  <c r="AC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K6" i="1"/>
  <c r="AP6" i="1" s="1"/>
  <c r="AC26" i="33"/>
  <c r="W26" i="33"/>
  <c r="W27" i="34"/>
  <c r="AC27" i="34"/>
  <c r="AC12" i="39"/>
  <c r="W12" i="39"/>
  <c r="AC39" i="40"/>
  <c r="W39" i="40"/>
  <c r="BL14" i="3"/>
  <c r="AA47" i="34"/>
  <c r="W28" i="37"/>
  <c r="F12" i="33"/>
  <c r="H12" i="39"/>
  <c r="AB12" i="39" s="1"/>
  <c r="F39" i="40"/>
  <c r="BA14" i="3"/>
  <c r="AZ14" i="3" s="1"/>
  <c r="B12" i="1"/>
  <c r="E12" i="1" s="1"/>
  <c r="B10" i="1"/>
  <c r="E10" i="1" s="1"/>
  <c r="K12" i="1"/>
  <c r="M12" i="1" s="1"/>
  <c r="S13" i="1"/>
  <c r="AR13" i="1" s="1"/>
  <c r="R13" i="1"/>
  <c r="J51" i="67"/>
  <c r="C42" i="1"/>
  <c r="C24" i="12" s="1"/>
  <c r="B41" i="1"/>
  <c r="F48" i="9" s="1"/>
  <c r="O52" i="9" s="1"/>
  <c r="AB37" i="40"/>
  <c r="S35" i="40"/>
  <c r="U35" i="40"/>
  <c r="AC36" i="40"/>
  <c r="S17" i="40"/>
  <c r="S23" i="40"/>
  <c r="AC17" i="40"/>
  <c r="AC15" i="40"/>
  <c r="AA19" i="40"/>
  <c r="S28" i="40"/>
  <c r="U21" i="40"/>
  <c r="AB19" i="40"/>
  <c r="U37" i="39"/>
  <c r="S43" i="39"/>
  <c r="F32" i="39"/>
  <c r="AA32" i="39" s="1"/>
  <c r="F106" i="39"/>
  <c r="G106" i="39" s="1"/>
  <c r="H106" i="39" s="1"/>
  <c r="I106" i="39" s="1"/>
  <c r="J106" i="39" s="1"/>
  <c r="K106" i="39" s="1"/>
  <c r="L106" i="39" s="1"/>
  <c r="M106" i="39" s="1"/>
  <c r="U31" i="39"/>
  <c r="J21" i="39"/>
  <c r="W21" i="39" s="1"/>
  <c r="F21" i="39"/>
  <c r="AA21" i="39" s="1"/>
  <c r="G94" i="39"/>
  <c r="H21" i="39"/>
  <c r="AB21" i="39" s="1"/>
  <c r="S15" i="39"/>
  <c r="S9" i="39"/>
  <c r="U14" i="39"/>
  <c r="S23" i="36"/>
  <c r="U13" i="36"/>
  <c r="U26" i="36"/>
  <c r="AA26" i="36"/>
  <c r="AA34" i="36"/>
  <c r="AB14" i="36"/>
  <c r="U22" i="36"/>
  <c r="S16" i="36"/>
  <c r="AA25" i="36"/>
  <c r="U23" i="36"/>
  <c r="U16" i="36"/>
  <c r="S14" i="36"/>
  <c r="W24" i="35"/>
  <c r="AB13" i="35"/>
  <c r="U29" i="35"/>
  <c r="U28" i="35"/>
  <c r="AB27" i="35"/>
  <c r="U32" i="35"/>
  <c r="AA33" i="35"/>
  <c r="AC30" i="35"/>
  <c r="S32" i="35"/>
  <c r="S28" i="35"/>
  <c r="AB16" i="35"/>
  <c r="U22" i="35"/>
  <c r="S20" i="35"/>
  <c r="AC20" i="35"/>
  <c r="S22" i="35"/>
  <c r="U14" i="35"/>
  <c r="AA11" i="35"/>
  <c r="F9" i="35"/>
  <c r="S9" i="35" s="1"/>
  <c r="H9" i="35"/>
  <c r="U9" i="35" s="1"/>
  <c r="AB40" i="37"/>
  <c r="W27" i="37"/>
  <c r="AC29" i="37"/>
  <c r="U29" i="37"/>
  <c r="AB31" i="37"/>
  <c r="W30" i="37"/>
  <c r="U32" i="37"/>
  <c r="W38" i="37"/>
  <c r="AC35" i="37"/>
  <c r="W39" i="37"/>
  <c r="S30" i="37"/>
  <c r="S37"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W41" i="34"/>
  <c r="AC42" i="34"/>
  <c r="AB35" i="34"/>
  <c r="U39" i="34"/>
  <c r="S43" i="34"/>
  <c r="AA25" i="34"/>
  <c r="U28" i="34"/>
  <c r="S17" i="34"/>
  <c r="U27" i="34"/>
  <c r="S23" i="34"/>
  <c r="U15" i="34"/>
  <c r="H10" i="34"/>
  <c r="AB10" i="34" s="1"/>
  <c r="F11" i="34"/>
  <c r="S11" i="34" s="1"/>
  <c r="F70" i="34"/>
  <c r="G70" i="34" s="1"/>
  <c r="H70" i="34" s="1"/>
  <c r="I70" i="34" s="1"/>
  <c r="J70" i="34" s="1"/>
  <c r="K70" i="34" s="1"/>
  <c r="L70" i="34" s="1"/>
  <c r="M70" i="34" s="1"/>
  <c r="W42" i="33"/>
  <c r="AA35" i="33"/>
  <c r="S27" i="33"/>
  <c r="S32"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AB25" i="33" s="1"/>
  <c r="F25" i="33"/>
  <c r="J23" i="33"/>
  <c r="AC23" i="33" s="1"/>
  <c r="F85" i="33"/>
  <c r="G85" i="33" s="1"/>
  <c r="H23" i="33"/>
  <c r="U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S13" i="40"/>
  <c r="AA15" i="40"/>
  <c r="U11" i="40"/>
  <c r="S31" i="40"/>
  <c r="AB13" i="40"/>
  <c r="U15" i="40"/>
  <c r="AB17" i="40"/>
  <c r="U8" i="40"/>
  <c r="S8" i="40"/>
  <c r="U42" i="39"/>
  <c r="U13" i="39"/>
  <c r="S14" i="39"/>
  <c r="U43" i="39"/>
  <c r="AB43" i="39"/>
  <c r="W31" i="39"/>
  <c r="AC31" i="39"/>
  <c r="S8" i="39"/>
  <c r="AC25" i="36"/>
  <c r="W29" i="36"/>
  <c r="AB28" i="36"/>
  <c r="AA13" i="36"/>
  <c r="W22" i="36"/>
  <c r="AC25" i="35"/>
  <c r="U25" i="35"/>
  <c r="S24" i="35"/>
  <c r="S35" i="35"/>
  <c r="W35" i="35"/>
  <c r="AA16" i="35"/>
  <c r="AA35" i="37"/>
  <c r="W36" i="37"/>
  <c r="S28" i="37"/>
  <c r="W32" i="37"/>
  <c r="U36" i="37"/>
  <c r="S40" i="37"/>
  <c r="U38" i="37"/>
  <c r="AC34" i="37"/>
  <c r="AB35" i="37"/>
  <c r="AA31" i="37"/>
  <c r="U19" i="37"/>
  <c r="AA29" i="37"/>
  <c r="U8" i="37"/>
  <c r="AA40" i="34"/>
  <c r="AB40" i="34"/>
  <c r="U19" i="34"/>
  <c r="W19" i="34"/>
  <c r="AB33" i="34"/>
  <c r="AC45" i="34"/>
  <c r="AA31" i="34"/>
  <c r="AB45" i="34"/>
  <c r="AB47" i="34"/>
  <c r="U25" i="34"/>
  <c r="AB36" i="34"/>
  <c r="AC32" i="34"/>
  <c r="AC29" i="34"/>
  <c r="W29" i="34"/>
  <c r="S32" i="34"/>
  <c r="AA32" i="34"/>
  <c r="S37" i="34"/>
  <c r="U38" i="34"/>
  <c r="AC40" i="34"/>
  <c r="W40" i="34"/>
  <c r="AA19" i="34"/>
  <c r="S19" i="34"/>
  <c r="AA36" i="34"/>
  <c r="S36" i="34"/>
  <c r="AA8" i="34"/>
  <c r="S8" i="34"/>
  <c r="AB32" i="34"/>
  <c r="U14" i="34"/>
  <c r="AB14" i="34"/>
  <c r="AC43" i="34"/>
  <c r="W43" i="34"/>
  <c r="W23" i="34"/>
  <c r="AC23" i="34"/>
  <c r="AC35" i="34"/>
  <c r="W35" i="34"/>
  <c r="U12" i="34"/>
  <c r="AB12" i="34"/>
  <c r="W46" i="33"/>
  <c r="U39" i="33"/>
  <c r="U38" i="33"/>
  <c r="S33" i="33"/>
  <c r="S30" i="33"/>
  <c r="AA30" i="33"/>
  <c r="AC14" i="33"/>
  <c r="W14" i="33"/>
  <c r="AC30" i="33"/>
  <c r="W30" i="33"/>
  <c r="S31" i="33"/>
  <c r="AA31" i="33"/>
  <c r="U15" i="33"/>
  <c r="S11" i="33"/>
  <c r="U37" i="33"/>
  <c r="AC28" i="33"/>
  <c r="W9" i="33"/>
  <c r="W8" i="33"/>
  <c r="AB42" i="21"/>
  <c r="U28" i="21"/>
  <c r="I101" i="21"/>
  <c r="J101" i="21" s="1"/>
  <c r="K101" i="21" s="1"/>
  <c r="L101" i="21" s="1"/>
  <c r="M101" i="21" s="1"/>
  <c r="F33" i="21"/>
  <c r="AA33" i="21" s="1"/>
  <c r="J33" i="21"/>
  <c r="AC33" i="21" s="1"/>
  <c r="H33" i="21"/>
  <c r="AB33" i="21" s="1"/>
  <c r="F37" i="21"/>
  <c r="AA37" i="21" s="1"/>
  <c r="AA26" i="21"/>
  <c r="AB14" i="21"/>
  <c r="AB46" i="21"/>
  <c r="U40" i="21"/>
  <c r="AC15" i="21"/>
  <c r="S35" i="21"/>
  <c r="J37" i="21"/>
  <c r="W37" i="21" s="1"/>
  <c r="H15" i="21"/>
  <c r="AB15" i="21" s="1"/>
  <c r="J17" i="21"/>
  <c r="W17" i="21" s="1"/>
  <c r="AC17" i="21"/>
  <c r="AC19" i="21"/>
  <c r="W39" i="21"/>
  <c r="W30" i="21"/>
  <c r="S46" i="21"/>
  <c r="H45" i="21"/>
  <c r="U45" i="21" s="1"/>
  <c r="F29" i="21"/>
  <c r="AA29" i="21" s="1"/>
  <c r="F13" i="21"/>
  <c r="AA13" i="21" s="1"/>
  <c r="AC38" i="21"/>
  <c r="H32" i="21"/>
  <c r="AB32" i="21" s="1"/>
  <c r="H9" i="21"/>
  <c r="U9" i="21" s="1"/>
  <c r="J9" i="21"/>
  <c r="AC9" i="21" s="1"/>
  <c r="J32" i="21"/>
  <c r="W32" i="21" s="1"/>
  <c r="F32" i="21"/>
  <c r="AA32" i="21" s="1"/>
  <c r="AA31" i="21"/>
  <c r="U17" i="21"/>
  <c r="S19" i="21"/>
  <c r="S9" i="21"/>
  <c r="AA9" i="21"/>
  <c r="K141" i="21"/>
  <c r="K144" i="21"/>
  <c r="K143" i="21"/>
  <c r="U27" i="21"/>
  <c r="AB25" i="21"/>
  <c r="AA30" i="21"/>
  <c r="W42" i="21"/>
  <c r="F10" i="21"/>
  <c r="AA10" i="21" s="1"/>
  <c r="K145" i="21"/>
  <c r="W25" i="21"/>
  <c r="S27" i="21"/>
  <c r="S17" i="21"/>
  <c r="AA15" i="21"/>
  <c r="AC27" i="21"/>
  <c r="AC26" i="21"/>
  <c r="AB29" i="21"/>
  <c r="AC34" i="21"/>
  <c r="AB36" i="21"/>
  <c r="W30" i="40"/>
  <c r="C19" i="39"/>
  <c r="C15" i="40"/>
  <c r="C17" i="40"/>
  <c r="C23" i="40"/>
  <c r="C21" i="40"/>
  <c r="B56" i="43"/>
  <c r="B67" i="43"/>
  <c r="B51" i="43"/>
  <c r="B54" i="43"/>
  <c r="B58" i="43"/>
  <c r="B62" i="43"/>
  <c r="B65" i="43"/>
  <c r="B69" i="43"/>
  <c r="D23" i="15"/>
  <c r="D22" i="15"/>
  <c r="E4" i="4"/>
  <c r="B5" i="62" s="1"/>
  <c r="B73" i="72" s="1"/>
  <c r="C4" i="4"/>
  <c r="F30" i="11"/>
  <c r="C48" i="11" s="1"/>
  <c r="F32" i="67"/>
  <c r="F60" i="67" s="1"/>
  <c r="M18" i="15"/>
  <c r="AA39" i="40"/>
  <c r="S39" i="40"/>
  <c r="S12" i="33"/>
  <c r="AA12" i="33"/>
  <c r="J32" i="39"/>
  <c r="AC32" i="39" s="1"/>
  <c r="H32" i="39"/>
  <c r="AB32" i="39" s="1"/>
  <c r="AC17" i="37"/>
  <c r="S17" i="37"/>
  <c r="J19" i="37"/>
  <c r="W19" i="37" s="1"/>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S25" i="33"/>
  <c r="AA25" i="33"/>
  <c r="J25" i="33"/>
  <c r="W25" i="33" s="1"/>
  <c r="F23" i="33"/>
  <c r="AA19" i="33"/>
  <c r="H19" i="33"/>
  <c r="AB19" i="33" s="1"/>
  <c r="G81" i="33"/>
  <c r="H17" i="33"/>
  <c r="U17" i="33" s="1"/>
  <c r="F17" i="33"/>
  <c r="S17" i="33" s="1"/>
  <c r="AC17" i="33"/>
  <c r="AA23" i="21"/>
  <c r="J23" i="21"/>
  <c r="W23" i="21" s="1"/>
  <c r="H23" i="21"/>
  <c r="U23" i="21" s="1"/>
  <c r="D6" i="52"/>
  <c r="AP7" i="1"/>
  <c r="AB9" i="21"/>
  <c r="AC23" i="37"/>
  <c r="J11" i="37"/>
  <c r="AC11" i="37" s="1"/>
  <c r="J11" i="34"/>
  <c r="W11" i="34" s="1"/>
  <c r="AC2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E2" i="69"/>
  <c r="AO13" i="1"/>
  <c r="F9" i="15"/>
  <c r="F13" i="15"/>
  <c r="B7" i="76"/>
  <c r="F3" i="73"/>
  <c r="L48" i="67"/>
  <c r="M22" i="15"/>
  <c r="B10" i="76"/>
  <c r="M29" i="15"/>
  <c r="F43" i="67"/>
  <c r="B13" i="76"/>
  <c r="M29" i="67"/>
  <c r="L47" i="67"/>
  <c r="F6" i="73"/>
  <c r="F5" i="73"/>
  <c r="E12" i="76"/>
  <c r="J15" i="15"/>
  <c r="E8" i="76"/>
  <c r="M9" i="15"/>
  <c r="F9" i="67"/>
  <c r="E9" i="76"/>
  <c r="F16" i="67"/>
  <c r="B9" i="76"/>
  <c r="L47" i="15"/>
  <c r="E2" i="68"/>
  <c r="M28" i="15"/>
  <c r="M6" i="67"/>
  <c r="B12" i="76"/>
  <c r="F7" i="67"/>
  <c r="F40" i="15"/>
  <c r="F6" i="15"/>
  <c r="B8" i="76"/>
  <c r="F42" i="15"/>
  <c r="F26" i="67"/>
  <c r="F36" i="15"/>
  <c r="E7" i="76"/>
  <c r="M8" i="67"/>
  <c r="F43" i="15"/>
  <c r="D6" i="73"/>
  <c r="M24" i="67"/>
  <c r="E13" i="76"/>
  <c r="B11" i="76"/>
  <c r="E11" i="76"/>
  <c r="F38" i="67"/>
  <c r="M24" i="15"/>
  <c r="F4" i="73"/>
  <c r="M26" i="67"/>
  <c r="M23" i="67"/>
  <c r="F7" i="73"/>
  <c r="M23" i="15"/>
  <c r="E10" i="76"/>
  <c r="F42" i="67"/>
  <c r="AC9" i="35" l="1"/>
  <c r="W9" i="35"/>
  <c r="F100" i="39"/>
  <c r="G100" i="39" s="1"/>
  <c r="H27" i="39"/>
  <c r="F27" i="39"/>
  <c r="J27" i="39"/>
  <c r="AC27" i="39" s="1"/>
  <c r="S25" i="21"/>
  <c r="AA25" i="21"/>
  <c r="J28" i="21"/>
  <c r="F28" i="21"/>
  <c r="H44" i="21"/>
  <c r="J44" i="21"/>
  <c r="AC44" i="21" s="1"/>
  <c r="AC33" i="33"/>
  <c r="W33" i="33"/>
  <c r="H44" i="33"/>
  <c r="F44" i="33"/>
  <c r="J44" i="33"/>
  <c r="AC44" i="33" s="1"/>
  <c r="H13" i="34"/>
  <c r="U13" i="34" s="1"/>
  <c r="J13" i="34"/>
  <c r="F13" i="34"/>
  <c r="AA13" i="34" s="1"/>
  <c r="J31" i="34"/>
  <c r="H31" i="34"/>
  <c r="H14" i="40"/>
  <c r="J14" i="40"/>
  <c r="AC32" i="40"/>
  <c r="W32" i="40"/>
  <c r="U41" i="21"/>
  <c r="AB41" i="21"/>
  <c r="AC41" i="33"/>
  <c r="W41" i="33"/>
  <c r="BA583" i="3"/>
  <c r="BA582" i="3"/>
  <c r="BL580" i="3"/>
  <c r="BL578" i="3"/>
  <c r="BA575" i="3"/>
  <c r="BA574" i="3"/>
  <c r="BL568" i="3"/>
  <c r="BA567" i="3"/>
  <c r="BA566" i="3"/>
  <c r="BL564" i="3"/>
  <c r="BL562" i="3"/>
  <c r="BA559" i="3"/>
  <c r="BA558" i="3"/>
  <c r="BA548" i="3"/>
  <c r="BA547" i="3"/>
  <c r="BL542" i="3"/>
  <c r="BL540" i="3"/>
  <c r="BA540" i="3"/>
  <c r="BA539" i="3"/>
  <c r="BL538" i="3"/>
  <c r="BA532" i="3"/>
  <c r="BA531" i="3"/>
  <c r="BA524" i="3"/>
  <c r="BA523" i="3"/>
  <c r="BL522" i="3"/>
  <c r="AZ522" i="3" s="1"/>
  <c r="BL520" i="3"/>
  <c r="BL518" i="3"/>
  <c r="BA516" i="3"/>
  <c r="BA513" i="3"/>
  <c r="BA508" i="3"/>
  <c r="BA503" i="3"/>
  <c r="BL502" i="3"/>
  <c r="BL500" i="3"/>
  <c r="BA500" i="3"/>
  <c r="BA495" i="3"/>
  <c r="M18" i="67"/>
  <c r="U15" i="21"/>
  <c r="AZ356" i="3"/>
  <c r="AZ376" i="3"/>
  <c r="AC31" i="33"/>
  <c r="AZ511" i="3"/>
  <c r="AZ538" i="3"/>
  <c r="AZ552" i="3"/>
  <c r="AZ572" i="3"/>
  <c r="S38" i="39"/>
  <c r="J45" i="39"/>
  <c r="W45" i="39" s="1"/>
  <c r="BA586" i="3"/>
  <c r="BA585" i="3"/>
  <c r="W9" i="21"/>
  <c r="U19" i="33"/>
  <c r="F28" i="15"/>
  <c r="F28" i="67"/>
  <c r="AZ325" i="3"/>
  <c r="AZ559" i="3"/>
  <c r="AZ557" i="3"/>
  <c r="AZ510" i="3"/>
  <c r="AZ542" i="3"/>
  <c r="AB26" i="33"/>
  <c r="AB46" i="33"/>
  <c r="U46" i="33"/>
  <c r="U46" i="34"/>
  <c r="F44" i="21"/>
  <c r="AA12" i="36"/>
  <c r="U34" i="34"/>
  <c r="F45" i="39"/>
  <c r="H28" i="33"/>
  <c r="U28" i="33" s="1"/>
  <c r="F28" i="33"/>
  <c r="W37" i="33"/>
  <c r="AZ512" i="3"/>
  <c r="AZ534" i="3"/>
  <c r="AZ556" i="3"/>
  <c r="AZ568" i="3"/>
  <c r="AC26" i="36"/>
  <c r="W26" i="36"/>
  <c r="AA41" i="33"/>
  <c r="S41" i="33"/>
  <c r="H31" i="21"/>
  <c r="J31" i="21"/>
  <c r="AB35" i="33"/>
  <c r="U35" i="33"/>
  <c r="J13" i="33"/>
  <c r="H13" i="33"/>
  <c r="U13" i="33" s="1"/>
  <c r="J12" i="34"/>
  <c r="F12" i="34"/>
  <c r="S12" i="34" s="1"/>
  <c r="F30" i="34"/>
  <c r="H30" i="34"/>
  <c r="F46" i="34"/>
  <c r="J46" i="34"/>
  <c r="AA27" i="35"/>
  <c r="S27" i="35"/>
  <c r="BL495" i="3"/>
  <c r="BL503" i="3"/>
  <c r="BL515" i="3"/>
  <c r="BL523" i="3"/>
  <c r="BL531" i="3"/>
  <c r="BL539" i="3"/>
  <c r="BL565" i="3"/>
  <c r="BL573" i="3"/>
  <c r="G557" i="3"/>
  <c r="W13" i="35"/>
  <c r="AC13" i="35"/>
  <c r="H39" i="39"/>
  <c r="H13" i="21"/>
  <c r="J13" i="21"/>
  <c r="H9" i="34"/>
  <c r="H14" i="37"/>
  <c r="AB14" i="37" s="1"/>
  <c r="AB9" i="39"/>
  <c r="U9" i="39"/>
  <c r="J37" i="39"/>
  <c r="F37" i="39"/>
  <c r="J33" i="40"/>
  <c r="F33" i="40"/>
  <c r="J14" i="21"/>
  <c r="F14" i="21"/>
  <c r="S14" i="21" s="1"/>
  <c r="U30" i="33"/>
  <c r="AB30" i="33"/>
  <c r="H9" i="36"/>
  <c r="AB9" i="36" s="1"/>
  <c r="J9" i="36"/>
  <c r="H27" i="37"/>
  <c r="F27" i="37"/>
  <c r="J12" i="40"/>
  <c r="F12" i="40"/>
  <c r="AA12" i="40" s="1"/>
  <c r="J35" i="39"/>
  <c r="AC35" i="39" s="1"/>
  <c r="H35" i="39"/>
  <c r="AA11" i="36"/>
  <c r="S11" i="36"/>
  <c r="F32" i="36"/>
  <c r="H32" i="36"/>
  <c r="G474" i="3"/>
  <c r="G478" i="3"/>
  <c r="G482" i="3"/>
  <c r="BA250" i="3"/>
  <c r="G253" i="3"/>
  <c r="G261" i="3"/>
  <c r="G269" i="3"/>
  <c r="G172" i="3"/>
  <c r="G566" i="3"/>
  <c r="G551" i="3"/>
  <c r="G542" i="3"/>
  <c r="BL399" i="3"/>
  <c r="G409" i="3"/>
  <c r="BA431" i="3"/>
  <c r="BL431" i="3"/>
  <c r="BA288" i="3"/>
  <c r="G127" i="3"/>
  <c r="BL133" i="3"/>
  <c r="G18" i="3"/>
  <c r="D72" i="71"/>
  <c r="AB35" i="71"/>
  <c r="AA38" i="71"/>
  <c r="BA489" i="3"/>
  <c r="BA319" i="3"/>
  <c r="AZ319" i="3" s="1"/>
  <c r="BL211" i="3"/>
  <c r="G221" i="3"/>
  <c r="BL237" i="3"/>
  <c r="BL242" i="3"/>
  <c r="G268" i="3"/>
  <c r="BL298" i="3"/>
  <c r="BA301" i="3"/>
  <c r="BL301" i="3"/>
  <c r="BL302" i="3"/>
  <c r="BA114" i="3"/>
  <c r="G33" i="3"/>
  <c r="BA65" i="3"/>
  <c r="G471" i="3"/>
  <c r="G491" i="3"/>
  <c r="BA222" i="3"/>
  <c r="AZ222" i="3" s="1"/>
  <c r="G224" i="3"/>
  <c r="G228" i="3"/>
  <c r="G232" i="3"/>
  <c r="BA233" i="3"/>
  <c r="G237" i="3"/>
  <c r="G258" i="3"/>
  <c r="G263" i="3"/>
  <c r="BL269" i="3"/>
  <c r="BA273" i="3"/>
  <c r="G277" i="3"/>
  <c r="BL280" i="3"/>
  <c r="G281" i="3"/>
  <c r="BA283" i="3"/>
  <c r="G285" i="3"/>
  <c r="G19" i="3"/>
  <c r="G63" i="3"/>
  <c r="BA92" i="3"/>
  <c r="AC25" i="40"/>
  <c r="AA24" i="36"/>
  <c r="S24" i="36"/>
  <c r="U13" i="21"/>
  <c r="AB13" i="21"/>
  <c r="W28" i="21"/>
  <c r="AC28" i="21"/>
  <c r="AB34" i="35"/>
  <c r="U34" i="35"/>
  <c r="AB36" i="39"/>
  <c r="U36" i="39"/>
  <c r="AC29" i="21"/>
  <c r="W29" i="21"/>
  <c r="AA29" i="34"/>
  <c r="AB41" i="34"/>
  <c r="AC15" i="37"/>
  <c r="AA12" i="39"/>
  <c r="U20" i="35"/>
  <c r="AZ373" i="3"/>
  <c r="AZ362" i="3"/>
  <c r="AZ355" i="3"/>
  <c r="AZ342" i="3"/>
  <c r="AZ337" i="3"/>
  <c r="AZ378" i="3"/>
  <c r="AZ360" i="3"/>
  <c r="AA15" i="37"/>
  <c r="AB24" i="35"/>
  <c r="AZ501" i="3"/>
  <c r="AZ509" i="3"/>
  <c r="AZ543" i="3"/>
  <c r="AZ549" i="3"/>
  <c r="AZ566" i="3"/>
  <c r="AZ574" i="3"/>
  <c r="AZ582" i="3"/>
  <c r="AZ560" i="3"/>
  <c r="S35" i="39"/>
  <c r="AC14" i="36"/>
  <c r="F33" i="36"/>
  <c r="W28" i="35"/>
  <c r="W31" i="37"/>
  <c r="J36" i="39"/>
  <c r="AC36" i="39" s="1"/>
  <c r="F36" i="39"/>
  <c r="J9" i="34"/>
  <c r="H24" i="36"/>
  <c r="J24" i="36"/>
  <c r="H33" i="36"/>
  <c r="AA17" i="33"/>
  <c r="AC35" i="33"/>
  <c r="U25" i="36"/>
  <c r="AZ338" i="3"/>
  <c r="AZ318" i="3"/>
  <c r="U11" i="33"/>
  <c r="AZ569" i="3"/>
  <c r="AZ577" i="3"/>
  <c r="AZ504" i="3"/>
  <c r="AZ520" i="3"/>
  <c r="F41" i="39"/>
  <c r="S41" i="39" s="1"/>
  <c r="H39" i="37"/>
  <c r="U33" i="33"/>
  <c r="H12" i="35"/>
  <c r="F38" i="40"/>
  <c r="J38" i="40"/>
  <c r="AA36" i="35"/>
  <c r="AB20" i="36"/>
  <c r="AZ369" i="3"/>
  <c r="S14" i="40"/>
  <c r="AZ499" i="3"/>
  <c r="AZ521" i="3"/>
  <c r="AZ525" i="3"/>
  <c r="AZ541" i="3"/>
  <c r="AZ563" i="3"/>
  <c r="AZ546" i="3"/>
  <c r="AZ564" i="3"/>
  <c r="AZ580" i="3"/>
  <c r="AA44" i="34"/>
  <c r="S40" i="39"/>
  <c r="W39" i="33"/>
  <c r="F26" i="33"/>
  <c r="AA26" i="33" s="1"/>
  <c r="U31" i="36"/>
  <c r="F39" i="37"/>
  <c r="S39" i="37" s="1"/>
  <c r="AA41" i="21"/>
  <c r="G585" i="3"/>
  <c r="J12" i="35"/>
  <c r="F25" i="37"/>
  <c r="J25" i="37"/>
  <c r="BB5" i="3"/>
  <c r="G401" i="3"/>
  <c r="G405" i="3"/>
  <c r="G421" i="3"/>
  <c r="G425" i="3"/>
  <c r="G434" i="3"/>
  <c r="BA451" i="3"/>
  <c r="G466" i="3"/>
  <c r="BA476" i="3"/>
  <c r="BL478" i="3"/>
  <c r="G479" i="3"/>
  <c r="G307" i="3"/>
  <c r="G311" i="3"/>
  <c r="G315" i="3"/>
  <c r="BL359" i="3"/>
  <c r="AZ359" i="3" s="1"/>
  <c r="G364" i="3"/>
  <c r="G380" i="3"/>
  <c r="BA385" i="3"/>
  <c r="BA395" i="3"/>
  <c r="AZ395" i="3" s="1"/>
  <c r="G397" i="3"/>
  <c r="G220" i="3"/>
  <c r="BL224" i="3"/>
  <c r="BA226" i="3"/>
  <c r="G229" i="3"/>
  <c r="BA237" i="3"/>
  <c r="AZ237" i="3" s="1"/>
  <c r="G249" i="3"/>
  <c r="BL254" i="3"/>
  <c r="G259" i="3"/>
  <c r="G266" i="3"/>
  <c r="G299" i="3"/>
  <c r="G136" i="3"/>
  <c r="G140" i="3"/>
  <c r="BL171" i="3"/>
  <c r="AZ171" i="3" s="1"/>
  <c r="BA178" i="3"/>
  <c r="G206" i="3"/>
  <c r="BA67" i="3"/>
  <c r="BA70" i="3"/>
  <c r="BL72" i="3"/>
  <c r="G74" i="3"/>
  <c r="G78" i="3"/>
  <c r="BL103" i="3"/>
  <c r="W21" i="21"/>
  <c r="D63" i="71"/>
  <c r="E79" i="71"/>
  <c r="E78" i="71" s="1"/>
  <c r="E67" i="71"/>
  <c r="E47" i="71"/>
  <c r="E48" i="71" s="1"/>
  <c r="U48" i="71" s="1"/>
  <c r="G582" i="3"/>
  <c r="G574" i="3"/>
  <c r="G404" i="3"/>
  <c r="BA422" i="3"/>
  <c r="G437" i="3"/>
  <c r="BA437" i="3"/>
  <c r="BL440" i="3"/>
  <c r="BA441" i="3"/>
  <c r="BA458" i="3"/>
  <c r="G469" i="3"/>
  <c r="BA469" i="3"/>
  <c r="BL472" i="3"/>
  <c r="BL324" i="3"/>
  <c r="AZ324" i="3" s="1"/>
  <c r="BA331" i="3"/>
  <c r="AZ331" i="3" s="1"/>
  <c r="BA349" i="3"/>
  <c r="AZ349" i="3" s="1"/>
  <c r="BL208" i="3"/>
  <c r="BA217" i="3"/>
  <c r="BA228" i="3"/>
  <c r="BL262" i="3"/>
  <c r="BA286" i="3"/>
  <c r="BL169" i="3"/>
  <c r="BL207" i="3"/>
  <c r="BL18" i="3"/>
  <c r="BL19" i="3"/>
  <c r="BA20" i="3"/>
  <c r="BL34" i="3"/>
  <c r="BA95" i="3"/>
  <c r="J51" i="15"/>
  <c r="AC21" i="33"/>
  <c r="D59" i="71"/>
  <c r="X31" i="71"/>
  <c r="AB34" i="71"/>
  <c r="AA35" i="71"/>
  <c r="X36" i="71"/>
  <c r="B79" i="71"/>
  <c r="B78" i="71" s="1"/>
  <c r="BL406" i="3"/>
  <c r="G407" i="3"/>
  <c r="BA407" i="3"/>
  <c r="G410" i="3"/>
  <c r="G414" i="3"/>
  <c r="G419" i="3"/>
  <c r="BA419" i="3"/>
  <c r="BA420" i="3"/>
  <c r="BA424" i="3"/>
  <c r="G435" i="3"/>
  <c r="BA444" i="3"/>
  <c r="BA448" i="3"/>
  <c r="BL455" i="3"/>
  <c r="BL458" i="3"/>
  <c r="G460" i="3"/>
  <c r="BL462" i="3"/>
  <c r="BA464" i="3"/>
  <c r="G467" i="3"/>
  <c r="G472" i="3"/>
  <c r="BL484" i="3"/>
  <c r="BA315" i="3"/>
  <c r="AZ315" i="3" s="1"/>
  <c r="G349" i="3"/>
  <c r="G209" i="3"/>
  <c r="BA211" i="3"/>
  <c r="AZ211" i="3" s="1"/>
  <c r="BA214" i="3"/>
  <c r="G217" i="3"/>
  <c r="G234" i="3"/>
  <c r="G241" i="3"/>
  <c r="BA248" i="3"/>
  <c r="BL259" i="3"/>
  <c r="G262" i="3"/>
  <c r="BL278" i="3"/>
  <c r="G279" i="3"/>
  <c r="G284" i="3"/>
  <c r="G287" i="3"/>
  <c r="G288" i="3"/>
  <c r="BA293" i="3"/>
  <c r="G158" i="3"/>
  <c r="BL186" i="3"/>
  <c r="BA188" i="3"/>
  <c r="AZ188" i="3" s="1"/>
  <c r="BL189" i="3"/>
  <c r="BL190" i="3"/>
  <c r="G191" i="3"/>
  <c r="BA192" i="3"/>
  <c r="AZ192" i="3" s="1"/>
  <c r="BL195" i="3"/>
  <c r="AZ195" i="3" s="1"/>
  <c r="BL198" i="3"/>
  <c r="BL199" i="3"/>
  <c r="AZ199" i="3" s="1"/>
  <c r="BA200" i="3"/>
  <c r="AZ200" i="3" s="1"/>
  <c r="G26" i="3"/>
  <c r="BA32" i="3"/>
  <c r="BA40" i="3"/>
  <c r="G42" i="3"/>
  <c r="G43" i="3"/>
  <c r="BA47" i="3"/>
  <c r="BA55" i="3"/>
  <c r="G59" i="3"/>
  <c r="G62" i="3"/>
  <c r="G66" i="3"/>
  <c r="G67" i="3"/>
  <c r="G80" i="3"/>
  <c r="BL86" i="3"/>
  <c r="G87" i="3"/>
  <c r="G88" i="3"/>
  <c r="BA89" i="3"/>
  <c r="G92" i="3"/>
  <c r="BA109" i="3"/>
  <c r="S18" i="36"/>
  <c r="D87" i="71"/>
  <c r="Y38" i="71"/>
  <c r="Z38" i="71" s="1"/>
  <c r="G22" i="69"/>
  <c r="G22" i="11"/>
  <c r="E1" i="73"/>
  <c r="G26" i="12"/>
  <c r="BA13" i="3"/>
  <c r="F23" i="39"/>
  <c r="H23" i="39"/>
  <c r="U23" i="39" s="1"/>
  <c r="F17" i="39"/>
  <c r="J17" i="39"/>
  <c r="H17" i="39"/>
  <c r="J11" i="39"/>
  <c r="W11" i="39" s="1"/>
  <c r="H11" i="39"/>
  <c r="W8" i="39"/>
  <c r="AB8" i="39"/>
  <c r="S42" i="39"/>
  <c r="U40" i="39"/>
  <c r="AC41" i="39"/>
  <c r="U38" i="39"/>
  <c r="S31" i="39"/>
  <c r="W27" i="39"/>
  <c r="AC25" i="39"/>
  <c r="U25" i="39"/>
  <c r="W23" i="39"/>
  <c r="U21" i="39"/>
  <c r="W34" i="39"/>
  <c r="S34" i="39"/>
  <c r="AB34"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U12" i="36"/>
  <c r="AB12" i="36"/>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BA145" i="3"/>
  <c r="G152" i="3"/>
  <c r="BA153" i="3"/>
  <c r="G156" i="3"/>
  <c r="BA157" i="3"/>
  <c r="G160" i="3"/>
  <c r="BA162" i="3"/>
  <c r="W18" i="35"/>
  <c r="AC18" i="35"/>
  <c r="AB29" i="39"/>
  <c r="U29" i="39"/>
  <c r="Y29" i="71"/>
  <c r="Z29" i="71" s="1"/>
  <c r="C30" i="71"/>
  <c r="D30" i="71" s="1"/>
  <c r="X25" i="71"/>
  <c r="X34" i="71"/>
  <c r="B67" i="71"/>
  <c r="S68" i="71"/>
  <c r="V72" i="71"/>
  <c r="F71" i="71"/>
  <c r="F70" i="71" s="1"/>
  <c r="B23" i="71"/>
  <c r="B22" i="71" s="1"/>
  <c r="B21" i="71" s="1"/>
  <c r="B20" i="71" s="1"/>
  <c r="G398" i="3"/>
  <c r="G399" i="3"/>
  <c r="BA400" i="3"/>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BL245" i="3"/>
  <c r="BL252" i="3"/>
  <c r="BA257" i="3"/>
  <c r="BL257" i="3"/>
  <c r="BL258" i="3"/>
  <c r="BL267" i="3"/>
  <c r="BL272" i="3"/>
  <c r="BL283" i="3"/>
  <c r="AZ283" i="3" s="1"/>
  <c r="BL284" i="3"/>
  <c r="BL292" i="3"/>
  <c r="BA298" i="3"/>
  <c r="AZ298" i="3" s="1"/>
  <c r="G126" i="3"/>
  <c r="BA126" i="3"/>
  <c r="G144" i="3"/>
  <c r="BA144" i="3"/>
  <c r="AZ144" i="3" s="1"/>
  <c r="BA149" i="3"/>
  <c r="BA156" i="3"/>
  <c r="AZ156" i="3" s="1"/>
  <c r="BA168" i="3"/>
  <c r="AZ168" i="3" s="1"/>
  <c r="BA97" i="3"/>
  <c r="P27" i="6"/>
  <c r="D60" i="71"/>
  <c r="B39" i="71"/>
  <c r="B40" i="71" s="1"/>
  <c r="S40" i="71" s="1"/>
  <c r="S72" i="71"/>
  <c r="B71" i="71"/>
  <c r="B70" i="71" s="1"/>
  <c r="T80" i="71"/>
  <c r="D80" i="71"/>
  <c r="G438" i="3"/>
  <c r="BL438" i="3"/>
  <c r="BL439" i="3"/>
  <c r="BA443" i="3"/>
  <c r="G452" i="3"/>
  <c r="BA456" i="3"/>
  <c r="BL456" i="3"/>
  <c r="BA462" i="3"/>
  <c r="AZ462" i="3" s="1"/>
  <c r="BL469" i="3"/>
  <c r="AZ469" i="3" s="1"/>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G257" i="3"/>
  <c r="BA265" i="3"/>
  <c r="BL265" i="3"/>
  <c r="G267" i="3"/>
  <c r="BA278" i="3"/>
  <c r="AZ278" i="3" s="1"/>
  <c r="BA280" i="3"/>
  <c r="AZ280" i="3" s="1"/>
  <c r="G283" i="3"/>
  <c r="G291" i="3"/>
  <c r="BA291" i="3"/>
  <c r="G294" i="3"/>
  <c r="BL295" i="3"/>
  <c r="G300" i="3"/>
  <c r="BL161" i="3"/>
  <c r="G166" i="3"/>
  <c r="G167" i="3"/>
  <c r="BA169" i="3"/>
  <c r="AZ169" i="3" s="1"/>
  <c r="G171" i="3"/>
  <c r="BL24" i="3"/>
  <c r="BL44" i="3"/>
  <c r="BL52" i="3"/>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BL105" i="3"/>
  <c r="G107" i="3"/>
  <c r="BL107" i="3"/>
  <c r="BL110" i="3"/>
  <c r="G112" i="3"/>
  <c r="K13" i="1"/>
  <c r="M13" i="1" s="1"/>
  <c r="O13" i="1" s="1"/>
  <c r="P13" i="1" s="1"/>
  <c r="C21" i="68"/>
  <c r="W29" i="39"/>
  <c r="C29" i="39"/>
  <c r="Y26" i="71"/>
  <c r="Z26" i="71" s="1"/>
  <c r="AB36" i="71"/>
  <c r="AA37" i="71"/>
  <c r="BA58" i="3"/>
  <c r="BL59" i="3"/>
  <c r="BL60" i="3"/>
  <c r="BL76" i="3"/>
  <c r="BL79" i="3"/>
  <c r="BL81" i="3"/>
  <c r="BA82" i="3"/>
  <c r="BL99" i="3"/>
  <c r="BA102" i="3"/>
  <c r="BA111" i="3"/>
  <c r="B57" i="43"/>
  <c r="E71" i="71"/>
  <c r="E70" i="71" s="1"/>
  <c r="AA34" i="71"/>
  <c r="C43" i="71"/>
  <c r="D43" i="71" s="1"/>
  <c r="E51" i="71"/>
  <c r="E52" i="71" s="1"/>
  <c r="U52" i="71" s="1"/>
  <c r="C51" i="71"/>
  <c r="S76" i="71"/>
  <c r="F79" i="71"/>
  <c r="F78" i="71" s="1"/>
  <c r="BA177" i="3"/>
  <c r="G180" i="3"/>
  <c r="G194" i="3"/>
  <c r="G195" i="3"/>
  <c r="BL197" i="3"/>
  <c r="G198" i="3"/>
  <c r="G203" i="3"/>
  <c r="BL205" i="3"/>
  <c r="G23" i="3"/>
  <c r="BA30" i="3"/>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AZ391" i="3"/>
  <c r="AZ364" i="3"/>
  <c r="AZ329" i="3"/>
  <c r="AZ306" i="3"/>
  <c r="S37" i="21"/>
  <c r="D68" i="9"/>
  <c r="F30" i="69"/>
  <c r="F48" i="69" s="1"/>
  <c r="F31" i="12"/>
  <c r="AB28" i="33"/>
  <c r="AC14" i="34"/>
  <c r="U41" i="39"/>
  <c r="AA14" i="21"/>
  <c r="S13" i="34"/>
  <c r="AA45" i="34"/>
  <c r="AC13" i="37"/>
  <c r="AC13" i="39"/>
  <c r="AC34" i="33"/>
  <c r="AC17" i="34"/>
  <c r="AZ334" i="3"/>
  <c r="AZ347" i="3"/>
  <c r="AA11" i="39"/>
  <c r="AA41" i="39"/>
  <c r="H5" i="3"/>
  <c r="W44" i="21"/>
  <c r="W47" i="34"/>
  <c r="AZ523" i="3"/>
  <c r="AZ547" i="3"/>
  <c r="AZ571" i="3"/>
  <c r="AZ579" i="3"/>
  <c r="AZ516" i="3"/>
  <c r="W44" i="39"/>
  <c r="AC11" i="35"/>
  <c r="AB23" i="34"/>
  <c r="S26" i="33"/>
  <c r="W31" i="40"/>
  <c r="AZ419" i="3"/>
  <c r="AZ487" i="3"/>
  <c r="J12" i="3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39" i="3"/>
  <c r="BL441" i="3"/>
  <c r="AZ441" i="3" s="1"/>
  <c r="BL442" i="3"/>
  <c r="BL444" i="3"/>
  <c r="AZ444" i="3" s="1"/>
  <c r="G446" i="3"/>
  <c r="BL448" i="3"/>
  <c r="AZ448" i="3" s="1"/>
  <c r="G450" i="3"/>
  <c r="G451" i="3"/>
  <c r="BA454" i="3"/>
  <c r="BA457" i="3"/>
  <c r="BA459" i="3"/>
  <c r="BA460" i="3"/>
  <c r="BA461" i="3"/>
  <c r="BL464" i="3"/>
  <c r="AZ464" i="3" s="1"/>
  <c r="BL466" i="3"/>
  <c r="AZ466" i="3" s="1"/>
  <c r="G468" i="3"/>
  <c r="BL476" i="3"/>
  <c r="AZ476" i="3" s="1"/>
  <c r="BL477" i="3"/>
  <c r="AZ477" i="3" s="1"/>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BA404" i="3"/>
  <c r="BA405" i="3"/>
  <c r="BL410" i="3"/>
  <c r="G412" i="3"/>
  <c r="G418" i="3"/>
  <c r="BA482" i="3"/>
  <c r="BA484" i="3"/>
  <c r="AZ484" i="3" s="1"/>
  <c r="BA303" i="3"/>
  <c r="AZ303" i="3" s="1"/>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G295" i="3"/>
  <c r="B79" i="43"/>
  <c r="H23" i="35"/>
  <c r="J23" i="36"/>
  <c r="H39" i="40"/>
  <c r="BL550"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BA438" i="3"/>
  <c r="AZ438" i="3" s="1"/>
  <c r="G442" i="3"/>
  <c r="G443" i="3"/>
  <c r="BA446" i="3"/>
  <c r="AZ446" i="3" s="1"/>
  <c r="BA450" i="3"/>
  <c r="BA453" i="3"/>
  <c r="AZ453" i="3" s="1"/>
  <c r="BA455" i="3"/>
  <c r="AZ455" i="3" s="1"/>
  <c r="BL457" i="3"/>
  <c r="BL460" i="3"/>
  <c r="BL461" i="3"/>
  <c r="BL463" i="3"/>
  <c r="G465" i="3"/>
  <c r="BA471" i="3"/>
  <c r="G488" i="3"/>
  <c r="G384" i="3"/>
  <c r="G213" i="3"/>
  <c r="G226" i="3"/>
  <c r="BA260" i="3"/>
  <c r="BA270" i="3"/>
  <c r="BA275" i="3"/>
  <c r="BL289" i="3"/>
  <c r="BA367" i="3"/>
  <c r="BA370" i="3"/>
  <c r="AZ370" i="3" s="1"/>
  <c r="BA386" i="3"/>
  <c r="AZ386" i="3" s="1"/>
  <c r="BA216" i="3"/>
  <c r="AZ216" i="3" s="1"/>
  <c r="BA218" i="3"/>
  <c r="BL218" i="3"/>
  <c r="BL220" i="3"/>
  <c r="BL221" i="3"/>
  <c r="BL223" i="3"/>
  <c r="BA227" i="3"/>
  <c r="AZ227" i="3" s="1"/>
  <c r="BA229" i="3"/>
  <c r="BL229" i="3"/>
  <c r="BL231" i="3"/>
  <c r="BL233" i="3"/>
  <c r="AZ233" i="3" s="1"/>
  <c r="BL235" i="3"/>
  <c r="BL236" i="3"/>
  <c r="AZ236" i="3" s="1"/>
  <c r="BL238" i="3"/>
  <c r="BL243" i="3"/>
  <c r="BA247" i="3"/>
  <c r="BL247" i="3"/>
  <c r="BA249" i="3"/>
  <c r="BL249" i="3"/>
  <c r="BA251" i="3"/>
  <c r="BL251" i="3"/>
  <c r="BA253" i="3"/>
  <c r="BL260" i="3"/>
  <c r="BL263" i="3"/>
  <c r="BL270" i="3"/>
  <c r="BA272" i="3"/>
  <c r="AZ272" i="3" s="1"/>
  <c r="BL275" i="3"/>
  <c r="BL285" i="3"/>
  <c r="BL287" i="3"/>
  <c r="BA290" i="3"/>
  <c r="BL299" i="3"/>
  <c r="BL113" i="3"/>
  <c r="BL115" i="3"/>
  <c r="AZ115" i="3" s="1"/>
  <c r="BA118" i="3"/>
  <c r="BL118" i="3"/>
  <c r="G343" i="3"/>
  <c r="G347" i="3"/>
  <c r="BA348" i="3"/>
  <c r="BA350" i="3"/>
  <c r="AZ350" i="3" s="1"/>
  <c r="BA354" i="3"/>
  <c r="BA366" i="3"/>
  <c r="AZ366" i="3" s="1"/>
  <c r="BL375" i="3"/>
  <c r="AZ375" i="3" s="1"/>
  <c r="BL385" i="3"/>
  <c r="AZ385" i="3" s="1"/>
  <c r="G392" i="3"/>
  <c r="BA397" i="3"/>
  <c r="BL397" i="3"/>
  <c r="BA210" i="3"/>
  <c r="BL210" i="3"/>
  <c r="BL212" i="3"/>
  <c r="G214" i="3"/>
  <c r="BL214" i="3"/>
  <c r="AZ214" i="3" s="1"/>
  <c r="G216" i="3"/>
  <c r="BL225" i="3"/>
  <c r="AZ225" i="3" s="1"/>
  <c r="BL226" i="3"/>
  <c r="G227" i="3"/>
  <c r="BA239" i="3"/>
  <c r="BL239" i="3"/>
  <c r="BA241" i="3"/>
  <c r="BL241" i="3"/>
  <c r="BA244" i="3"/>
  <c r="BL244" i="3"/>
  <c r="BA246" i="3"/>
  <c r="BA252" i="3"/>
  <c r="BA254" i="3"/>
  <c r="AZ254" i="3" s="1"/>
  <c r="BA256" i="3"/>
  <c r="BL256" i="3"/>
  <c r="BA258" i="3"/>
  <c r="AZ258" i="3" s="1"/>
  <c r="BL264" i="3"/>
  <c r="BL266" i="3"/>
  <c r="BA268" i="3"/>
  <c r="BL273" i="3"/>
  <c r="AZ273" i="3" s="1"/>
  <c r="G274" i="3"/>
  <c r="BA277" i="3"/>
  <c r="BL277" i="3"/>
  <c r="BA282" i="3"/>
  <c r="BL282" i="3"/>
  <c r="BA284" i="3"/>
  <c r="AZ284" i="3" s="1"/>
  <c r="BL290" i="3"/>
  <c r="BL291" i="3"/>
  <c r="BL293" i="3"/>
  <c r="BL294" i="3"/>
  <c r="AZ294" i="3" s="1"/>
  <c r="BA297" i="3"/>
  <c r="BL297" i="3"/>
  <c r="BL300" i="3"/>
  <c r="BA302" i="3"/>
  <c r="AZ302" i="3" s="1"/>
  <c r="BL123" i="3"/>
  <c r="AZ123" i="3" s="1"/>
  <c r="BL125" i="3"/>
  <c r="BL126" i="3"/>
  <c r="AZ126" i="3" s="1"/>
  <c r="BL175" i="3"/>
  <c r="AZ175" i="3" s="1"/>
  <c r="G184" i="3"/>
  <c r="G202"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BA22" i="3"/>
  <c r="BL139" i="3"/>
  <c r="AZ139" i="3" s="1"/>
  <c r="BL141" i="3"/>
  <c r="BL143" i="3"/>
  <c r="AZ143" i="3" s="1"/>
  <c r="BL157" i="3"/>
  <c r="AZ157" i="3" s="1"/>
  <c r="BL159" i="3"/>
  <c r="AZ159" i="3" s="1"/>
  <c r="BL177" i="3"/>
  <c r="AZ177" i="3" s="1"/>
  <c r="G179" i="3"/>
  <c r="BL183" i="3"/>
  <c r="AZ183" i="3" s="1"/>
  <c r="BA186" i="3"/>
  <c r="AZ186" i="3" s="1"/>
  <c r="BA190" i="3"/>
  <c r="AZ190" i="3" s="1"/>
  <c r="G196" i="3"/>
  <c r="BA197" i="3"/>
  <c r="BL201" i="3"/>
  <c r="AZ201" i="3" s="1"/>
  <c r="BL203" i="3"/>
  <c r="AZ203" i="3" s="1"/>
  <c r="BA204" i="3"/>
  <c r="AZ204" i="3" s="1"/>
  <c r="BA18" i="3"/>
  <c r="G21" i="3"/>
  <c r="BL21" i="3"/>
  <c r="G29" i="3"/>
  <c r="BL29" i="3"/>
  <c r="BA37" i="3"/>
  <c r="BL39" i="3"/>
  <c r="BA45" i="3"/>
  <c r="BA46" i="3"/>
  <c r="BL49" i="3"/>
  <c r="BA52" i="3"/>
  <c r="AZ52" i="3" s="1"/>
  <c r="BA53" i="3"/>
  <c r="BA54" i="3"/>
  <c r="BL57" i="3"/>
  <c r="C55" i="71"/>
  <c r="D54" i="71"/>
  <c r="N67" i="71"/>
  <c r="B66" i="71"/>
  <c r="F66" i="71"/>
  <c r="Q67" i="71"/>
  <c r="V24" i="71"/>
  <c r="E23" i="71"/>
  <c r="E22" i="71" s="1"/>
  <c r="E21" i="71" s="1"/>
  <c r="E20" i="71" s="1"/>
  <c r="E19" i="71" s="1"/>
  <c r="E18" i="71" s="1"/>
  <c r="E17" i="71" s="1"/>
  <c r="E16" i="71" s="1"/>
  <c r="BL134" i="3"/>
  <c r="AZ134" i="3" s="1"/>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G20" i="3"/>
  <c r="BL20" i="3"/>
  <c r="AZ20" i="3" s="1"/>
  <c r="BA21" i="3"/>
  <c r="BA25" i="3"/>
  <c r="AZ25" i="3" s="1"/>
  <c r="BA26" i="3"/>
  <c r="G28" i="3"/>
  <c r="BL28" i="3"/>
  <c r="AZ28" i="3" s="1"/>
  <c r="BA29" i="3"/>
  <c r="AZ29" i="3" s="1"/>
  <c r="BA36" i="3"/>
  <c r="BL38" i="3"/>
  <c r="AZ38" i="3" s="1"/>
  <c r="BA39" i="3"/>
  <c r="BL47" i="3"/>
  <c r="AZ47" i="3" s="1"/>
  <c r="G49" i="3"/>
  <c r="BL54" i="3"/>
  <c r="BL55" i="3"/>
  <c r="AZ55" i="3" s="1"/>
  <c r="G57" i="3"/>
  <c r="G58" i="3"/>
  <c r="BA59" i="3"/>
  <c r="G61" i="3"/>
  <c r="BL61" i="3"/>
  <c r="G64" i="3"/>
  <c r="BA64" i="3"/>
  <c r="BA68" i="3"/>
  <c r="AZ68" i="3" s="1"/>
  <c r="BL70" i="3"/>
  <c r="AZ70" i="3" s="1"/>
  <c r="BL71" i="3"/>
  <c r="BA61" i="3"/>
  <c r="BL69" i="3"/>
  <c r="AZ69" i="3" s="1"/>
  <c r="BA72" i="3"/>
  <c r="AZ72" i="3" s="1"/>
  <c r="BA73" i="3"/>
  <c r="BA80" i="3"/>
  <c r="BL84" i="3"/>
  <c r="BA90" i="3"/>
  <c r="BL94" i="3"/>
  <c r="AZ94" i="3" s="1"/>
  <c r="BA105" i="3"/>
  <c r="C44" i="71"/>
  <c r="C52" i="71"/>
  <c r="D51"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BL194" i="3"/>
  <c r="BA198" i="3"/>
  <c r="AZ198" i="3" s="1"/>
  <c r="G199" i="3"/>
  <c r="G205" i="3"/>
  <c r="BL206" i="3"/>
  <c r="BA19" i="3"/>
  <c r="AZ19" i="3" s="1"/>
  <c r="G22" i="3"/>
  <c r="G24" i="3"/>
  <c r="G25" i="3"/>
  <c r="G27" i="3"/>
  <c r="BA27" i="3"/>
  <c r="AZ27" i="3" s="1"/>
  <c r="G30" i="3"/>
  <c r="BL30" i="3"/>
  <c r="BL31" i="3"/>
  <c r="AZ31" i="3" s="1"/>
  <c r="G35" i="3"/>
  <c r="G36" i="3"/>
  <c r="G37" i="3"/>
  <c r="G40" i="3"/>
  <c r="BL40" i="3"/>
  <c r="AZ40" i="3" s="1"/>
  <c r="BL41" i="3"/>
  <c r="AZ41" i="3" s="1"/>
  <c r="G45" i="3"/>
  <c r="BL45" i="3"/>
  <c r="BA48" i="3"/>
  <c r="AZ48" i="3" s="1"/>
  <c r="BA49" i="3"/>
  <c r="BL64" i="3"/>
  <c r="G65" i="3"/>
  <c r="BL65" i="3"/>
  <c r="AZ65" i="3" s="1"/>
  <c r="BL66" i="3"/>
  <c r="BL67" i="3"/>
  <c r="AZ67" i="3" s="1"/>
  <c r="G69" i="3"/>
  <c r="BA78" i="3"/>
  <c r="BL91" i="3"/>
  <c r="BL93" i="3"/>
  <c r="AZ100"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AZ110" i="3" s="1"/>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AZ51" i="3" s="1"/>
  <c r="G53" i="3"/>
  <c r="BL53" i="3"/>
  <c r="BA56" i="3"/>
  <c r="AZ56" i="3" s="1"/>
  <c r="BA57" i="3"/>
  <c r="BL58" i="3"/>
  <c r="AZ58" i="3" s="1"/>
  <c r="G60" i="3"/>
  <c r="BA60" i="3"/>
  <c r="BA63" i="3"/>
  <c r="AZ63" i="3" s="1"/>
  <c r="BA66" i="3"/>
  <c r="BA71" i="3"/>
  <c r="G76" i="3"/>
  <c r="BL77" i="3"/>
  <c r="AZ77" i="3" s="1"/>
  <c r="BA79" i="3"/>
  <c r="AZ79" i="3" s="1"/>
  <c r="G82" i="3"/>
  <c r="G83" i="3"/>
  <c r="BA84" i="3"/>
  <c r="BL88" i="3"/>
  <c r="AZ88" i="3" s="1"/>
  <c r="G90" i="3"/>
  <c r="BL90" i="3"/>
  <c r="AZ90" i="3" s="1"/>
  <c r="BL92" i="3"/>
  <c r="G101" i="3"/>
  <c r="BA101" i="3"/>
  <c r="G108" i="3"/>
  <c r="G109" i="3"/>
  <c r="BL112" i="3"/>
  <c r="AB21" i="33"/>
  <c r="U25" i="40"/>
  <c r="S21" i="34"/>
  <c r="B68" i="43"/>
  <c r="B88" i="43"/>
  <c r="AB28" i="71"/>
  <c r="AB33" i="71"/>
  <c r="AA30" i="71"/>
  <c r="E35" i="71"/>
  <c r="E36" i="71" s="1"/>
  <c r="U36" i="71" s="1"/>
  <c r="AB31" i="71"/>
  <c r="AA36" i="71"/>
  <c r="B47" i="71"/>
  <c r="B48" i="71" s="1"/>
  <c r="S48"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52" i="3"/>
  <c r="AZ456" i="3"/>
  <c r="AZ470" i="3"/>
  <c r="W35" i="39"/>
  <c r="F27" i="34"/>
  <c r="C21" i="39"/>
  <c r="U9" i="36"/>
  <c r="U14" i="37"/>
  <c r="H12" i="21"/>
  <c r="G526" i="3"/>
  <c r="AZ420" i="3"/>
  <c r="AZ434"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G272" i="3"/>
  <c r="G275" i="3"/>
  <c r="BL276" i="3"/>
  <c r="BL279" i="3"/>
  <c r="AZ279" i="3" s="1"/>
  <c r="BL281" i="3"/>
  <c r="AZ281" i="3" s="1"/>
  <c r="BA285" i="3"/>
  <c r="BA287" i="3"/>
  <c r="AZ287" i="3" s="1"/>
  <c r="AZ290" i="3"/>
  <c r="AZ207" i="3"/>
  <c r="BA289" i="3"/>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202" i="3" s="1"/>
  <c r="AZ30" i="3"/>
  <c r="BL36" i="3"/>
  <c r="AZ36" i="3" s="1"/>
  <c r="AZ73" i="3"/>
  <c r="G200" i="3"/>
  <c r="G207" i="3"/>
  <c r="BA23" i="3"/>
  <c r="AZ23" i="3" s="1"/>
  <c r="BA24" i="3"/>
  <c r="AZ24" i="3" s="1"/>
  <c r="BL26" i="3"/>
  <c r="BL32" i="3"/>
  <c r="AZ32" i="3" s="1"/>
  <c r="BA34" i="3"/>
  <c r="AZ34" i="3" s="1"/>
  <c r="BA35" i="3"/>
  <c r="AZ35" i="3" s="1"/>
  <c r="BL37" i="3"/>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F71" i="15"/>
  <c r="F66" i="67"/>
  <c r="L59" i="15"/>
  <c r="N59" i="15"/>
  <c r="M59" i="15"/>
  <c r="F64" i="15"/>
  <c r="C27" i="67"/>
  <c r="F71" i="67"/>
  <c r="N59" i="67"/>
  <c r="L59" i="67"/>
  <c r="L58" i="67"/>
  <c r="M59" i="67"/>
  <c r="B13" i="70"/>
  <c r="M7" i="67"/>
  <c r="F50" i="67"/>
  <c r="F68" i="15"/>
  <c r="C36" i="68"/>
  <c r="D9" i="69"/>
  <c r="C36" i="69"/>
  <c r="D9" i="68"/>
  <c r="M22" i="67"/>
  <c r="F7" i="15"/>
  <c r="F8" i="15"/>
  <c r="C76" i="67"/>
  <c r="M6" i="15"/>
  <c r="F8" i="67"/>
  <c r="M26" i="15"/>
  <c r="D7" i="73"/>
  <c r="M9" i="67"/>
  <c r="C16" i="67"/>
  <c r="D3" i="73"/>
  <c r="L48" i="15"/>
  <c r="D4" i="73"/>
  <c r="M28" i="67"/>
  <c r="F36" i="67"/>
  <c r="C76" i="15"/>
  <c r="F38" i="15"/>
  <c r="D5" i="73"/>
  <c r="F40" i="67"/>
  <c r="J15" i="67"/>
  <c r="M8" i="15"/>
  <c r="F37" i="67"/>
  <c r="F26" i="15"/>
  <c r="F37" i="15"/>
  <c r="F13" i="67"/>
  <c r="F16" i="15"/>
  <c r="F6" i="67"/>
  <c r="F65" i="15" l="1"/>
  <c r="F66" i="15"/>
  <c r="C6" i="15"/>
  <c r="C32" i="15" s="1"/>
  <c r="F51" i="15"/>
  <c r="C27" i="15"/>
  <c r="Q71" i="15"/>
  <c r="M7" i="15"/>
  <c r="J6" i="15" s="1"/>
  <c r="J18" i="15" s="1"/>
  <c r="F50" i="15"/>
  <c r="AZ26" i="3"/>
  <c r="AZ266" i="3"/>
  <c r="V20" i="71"/>
  <c r="AZ205" i="3"/>
  <c r="AZ275" i="3"/>
  <c r="AZ436" i="3"/>
  <c r="AZ82" i="3"/>
  <c r="AZ443" i="3"/>
  <c r="AZ400" i="3"/>
  <c r="AZ301" i="3"/>
  <c r="AA32" i="36"/>
  <c r="S32" i="36"/>
  <c r="U27" i="37"/>
  <c r="AB27" i="37"/>
  <c r="W33" i="40"/>
  <c r="AC33" i="40"/>
  <c r="S46" i="34"/>
  <c r="AA46" i="34"/>
  <c r="W12" i="34"/>
  <c r="AC12" i="34"/>
  <c r="W14" i="40"/>
  <c r="AC14" i="40"/>
  <c r="S44" i="33"/>
  <c r="AA44" i="33"/>
  <c r="U27" i="39"/>
  <c r="AB27" i="39"/>
  <c r="AC9" i="36"/>
  <c r="W9" i="36"/>
  <c r="AA37" i="39"/>
  <c r="S37" i="39"/>
  <c r="U39" i="39"/>
  <c r="AB39" i="39"/>
  <c r="U30" i="34"/>
  <c r="AB30" i="34"/>
  <c r="AC31" i="21"/>
  <c r="W31" i="21"/>
  <c r="AA28" i="33"/>
  <c r="S28" i="33"/>
  <c r="U14" i="40"/>
  <c r="AB14" i="40"/>
  <c r="W13" i="34"/>
  <c r="AC13" i="34"/>
  <c r="AB44" i="33"/>
  <c r="U44" i="33"/>
  <c r="U44" i="21"/>
  <c r="AB44" i="21"/>
  <c r="AZ112" i="3"/>
  <c r="AZ165" i="3"/>
  <c r="AZ289" i="3"/>
  <c r="AZ71" i="3"/>
  <c r="AZ59" i="3"/>
  <c r="AZ297" i="3"/>
  <c r="AZ241" i="3"/>
  <c r="AZ118" i="3"/>
  <c r="AZ249" i="3"/>
  <c r="AZ218" i="3"/>
  <c r="AZ403" i="3"/>
  <c r="AZ245" i="3"/>
  <c r="C31" i="71"/>
  <c r="W12" i="40"/>
  <c r="AC12" i="40"/>
  <c r="W14" i="21"/>
  <c r="AC14" i="21"/>
  <c r="AC37" i="39"/>
  <c r="W37" i="39"/>
  <c r="U9" i="34"/>
  <c r="AB9" i="34"/>
  <c r="AA30" i="34"/>
  <c r="S30" i="34"/>
  <c r="AC13" i="33"/>
  <c r="W13" i="33"/>
  <c r="AB31" i="21"/>
  <c r="U31" i="21"/>
  <c r="AA44" i="21"/>
  <c r="S44" i="21"/>
  <c r="AA28" i="21"/>
  <c r="S28" i="21"/>
  <c r="AB32" i="36"/>
  <c r="U32" i="36"/>
  <c r="AB35" i="39"/>
  <c r="U35" i="39"/>
  <c r="AA27" i="37"/>
  <c r="S27" i="37"/>
  <c r="AA33" i="40"/>
  <c r="S33" i="40"/>
  <c r="AC13" i="21"/>
  <c r="W13" i="21"/>
  <c r="W46" i="34"/>
  <c r="AC46" i="34"/>
  <c r="S45" i="39"/>
  <c r="AA45" i="39"/>
  <c r="AC31" i="34"/>
  <c r="W31" i="34"/>
  <c r="S27" i="39"/>
  <c r="AA27" i="39"/>
  <c r="J53" i="15"/>
  <c r="L56" i="15" s="1"/>
  <c r="J57" i="15"/>
  <c r="J55" i="15" s="1"/>
  <c r="J58" i="15" s="1"/>
  <c r="Q50" i="15" s="1"/>
  <c r="L58" i="15"/>
  <c r="Q60" i="15" s="1"/>
  <c r="I54" i="15"/>
  <c r="W12" i="35"/>
  <c r="AC12" i="35"/>
  <c r="U12" i="35"/>
  <c r="AB12" i="35"/>
  <c r="AB33" i="36"/>
  <c r="U33" i="36"/>
  <c r="S36" i="39"/>
  <c r="AA36" i="39"/>
  <c r="AA33" i="36"/>
  <c r="S33" i="36"/>
  <c r="E66" i="71"/>
  <c r="P67" i="71"/>
  <c r="AC24" i="36"/>
  <c r="W24" i="36"/>
  <c r="AZ39" i="3"/>
  <c r="AZ21" i="3"/>
  <c r="AZ271" i="3"/>
  <c r="AZ244" i="3"/>
  <c r="AZ239" i="3"/>
  <c r="AZ251" i="3"/>
  <c r="AZ247" i="3"/>
  <c r="AZ229" i="3"/>
  <c r="AC25" i="37"/>
  <c r="W25" i="37"/>
  <c r="AC38" i="40"/>
  <c r="W38" i="40"/>
  <c r="AB39" i="37"/>
  <c r="U39" i="37"/>
  <c r="AB24" i="36"/>
  <c r="U24" i="36"/>
  <c r="AZ101" i="3"/>
  <c r="AZ405" i="3"/>
  <c r="AA25" i="37"/>
  <c r="S25" i="37"/>
  <c r="AC9" i="34"/>
  <c r="W9" i="34"/>
  <c r="H26" i="43"/>
  <c r="Q16" i="1"/>
  <c r="G16" i="1"/>
  <c r="F10" i="39" s="1"/>
  <c r="H16" i="1"/>
  <c r="AA23" i="39"/>
  <c r="S23" i="39"/>
  <c r="AB17" i="39"/>
  <c r="U17" i="39"/>
  <c r="AC17" i="39"/>
  <c r="W17" i="39"/>
  <c r="AA17" i="39"/>
  <c r="S17" i="39"/>
  <c r="AC11" i="39"/>
  <c r="U11" i="39"/>
  <c r="AB11" i="39"/>
  <c r="AZ471" i="3"/>
  <c r="AZ332" i="3"/>
  <c r="AZ62" i="3"/>
  <c r="AZ265" i="3"/>
  <c r="AZ257" i="3"/>
  <c r="B19" i="71"/>
  <c r="B18" i="71" s="1"/>
  <c r="B17" i="71" s="1"/>
  <c r="B16" i="71" s="1"/>
  <c r="S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K31" i="1" s="1"/>
  <c r="L31" i="1" s="1"/>
  <c r="E26" i="43"/>
  <c r="J26" i="43"/>
  <c r="G26" i="43"/>
  <c r="N370" i="46"/>
  <c r="F68" i="67"/>
  <c r="Q71" i="67"/>
  <c r="F64" i="67"/>
  <c r="C6" i="67"/>
  <c r="C32" i="67" s="1"/>
  <c r="F31" i="67"/>
  <c r="F51" i="67"/>
  <c r="F59" i="67" s="1"/>
  <c r="F65" i="67"/>
  <c r="J7" i="37"/>
  <c r="AC7" i="37" s="1"/>
  <c r="G5" i="3"/>
  <c r="B3" i="3" s="1"/>
  <c r="E424" i="3" s="1"/>
  <c r="T28" i="71"/>
  <c r="D28" i="71"/>
  <c r="U28" i="71" s="1"/>
  <c r="C27" i="71"/>
  <c r="D79" i="71"/>
  <c r="C78" i="71"/>
  <c r="D78" i="71" s="1"/>
  <c r="C56" i="71"/>
  <c r="D55" i="71"/>
  <c r="AZ235" i="3"/>
  <c r="AZ459" i="3"/>
  <c r="AZ37" i="3"/>
  <c r="AZ300" i="3"/>
  <c r="AZ129" i="3"/>
  <c r="AZ57" i="3"/>
  <c r="D83" i="71"/>
  <c r="C82" i="71"/>
  <c r="D82" i="71" s="1"/>
  <c r="O65" i="71"/>
  <c r="D66" i="71"/>
  <c r="O66" i="71"/>
  <c r="C36" i="71"/>
  <c r="D35" i="71"/>
  <c r="AZ130" i="3"/>
  <c r="T52" i="71"/>
  <c r="D52" i="71"/>
  <c r="N65" i="71"/>
  <c r="N66"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AA7" i="36"/>
  <c r="R36" i="36" s="1"/>
  <c r="W7" i="37"/>
  <c r="F7" i="33"/>
  <c r="E58" i="21"/>
  <c r="F7" i="37"/>
  <c r="M17" i="67"/>
  <c r="M17" i="15"/>
  <c r="F59" i="15"/>
  <c r="P28" i="43"/>
  <c r="B66" i="40" s="1"/>
  <c r="P25" i="43"/>
  <c r="P29" i="43"/>
  <c r="P27" i="43"/>
  <c r="Q60" i="67"/>
  <c r="Q73" i="67"/>
  <c r="M11" i="67"/>
  <c r="J10" i="67" s="1"/>
  <c r="F11" i="15"/>
  <c r="M11" i="15"/>
  <c r="J10" i="15" s="1"/>
  <c r="F11" i="67"/>
  <c r="F1" i="67"/>
  <c r="Q52" i="67"/>
  <c r="Q61" i="67"/>
  <c r="Q74" i="67"/>
  <c r="Q74" i="15"/>
  <c r="Q61" i="15"/>
  <c r="AE11" i="1"/>
  <c r="AE9" i="1"/>
  <c r="F27" i="68"/>
  <c r="AE7" i="1"/>
  <c r="AE8" i="1"/>
  <c r="AE12" i="1"/>
  <c r="AE10" i="1"/>
  <c r="F41" i="67"/>
  <c r="C16" i="15"/>
  <c r="G1" i="73"/>
  <c r="J5" i="15" l="1"/>
  <c r="J24" i="15" s="1"/>
  <c r="C49" i="15"/>
  <c r="F1" i="15"/>
  <c r="C32" i="71"/>
  <c r="D31" i="71"/>
  <c r="Q52" i="15"/>
  <c r="Q73" i="15"/>
  <c r="P65" i="71"/>
  <c r="P66" i="71"/>
  <c r="AZ5" i="3"/>
  <c r="B70" i="39"/>
  <c r="D26" i="43"/>
  <c r="C25" i="43" s="1"/>
  <c r="E119" i="3"/>
  <c r="E268" i="3"/>
  <c r="E228" i="3"/>
  <c r="E384" i="3"/>
  <c r="E253" i="3"/>
  <c r="E121" i="3"/>
  <c r="E153" i="3"/>
  <c r="E315" i="3"/>
  <c r="E433" i="3"/>
  <c r="E229" i="3"/>
  <c r="E131" i="3"/>
  <c r="E215" i="3"/>
  <c r="E561" i="3"/>
  <c r="E302" i="3"/>
  <c r="X6" i="3"/>
  <c r="E377" i="3"/>
  <c r="E347" i="3"/>
  <c r="E27" i="3"/>
  <c r="E578" i="3"/>
  <c r="E443" i="3"/>
  <c r="E196" i="3"/>
  <c r="E378" i="3"/>
  <c r="E563" i="3"/>
  <c r="E89" i="3"/>
  <c r="E216" i="3"/>
  <c r="E318" i="3"/>
  <c r="V6" i="3"/>
  <c r="E212" i="3"/>
  <c r="E371" i="3"/>
  <c r="E287" i="3"/>
  <c r="E78" i="3"/>
  <c r="E498" i="3"/>
  <c r="E299" i="3"/>
  <c r="E524" i="3"/>
  <c r="E250" i="3"/>
  <c r="E284" i="3"/>
  <c r="E341" i="3"/>
  <c r="E179" i="3"/>
  <c r="E154" i="3"/>
  <c r="E98" i="3"/>
  <c r="E461" i="3"/>
  <c r="E313" i="3"/>
  <c r="E288" i="3"/>
  <c r="E54" i="3"/>
  <c r="E93" i="3"/>
  <c r="E379"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442" i="3"/>
  <c r="E264" i="3"/>
  <c r="E86" i="3"/>
  <c r="E326" i="3"/>
  <c r="E43" i="3"/>
  <c r="E218" i="3"/>
  <c r="E421" i="3"/>
  <c r="E436" i="3"/>
  <c r="Y6" i="3"/>
  <c r="E167" i="3"/>
  <c r="E82" i="3"/>
  <c r="E157" i="3"/>
  <c r="W6" i="3"/>
  <c r="E257" i="3"/>
  <c r="E145" i="3"/>
  <c r="E547" i="3"/>
  <c r="E126" i="3"/>
  <c r="E29" i="3"/>
  <c r="E328" i="3"/>
  <c r="E97" i="3"/>
  <c r="E418"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261" i="3"/>
  <c r="E180" i="3"/>
  <c r="E586" i="3"/>
  <c r="E568" i="3"/>
  <c r="E277" i="3"/>
  <c r="E406" i="3"/>
  <c r="E106" i="3"/>
  <c r="E362" i="3"/>
  <c r="E204" i="3"/>
  <c r="E345" i="3"/>
  <c r="E70" i="3"/>
  <c r="E572" i="3"/>
  <c r="AJ6" i="3"/>
  <c r="E201" i="3"/>
  <c r="AB6" i="3"/>
  <c r="E189" i="3"/>
  <c r="E172" i="3"/>
  <c r="E135" i="3"/>
  <c r="AI6" i="3"/>
  <c r="E100" i="3"/>
  <c r="E132" i="3"/>
  <c r="E483" i="3"/>
  <c r="E240" i="3"/>
  <c r="E142" i="3"/>
  <c r="E491" i="3"/>
  <c r="E456" i="3"/>
  <c r="E223" i="3"/>
  <c r="E137" i="3"/>
  <c r="E398" i="3"/>
  <c r="E520" i="3"/>
  <c r="E266" i="3"/>
  <c r="E459" i="3"/>
  <c r="E413" i="3"/>
  <c r="E122" i="3"/>
  <c r="E532" i="3"/>
  <c r="E471" i="3"/>
  <c r="E357" i="3"/>
  <c r="U6" i="3"/>
  <c r="E403" i="3"/>
  <c r="E272" i="3"/>
  <c r="E319" i="3"/>
  <c r="O6" i="3"/>
  <c r="E390" i="3"/>
  <c r="E321" i="3"/>
  <c r="E565" i="3"/>
  <c r="E254" i="3"/>
  <c r="E280" i="3"/>
  <c r="E128" i="3"/>
  <c r="Q6" i="3"/>
  <c r="E429" i="3"/>
  <c r="E256" i="3"/>
  <c r="I6" i="3"/>
  <c r="E448" i="3"/>
  <c r="E444" i="3"/>
  <c r="E295" i="3"/>
  <c r="E366" i="3"/>
  <c r="E516" i="3"/>
  <c r="E358" i="3"/>
  <c r="E294" i="3"/>
  <c r="E395" i="3"/>
  <c r="E61" i="3"/>
  <c r="E336" i="3"/>
  <c r="E314" i="3"/>
  <c r="E519" i="3"/>
  <c r="E571" i="3"/>
  <c r="E150" i="3"/>
  <c r="E567" i="3"/>
  <c r="E515" i="3"/>
  <c r="AS6" i="3"/>
  <c r="E186" i="3"/>
  <c r="E175" i="3"/>
  <c r="E388" i="3"/>
  <c r="E270" i="3"/>
  <c r="E380" i="3"/>
  <c r="E528" i="3"/>
  <c r="E91" i="3"/>
  <c r="E124" i="3"/>
  <c r="E181" i="3"/>
  <c r="E133" i="3"/>
  <c r="E587" i="3"/>
  <c r="E146" i="3"/>
  <c r="E74" i="3"/>
  <c r="Z6" i="3"/>
  <c r="E557" i="3"/>
  <c r="E182" i="3"/>
  <c r="E217" i="3"/>
  <c r="E509" i="3"/>
  <c r="E311" i="3"/>
  <c r="E387" i="3"/>
  <c r="E69" i="3"/>
  <c r="E445" i="3"/>
  <c r="E191" i="3"/>
  <c r="E385" i="3"/>
  <c r="E200" i="3"/>
  <c r="E296" i="3"/>
  <c r="E487" i="3"/>
  <c r="E118" i="3"/>
  <c r="E198" i="3"/>
  <c r="E225" i="3"/>
  <c r="E346" i="3"/>
  <c r="E147" i="3"/>
  <c r="E65" i="3"/>
  <c r="E582" i="3"/>
  <c r="E259" i="3"/>
  <c r="E195" i="3"/>
  <c r="E307" i="3"/>
  <c r="E306" i="3"/>
  <c r="E64" i="3"/>
  <c r="E360" i="3"/>
  <c r="E440" i="3"/>
  <c r="E123" i="3"/>
  <c r="E90" i="3"/>
  <c r="E209" i="3"/>
  <c r="E39" i="3"/>
  <c r="E488" i="3"/>
  <c r="E504" i="3"/>
  <c r="E352" i="3"/>
  <c r="E529" i="3"/>
  <c r="E475" i="3"/>
  <c r="E397" i="3"/>
  <c r="E548" i="3"/>
  <c r="E546" i="3"/>
  <c r="E317" i="3"/>
  <c r="E501" i="3"/>
  <c r="E574" i="3"/>
  <c r="E523" i="3"/>
  <c r="E298" i="3"/>
  <c r="E213" i="3"/>
  <c r="E303" i="3"/>
  <c r="AA6" i="3"/>
  <c r="E262" i="3"/>
  <c r="E481" i="3"/>
  <c r="E496" i="3"/>
  <c r="E274" i="3"/>
  <c r="E252" i="3"/>
  <c r="P6" i="3"/>
  <c r="E404" i="3"/>
  <c r="E334" i="3"/>
  <c r="E553" i="3"/>
  <c r="E569" i="3"/>
  <c r="E551" i="3"/>
  <c r="E230" i="3"/>
  <c r="E260" i="3"/>
  <c r="E382" i="3"/>
  <c r="E583" i="3"/>
  <c r="E511" i="3"/>
  <c r="E458" i="3"/>
  <c r="E450" i="3"/>
  <c r="E279" i="3"/>
  <c r="E269" i="3"/>
  <c r="E478" i="3"/>
  <c r="E476" i="3"/>
  <c r="E331" i="3"/>
  <c r="E530" i="3"/>
  <c r="E555" i="3"/>
  <c r="AR6" i="3"/>
  <c r="E231" i="3"/>
  <c r="E183" i="3"/>
  <c r="E301" i="3"/>
  <c r="E399" i="3"/>
  <c r="E545" i="3"/>
  <c r="E560" i="3"/>
  <c r="E577" i="3"/>
  <c r="E171" i="3"/>
  <c r="E368" i="3"/>
  <c r="AO6" i="3"/>
  <c r="E531" i="3"/>
  <c r="E273" i="3"/>
  <c r="E526" i="3"/>
  <c r="E579" i="3"/>
  <c r="E570" i="3"/>
  <c r="E335" i="3"/>
  <c r="E278" i="3"/>
  <c r="E535" i="3"/>
  <c r="E263" i="3"/>
  <c r="E246" i="3"/>
  <c r="E148" i="3"/>
  <c r="E275" i="3"/>
  <c r="E219" i="3"/>
  <c r="E94" i="3"/>
  <c r="E369" i="3"/>
  <c r="E139" i="3"/>
  <c r="E423" i="3"/>
  <c r="M6" i="3"/>
  <c r="E28" i="3"/>
  <c r="E468" i="3"/>
  <c r="E350" i="3"/>
  <c r="E337" i="3"/>
  <c r="E414" i="3"/>
  <c r="E527" i="3"/>
  <c r="E117" i="3"/>
  <c r="E282" i="3"/>
  <c r="E164" i="3"/>
  <c r="E177" i="3"/>
  <c r="E169" i="3"/>
  <c r="AM6" i="3"/>
  <c r="E208" i="3"/>
  <c r="E248" i="3"/>
  <c r="E242" i="3"/>
  <c r="E161" i="3"/>
  <c r="E247" i="3"/>
  <c r="E485" i="3"/>
  <c r="E472" i="3"/>
  <c r="E503" i="3"/>
  <c r="E343" i="3"/>
  <c r="E271" i="3"/>
  <c r="E45" i="3"/>
  <c r="E130" i="3"/>
  <c r="E30" i="3"/>
  <c r="E580" i="3"/>
  <c r="E156" i="3"/>
  <c r="E506" i="3"/>
  <c r="E92" i="3"/>
  <c r="E438" i="3"/>
  <c r="E55" i="3"/>
  <c r="E402" i="3"/>
  <c r="E285" i="3"/>
  <c r="E432" i="3"/>
  <c r="AY6" i="3"/>
  <c r="F27" i="69"/>
  <c r="Q19" i="1"/>
  <c r="D22" i="7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E3" i="6"/>
  <c r="D37" i="11" s="1"/>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144" i="3"/>
  <c r="AY155" i="3"/>
  <c r="AY152" i="3"/>
  <c r="AY131" i="3"/>
  <c r="AY253" i="3"/>
  <c r="AY268" i="3"/>
  <c r="AY303" i="3"/>
  <c r="AY103" i="3"/>
  <c r="AY74" i="3"/>
  <c r="AY183" i="3"/>
  <c r="AY363" i="3"/>
  <c r="AY319" i="3"/>
  <c r="AY409" i="3"/>
  <c r="AY529" i="3"/>
  <c r="AY228" i="3"/>
  <c r="AY217" i="3"/>
  <c r="AY465" i="3"/>
  <c r="AY463" i="3"/>
  <c r="BK6" i="3"/>
  <c r="AY544" i="3"/>
  <c r="AY108" i="3"/>
  <c r="AY92" i="3"/>
  <c r="AY28" i="3"/>
  <c r="AY33" i="3"/>
  <c r="AY138" i="3"/>
  <c r="AY165" i="3"/>
  <c r="AY294" i="3"/>
  <c r="AY278" i="3"/>
  <c r="AY214" i="3"/>
  <c r="AY219" i="3"/>
  <c r="AY554" i="3"/>
  <c r="BH6" i="3"/>
  <c r="AY24" i="3"/>
  <c r="AY202" i="3"/>
  <c r="AY290" i="3"/>
  <c r="AY259" i="3"/>
  <c r="AY349" i="3"/>
  <c r="AY333" i="3"/>
  <c r="AY488" i="3"/>
  <c r="AY472" i="3"/>
  <c r="AY427" i="3"/>
  <c r="AY411" i="3"/>
  <c r="BF6" i="3"/>
  <c r="AY571" i="3"/>
  <c r="AY98" i="3"/>
  <c r="AY18" i="3"/>
  <c r="AY334" i="3"/>
  <c r="AY486" i="3"/>
  <c r="AY390" i="3"/>
  <c r="AY355" i="3"/>
  <c r="AY574" i="3"/>
  <c r="BO6" i="3"/>
  <c r="AY25" i="3"/>
  <c r="AY182" i="3"/>
  <c r="AY271" i="3"/>
  <c r="AY239" i="3"/>
  <c r="BI6" i="3"/>
  <c r="AY93" i="3"/>
  <c r="AY243" i="3"/>
  <c r="AY226" i="3"/>
  <c r="AY464" i="3"/>
  <c r="AY454" i="3"/>
  <c r="AY527" i="3"/>
  <c r="AY518" i="3"/>
  <c r="AY523" i="3"/>
  <c r="AY112" i="3"/>
  <c r="AY292" i="3"/>
  <c r="AY147" i="3"/>
  <c r="AY43" i="3"/>
  <c r="AY116" i="3"/>
  <c r="AY436" i="3"/>
  <c r="AY417" i="3"/>
  <c r="AY69" i="3"/>
  <c r="AY84" i="3"/>
  <c r="AY141" i="3"/>
  <c r="AY134" i="3"/>
  <c r="AY384" i="3"/>
  <c r="AY373" i="3"/>
  <c r="AY181" i="3"/>
  <c r="AY161" i="3"/>
  <c r="AY309" i="3"/>
  <c r="AY324" i="3"/>
  <c r="AY503" i="3"/>
  <c r="AY580" i="3"/>
  <c r="AY584" i="3"/>
  <c r="AY494" i="3"/>
  <c r="AY101" i="3"/>
  <c r="AY96" i="3"/>
  <c r="AY37" i="3"/>
  <c r="AY189" i="3"/>
  <c r="AY129" i="3"/>
  <c r="AY287" i="3"/>
  <c r="AY234" i="3"/>
  <c r="AY223" i="3"/>
  <c r="AY345" i="3"/>
  <c r="AY313" i="3"/>
  <c r="AY487" i="3"/>
  <c r="AY471" i="3"/>
  <c r="AY458" i="3"/>
  <c r="AY442" i="3"/>
  <c r="AY423" i="3"/>
  <c r="AY579" i="3"/>
  <c r="D3" i="6"/>
  <c r="AY524" i="3"/>
  <c r="AY542" i="3"/>
  <c r="BR6" i="3"/>
  <c r="BA6" i="3"/>
  <c r="AY94" i="3"/>
  <c r="AY35" i="3"/>
  <c r="AY192" i="3"/>
  <c r="AY135" i="3"/>
  <c r="AY127" i="3"/>
  <c r="AY264" i="3"/>
  <c r="AY221" i="3"/>
  <c r="AY331" i="3"/>
  <c r="AY346" i="3"/>
  <c r="AY456" i="3"/>
  <c r="AY424" i="3"/>
  <c r="AY517" i="3"/>
  <c r="AY512" i="3"/>
  <c r="AY86" i="3"/>
  <c r="AY55" i="3"/>
  <c r="AY184" i="3"/>
  <c r="AY179" i="3"/>
  <c r="AY119" i="3"/>
  <c r="AY273" i="3"/>
  <c r="AY213" i="3"/>
  <c r="AY391" i="3"/>
  <c r="AY338" i="3"/>
  <c r="AY306" i="3"/>
  <c r="AY416" i="3"/>
  <c r="AY550" i="3"/>
  <c r="AY504" i="3"/>
  <c r="AY586" i="3"/>
  <c r="AY142" i="3"/>
  <c r="AY122" i="3"/>
  <c r="AY385" i="3"/>
  <c r="AY321" i="3"/>
  <c r="AY461" i="3"/>
  <c r="AY450" i="3"/>
  <c r="AY17" i="3"/>
  <c r="AY564" i="3"/>
  <c r="AY548" i="3"/>
  <c r="AY110" i="3"/>
  <c r="AY140" i="3"/>
  <c r="AY120" i="3"/>
  <c r="AY383" i="3"/>
  <c r="AY347" i="3"/>
  <c r="AY421" i="3"/>
  <c r="AY528" i="3"/>
  <c r="AY22" i="3"/>
  <c r="AY19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34"/>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AE6" i="1"/>
  <c r="F41" i="15"/>
  <c r="M27" i="67"/>
  <c r="C48" i="15" l="1"/>
  <c r="C66" i="15" s="1"/>
  <c r="T32" i="71"/>
  <c r="D32" i="71"/>
  <c r="H6" i="3"/>
  <c r="M18" i="9"/>
  <c r="B118" i="9" s="1"/>
  <c r="D3" i="33"/>
  <c r="E6" i="6"/>
  <c r="D10" i="11" s="1"/>
  <c r="C10" i="11" s="1"/>
  <c r="C17" i="4"/>
  <c r="B4" i="52" s="1"/>
  <c r="B43" i="72" s="1"/>
  <c r="D3" i="2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L18" i="9"/>
  <c r="D14" i="12"/>
  <c r="D17" i="12" s="1"/>
  <c r="C17" i="12" s="1"/>
  <c r="BT6" i="3"/>
  <c r="AY443" i="3"/>
  <c r="AY386" i="3"/>
  <c r="AY143" i="3"/>
  <c r="AY71" i="3"/>
  <c r="AY500" i="3"/>
  <c r="AY315" i="3"/>
  <c r="AY265" i="3"/>
  <c r="AY19" i="3"/>
  <c r="BP6" i="3"/>
  <c r="AY522" i="3"/>
  <c r="AY402" i="3"/>
  <c r="AY479" i="3"/>
  <c r="AY361" i="3"/>
  <c r="AY113" i="3"/>
  <c r="AY64" i="3"/>
  <c r="AY413" i="3"/>
  <c r="AY339" i="3"/>
  <c r="AY288" i="3"/>
  <c r="AY102" i="3"/>
  <c r="AY440" i="3"/>
  <c r="AY216" i="3"/>
  <c r="AY30" i="3"/>
  <c r="AY530" i="3"/>
  <c r="AY399" i="3"/>
  <c r="AY304" i="3"/>
  <c r="AY218" i="3"/>
  <c r="AY205" i="3"/>
  <c r="BC6" i="3"/>
  <c r="AY448" i="3"/>
  <c r="AY323" i="3"/>
  <c r="AY256" i="3"/>
  <c r="AY128" i="3"/>
  <c r="AY27" i="3"/>
  <c r="AY587" i="3"/>
  <c r="AY558" i="3"/>
  <c r="AY466" i="3"/>
  <c r="AY376" i="3"/>
  <c r="AY249" i="3"/>
  <c r="AY167" i="3"/>
  <c r="AY78" i="3"/>
  <c r="AY578" i="3"/>
  <c r="AY509" i="3"/>
  <c r="AY499" i="3"/>
  <c r="AY439" i="3"/>
  <c r="AY453" i="3"/>
  <c r="AY328" i="3"/>
  <c r="AY364" i="3"/>
  <c r="AY266" i="3"/>
  <c r="AY169" i="3"/>
  <c r="AY48" i="3"/>
  <c r="AY519" i="3"/>
  <c r="AY552"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B14" i="74"/>
  <c r="B1" i="74" s="1"/>
  <c r="D3" i="37"/>
  <c r="D19" i="11"/>
  <c r="C19" i="11" s="1"/>
  <c r="AY566" i="3"/>
  <c r="AY477" i="3"/>
  <c r="AY240" i="3"/>
  <c r="AY164" i="3"/>
  <c r="AY107" i="3"/>
  <c r="AY408" i="3"/>
  <c r="AY359" i="3"/>
  <c r="AY301" i="3"/>
  <c r="AY62" i="3"/>
  <c r="AY545" i="3"/>
  <c r="AY538" i="3"/>
  <c r="AY434" i="3"/>
  <c r="AY320" i="3"/>
  <c r="AY396" i="3"/>
  <c r="AY153" i="3"/>
  <c r="AY567" i="3"/>
  <c r="AY432" i="3"/>
  <c r="AY375" i="3"/>
  <c r="AY175" i="3"/>
  <c r="AY576" i="3"/>
  <c r="AY482" i="3"/>
  <c r="AY296" i="3"/>
  <c r="AY47" i="3"/>
  <c r="AY537" i="3"/>
  <c r="AY418" i="3"/>
  <c r="AY336" i="3"/>
  <c r="AY235" i="3"/>
  <c r="AY498" i="3"/>
  <c r="BD6" i="3"/>
  <c r="AY459" i="3"/>
  <c r="AY367" i="3"/>
  <c r="AY241" i="3"/>
  <c r="AY159" i="3"/>
  <c r="AY70" i="3"/>
  <c r="BL6" i="3"/>
  <c r="AY405" i="3"/>
  <c r="AY314" i="3"/>
  <c r="AY378" i="3"/>
  <c r="AY280" i="3"/>
  <c r="AY187" i="3"/>
  <c r="AY63" i="3"/>
  <c r="AY531" i="3"/>
  <c r="AY502" i="3"/>
  <c r="AY506" i="3"/>
  <c r="AY410" i="3"/>
  <c r="AY484" i="3"/>
  <c r="AY344" i="3"/>
  <c r="AY369" i="3"/>
  <c r="AY282" i="3"/>
  <c r="AY158" i="3"/>
  <c r="AY80" i="3"/>
  <c r="AY514"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C47" i="69"/>
  <c r="D45" i="69" s="1"/>
  <c r="C29" i="69"/>
  <c r="D27" i="69" s="1"/>
  <c r="F45" i="69"/>
  <c r="D21" i="7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D25" i="6"/>
  <c r="D15" i="6"/>
  <c r="D22" i="6"/>
  <c r="D21" i="6"/>
  <c r="D24" i="6"/>
  <c r="D20" i="6"/>
  <c r="M19" i="9"/>
  <c r="C118" i="9" s="1"/>
  <c r="D26" i="6"/>
  <c r="D8" i="6"/>
  <c r="D14"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7" i="67"/>
  <c r="C14" i="67"/>
  <c r="C60" i="15" l="1"/>
  <c r="H24" i="6"/>
  <c r="D6" i="6"/>
  <c r="D30" i="6"/>
  <c r="H22" i="6"/>
  <c r="H25" i="6"/>
  <c r="R25" i="6" s="1"/>
  <c r="R12" i="1" s="1"/>
  <c r="C14" i="74"/>
  <c r="B2" i="74" s="1"/>
  <c r="F41" i="68"/>
  <c r="C26" i="69"/>
  <c r="D22" i="69" s="1"/>
  <c r="T20" i="71"/>
  <c r="D20" i="71"/>
  <c r="U20" i="71" s="1"/>
  <c r="C19" i="71"/>
  <c r="C60" i="67"/>
  <c r="C24" i="11"/>
  <c r="C25" i="11"/>
  <c r="C23" i="11"/>
  <c r="C26" i="11"/>
  <c r="D22" i="11" s="1"/>
  <c r="C26" i="68"/>
  <c r="D22" i="68" s="1"/>
  <c r="C44" i="69"/>
  <c r="D41"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8" i="74" l="1"/>
  <c r="D7" i="74"/>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D17" i="71"/>
  <c r="C16"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M21" i="67"/>
  <c r="M21" i="15"/>
  <c r="F35" i="15"/>
  <c r="F35" i="67"/>
  <c r="C32" i="12" l="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7"/>
  <c r="D2" i="36"/>
  <c r="D2" i="3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11" i="1"/>
  <c r="AO12" i="1"/>
  <c r="AO7" i="1"/>
  <c r="AO9"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102" i="9" l="1"/>
  <c r="D21" i="9"/>
  <c r="C48" i="39"/>
  <c r="B64" i="39" s="1"/>
  <c r="F64" i="39" s="1"/>
  <c r="B6" i="70"/>
  <c r="B2" i="70" s="1"/>
  <c r="B3" i="70" s="1"/>
  <c r="B3" i="15"/>
  <c r="D10" i="71"/>
  <c r="C9" i="71"/>
  <c r="I46" i="40"/>
  <c r="J46" i="40" s="1"/>
  <c r="R43" i="40"/>
  <c r="E42" i="40"/>
  <c r="G47" i="40"/>
  <c r="H47" i="40" s="1"/>
  <c r="G46" i="40"/>
  <c r="H46" i="40" s="1"/>
  <c r="D20" i="9"/>
  <c r="B56" i="39" l="1"/>
  <c r="F56" i="39" s="1"/>
  <c r="B63" i="39"/>
  <c r="F63"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7" i="68"/>
  <c r="C5" i="68" s="1"/>
  <c r="D7" i="71"/>
  <c r="C6" i="71"/>
  <c r="C23" i="68" l="1"/>
  <c r="C20" i="68"/>
  <c r="D6" i="71"/>
  <c r="C5" i="71"/>
  <c r="D5" i="71" s="1"/>
  <c r="M24" i="43" s="1"/>
  <c r="C28" i="68" l="1"/>
  <c r="C27" i="68" s="1"/>
  <c r="C25" i="68"/>
  <c r="C22" i="68" s="1"/>
  <c r="C31" i="68" l="1"/>
  <c r="C52" i="68" s="1"/>
  <c r="B2" i="68" s="1"/>
  <c r="C19" i="9"/>
  <c r="G19" i="9" l="1"/>
  <c r="C102" i="9"/>
  <c r="D22" i="9"/>
  <c r="C21" i="9"/>
  <c r="B3" i="68"/>
  <c r="C57" i="68"/>
  <c r="C56" i="68" s="1"/>
  <c r="D35" i="9"/>
  <c r="C20" i="9"/>
  <c r="D34" i="9"/>
  <c r="G20" i="9" l="1"/>
  <c r="C103" i="9"/>
  <c r="C32" i="9"/>
  <c r="C35" i="9" s="1"/>
  <c r="C34" i="9" s="1"/>
  <c r="G21" i="9"/>
  <c r="F118" i="9" l="1"/>
  <c r="D118" i="9"/>
  <c r="H118" i="9"/>
  <c r="C104" i="9" l="1"/>
  <c r="G118" i="9"/>
  <c r="D4" i="52"/>
  <c r="B47" i="72" s="1"/>
  <c r="H4" i="52"/>
  <c r="I118" i="9"/>
  <c r="D119" i="9"/>
  <c r="D5" i="52" s="1"/>
  <c r="B49" i="72" s="1"/>
  <c r="H119" i="9"/>
  <c r="H5" i="52" s="1"/>
  <c r="F4" i="52"/>
  <c r="B51" i="72" s="1"/>
  <c r="F119" i="9"/>
  <c r="F5" i="52" s="1"/>
  <c r="B53" i="72" s="1"/>
  <c r="H101" i="9"/>
  <c r="D14" i="74" s="1"/>
  <c r="H102" i="9" l="1"/>
  <c r="D7" i="53" s="1"/>
  <c r="B21" i="72" s="1"/>
  <c r="G4" i="52"/>
  <c r="B52" i="72" s="1"/>
  <c r="E14" i="74"/>
  <c r="F14" i="74"/>
  <c r="B5" i="74"/>
  <c r="D5" i="74" s="1"/>
  <c r="E118" i="9"/>
  <c r="C105" i="9"/>
  <c r="I4" i="52"/>
  <c r="H107" i="9"/>
  <c r="G14" i="74" s="1"/>
  <c r="M48" i="9"/>
  <c r="D45" i="9"/>
  <c r="D5" i="53"/>
  <c r="E4" i="52" l="1"/>
  <c r="B48" i="72" s="1"/>
  <c r="B6" i="74"/>
  <c r="D6" i="74" s="1"/>
  <c r="C5" i="74"/>
  <c r="D6" i="53"/>
  <c r="B22" i="72" s="1"/>
  <c r="B20" i="72"/>
  <c r="C78" i="9"/>
  <c r="C73" i="9" s="1"/>
  <c r="D52" i="9"/>
  <c r="C85" i="9"/>
  <c r="D55" i="9"/>
  <c r="M53" i="9" s="1"/>
  <c r="D53" i="9"/>
  <c r="C64" i="9"/>
  <c r="C63" i="9" s="1"/>
  <c r="C67" i="9" s="1"/>
  <c r="C93" i="9"/>
  <c r="C86" i="9" s="1"/>
  <c r="C72" i="9"/>
  <c r="D122" i="9"/>
  <c r="H108" i="9"/>
  <c r="D13" i="53"/>
  <c r="M49" i="9"/>
  <c r="B30" i="72" l="1"/>
  <c r="D14" i="53"/>
  <c r="B32" i="72" s="1"/>
  <c r="C95" i="9"/>
  <c r="D59" i="9"/>
  <c r="M55" i="9" s="1"/>
  <c r="C68" i="9"/>
  <c r="D54" i="9" s="1"/>
  <c r="D8" i="52"/>
  <c r="D123" i="9"/>
  <c r="D9" i="52" s="1"/>
  <c r="D15" i="53"/>
  <c r="B31" i="72" s="1"/>
  <c r="C6" i="74"/>
  <c r="L64" i="9"/>
  <c r="M64" i="9" s="1"/>
  <c r="L68" i="9"/>
  <c r="M68" i="9" s="1"/>
  <c r="L63" i="9"/>
  <c r="M63" i="9" s="1"/>
  <c r="L65" i="9"/>
  <c r="M65" i="9" s="1"/>
  <c r="L67" i="9"/>
  <c r="M67" i="9" s="1"/>
  <c r="L66" i="9"/>
  <c r="M66" i="9" s="1"/>
  <c r="C79" i="9"/>
  <c r="M69" i="9" l="1"/>
  <c r="N69" i="9" s="1"/>
  <c r="C80" i="9"/>
  <c r="E80" i="9" s="1"/>
  <c r="E81" i="9" s="1"/>
  <c r="C96" i="9"/>
  <c r="E96" i="9" s="1"/>
  <c r="E97"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<sst xmlns="http://schemas.openxmlformats.org/spreadsheetml/2006/main" count="10371" uniqueCount="4371">
  <si>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</si>
  <si>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</si>
  <si>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</si>
  <si>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</si>
  <si>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</si>
  <si>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</si>
  <si>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</si>
  <si>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</si>
  <si>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</si>
  <si>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</si>
  <si>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</si>
  <si>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</si>
  <si>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</si>
  <si>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</si>
  <si>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</si>
  <si>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</si>
  <si>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</si>
  <si>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</si>
  <si>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</si>
  <si>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</si>
  <si>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</si>
  <si>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</si>
  <si>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</si>
  <si>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</si>
  <si>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</si>
  <si>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</si>
  <si>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</si>
  <si>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</si>
  <si>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</si>
  <si>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</si>
  <si>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</si>
  <si>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</si>
  <si>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</si>
  <si>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</si>
  <si>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</si>
  <si>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</si>
  <si>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</si>
  <si>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</si>
  <si>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</si>
  <si>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</si>
  <si>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</si>
  <si>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</si>
  <si>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</si>
  <si>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</si>
  <si>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</si>
  <si>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</si>
  <si>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</si>
  <si>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</si>
  <si>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</si>
  <si>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</si>
  <si>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</si>
  <si>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</si>
  <si>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</si>
  <si>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</si>
  <si>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</si>
  <si>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</si>
  <si>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</si>
  <si>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</si>
  <si>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</si>
  <si>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</si>
  <si>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</si>
  <si>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</si>
  <si>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</si>
  <si>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</si>
  <si>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</si>
  <si>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</si>
  <si>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</si>
  <si>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</si>
  <si>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</si>
  <si>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</si>
  <si>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</si>
  <si>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</si>
  <si>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</si>
  <si>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</si>
  <si>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</si>
  <si>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</si>
  <si>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</si>
  <si>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</si>
  <si>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</si>
  <si>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</si>
  <si>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</si>
  <si>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</si>
  <si>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</si>
  <si>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</si>
  <si>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</si>
  <si>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</si>
  <si>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</si>
  <si>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</si>
  <si>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</si>
  <si>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</si>
  <si>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</si>
  <si>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</si>
  <si>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</si>
  <si>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</si>
  <si>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</si>
  <si>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</si>
  <si>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</si>
  <si>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</si>
  <si>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</si>
  <si>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</si>
  <si>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</si>
  <si>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</si>
  <si>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</si>
  <si>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</si>
  <si>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</si>
  <si>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</si>
  <si>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</si>
  <si>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</si>
  <si>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</si>
  <si>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</si>
  <si>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</si>
  <si>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</si>
  <si>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</si>
  <si>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</si>
  <si>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</si>
  <si>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</si>
  <si>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</si>
  <si>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</si>
  <si>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</si>
  <si>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</si>
  <si>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</si>
  <si>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</si>
  <si>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</si>
  <si>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</si>
  <si>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</si>
  <si>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</si>
  <si>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</si>
  <si>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</si>
  <si>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</si>
  <si>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</si>
  <si>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</si>
  <si>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</si>
  <si>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</si>
  <si>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</si>
  <si>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</si>
  <si>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</si>
  <si>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</si>
  <si>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</si>
  <si>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</si>
  <si>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</si>
  <si>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</si>
  <si>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</si>
  <si>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</si>
  <si>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</si>
  <si>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</si>
  <si>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</si>
  <si>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</si>
  <si>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</si>
  <si>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</si>
  <si>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</si>
  <si>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</si>
  <si>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</si>
  <si>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</si>
  <si>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</si>
  <si>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</si>
  <si>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</si>
  <si>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</si>
  <si>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</si>
  <si>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</si>
  <si>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</si>
  <si>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</si>
  <si>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</si>
  <si>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</si>
  <si>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</si>
  <si>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</si>
  <si>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</si>
  <si>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</si>
  <si>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</si>
  <si>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</si>
  <si>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</si>
  <si>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</si>
  <si>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</si>
  <si>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</si>
  <si>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</si>
  <si>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</si>
  <si>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</si>
  <si>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</si>
  <si>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</si>
  <si>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</si>
  <si>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</si>
  <si>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</si>
  <si>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</si>
  <si>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</si>
  <si>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</si>
  <si>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</si>
  <si>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</si>
  <si>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</si>
  <si>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</si>
  <si>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</si>
  <si>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</si>
  <si>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</si>
  <si>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</si>
  <si>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</si>
  <si>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</si>
  <si>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</si>
  <si>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</si>
  <si>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</si>
  <si>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</si>
  <si>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</si>
  <si>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</si>
  <si>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</si>
  <si>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</si>
  <si>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</si>
  <si>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</si>
  <si>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</si>
  <si>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</si>
  <si>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</si>
  <si>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</si>
  <si>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</si>
  <si>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</si>
  <si>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</si>
  <si>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</si>
  <si>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</si>
  <si>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</si>
  <si>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</si>
  <si>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</si>
  <si>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</si>
  <si>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</si>
  <si>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</si>
  <si>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</si>
  <si>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</si>
  <si>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</si>
  <si>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</si>
  <si>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</si>
  <si>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</si>
  <si>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</si>
  <si>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</si>
  <si>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</si>
  <si>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</si>
  <si>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</si>
  <si>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</si>
  <si>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</si>
  <si>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</si>
  <si>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</si>
  <si>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</si>
  <si>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</si>
  <si>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</si>
  <si>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</si>
  <si>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</si>
  <si>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</si>
  <si>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</si>
  <si>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</si>
  <si>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</si>
  <si>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</si>
  <si>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</si>
  <si>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</si>
  <si>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</si>
  <si>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</si>
  <si>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</si>
  <si>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</si>
  <si>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</si>
  <si>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</si>
  <si>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</si>
  <si>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</si>
  <si>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</si>
  <si>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</si>
  <si>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</si>
  <si>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</si>
  <si>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</si>
  <si>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</si>
  <si>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</si>
  <si>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</si>
  <si>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</si>
  <si>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</si>
  <si>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</si>
  <si>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</si>
  <si>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</si>
  <si>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</si>
  <si>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</si>
  <si>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</si>
  <si>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</si>
  <si>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</si>
  <si>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</si>
  <si>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</si>
  <si>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</si>
  <si>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</si>
  <si>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</si>
  <si>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</si>
  <si>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</si>
  <si>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</si>
  <si>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</si>
  <si>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</si>
  <si>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</si>
  <si>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</si>
  <si>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</si>
  <si>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</si>
  <si>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</si>
  <si>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</si>
  <si>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</si>
  <si>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</si>
  <si>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</si>
  <si>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</si>
  <si>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</si>
  <si>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</si>
  <si>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</si>
  <si>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</si>
  <si>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</si>
  <si>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</si>
  <si>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</si>
  <si>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</si>
  <si>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</si>
  <si>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</si>
  <si>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</si>
  <si>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</si>
  <si>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</si>
  <si>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</si>
  <si>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</si>
  <si>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</si>
  <si>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</si>
  <si>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</si>
  <si>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</si>
  <si>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</si>
  <si>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</si>
  <si>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</si>
  <si>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</si>
  <si>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</si>
  <si>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</si>
  <si>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</si>
  <si>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</si>
  <si>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</si>
  <si>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</si>
  <si>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</si>
  <si>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</si>
  <si>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</si>
  <si>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</si>
  <si>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</si>
  <si>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</si>
  <si>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</si>
  <si>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</si>
  <si>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</si>
  <si>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</si>
  <si>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</si>
  <si>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</si>
  <si>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</si>
  <si>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</si>
  <si>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</si>
  <si>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</si>
  <si>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</si>
  <si>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</si>
  <si>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</si>
  <si>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</si>
  <si>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</si>
  <si>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</si>
  <si>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</si>
  <si>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</si>
  <si>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</si>
  <si>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</si>
  <si>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</si>
  <si>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</si>
  <si>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</si>
  <si>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</si>
  <si>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</si>
  <si>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</si>
  <si>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</si>
  <si>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</si>
  <si>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</si>
  <si>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</si>
  <si>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</si>
  <si>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</si>
  <si>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</si>
  <si>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</si>
  <si>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</si>
  <si>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</si>
  <si>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</si>
  <si>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</si>
  <si>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</si>
  <si>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</si>
  <si>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</si>
  <si>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</si>
  <si>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</si>
  <si>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</si>
  <si>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</si>
  <si>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</si>
  <si>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</si>
  <si>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</si>
  <si>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</si>
  <si>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</si>
  <si>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</si>
  <si>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</si>
  <si>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</si>
  <si>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</si>
  <si>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</si>
  <si>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</si>
  <si>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</si>
  <si>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</si>
  <si>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</si>
  <si>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</si>
  <si>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</si>
  <si>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</si>
  <si>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</si>
  <si>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</si>
  <si>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</si>
  <si>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</si>
  <si>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</si>
  <si>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</si>
  <si>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</si>
  <si>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</si>
  <si>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</si>
  <si>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</si>
  <si>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</si>
  <si>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</si>
  <si>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</si>
  <si>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</si>
  <si>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</si>
  <si>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</si>
  <si>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</si>
  <si>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</si>
  <si>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</si>
  <si>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</si>
  <si>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</si>
  <si>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</si>
  <si>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</si>
  <si>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</si>
  <si>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</si>
  <si>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</si>
  <si>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</si>
  <si>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</si>
  <si>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</si>
  <si>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</si>
  <si>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</si>
  <si>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</si>
  <si>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</si>
  <si>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</si>
  <si>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</si>
  <si>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</si>
  <si>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</si>
  <si>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</si>
  <si>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</si>
  <si>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</si>
  <si>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</si>
  <si>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</si>
  <si>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</si>
  <si>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</si>
  <si>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</si>
  <si>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</si>
  <si>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</si>
  <si>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</si>
  <si>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</si>
  <si>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</si>
  <si>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</si>
  <si>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</si>
  <si>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</si>
  <si>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</si>
  <si>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</si>
  <si>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</si>
  <si>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</si>
  <si>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</si>
  <si>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</si>
  <si>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</si>
  <si>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</si>
  <si>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</si>
  <si>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</si>
  <si>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</si>
  <si>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</si>
  <si>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</si>
  <si>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</si>
  <si>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</si>
  <si>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</si>
  <si>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</si>
  <si>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</si>
  <si>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</si>
  <si>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</si>
  <si>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</si>
  <si>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</si>
  <si>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</si>
  <si>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</si>
  <si>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</si>
  <si>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</si>
  <si>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</si>
  <si>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</si>
  <si>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</si>
  <si>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</si>
  <si>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</si>
  <si>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</si>
  <si>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</si>
  <si>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</si>
  <si>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</si>
  <si>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</si>
  <si>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</si>
  <si>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</si>
  <si>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</si>
  <si>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</si>
  <si>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</si>
  <si>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</si>
  <si>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</si>
  <si>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</si>
  <si>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</si>
  <si>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</si>
  <si>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</si>
  <si>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</si>
  <si>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</si>
  <si>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</si>
  <si>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</si>
  <si>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</si>
  <si>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</si>
  <si>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</si>
  <si>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</si>
  <si>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</si>
  <si>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</si>
  <si>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</si>
  <si>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</si>
  <si>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</si>
  <si>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</si>
  <si>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</si>
  <si>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</si>
  <si>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</si>
  <si>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</si>
  <si>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</si>
  <si>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</si>
  <si>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</si>
  <si>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</si>
  <si>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</si>
  <si>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</si>
  <si>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</si>
  <si>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</si>
  <si>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</si>
  <si>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</si>
  <si>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</si>
  <si>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</si>
  <si>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</si>
  <si>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</si>
  <si>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</si>
  <si>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</si>
  <si>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</si>
  <si>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</si>
  <si>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</si>
  <si>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</si>
  <si>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</si>
  <si>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</si>
  <si>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</si>
  <si>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</si>
  <si>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</si>
  <si>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</si>
  <si>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</si>
  <si>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</si>
  <si>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</si>
  <si>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</si>
  <si>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</si>
  <si>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</si>
  <si>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</si>
  <si>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</si>
  <si>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</si>
  <si>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</si>
  <si>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</si>
  <si>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</si>
  <si>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</si>
  <si>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</si>
  <si>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</si>
  <si>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</si>
  <si>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</si>
  <si>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</si>
  <si>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</si>
  <si>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</si>
  <si>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</si>
  <si>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</si>
  <si>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</si>
  <si>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</si>
  <si>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</si>
  <si>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</si>
  <si>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</si>
  <si>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</si>
  <si>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</si>
  <si>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</si>
  <si>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</si>
  <si>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</si>
  <si>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</si>
  <si>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</si>
  <si>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</si>
  <si>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</si>
  <si>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</si>
  <si>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</si>
  <si>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</si>
  <si>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</si>
  <si>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</si>
  <si>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</si>
  <si>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</si>
  <si>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</si>
  <si>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</si>
  <si>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</si>
  <si>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</si>
  <si>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</si>
  <si>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</si>
  <si>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</si>
  <si>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</si>
  <si>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</si>
  <si>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</si>
  <si>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</si>
  <si>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</si>
  <si>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</si>
  <si>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</si>
  <si>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</si>
  <si>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</si>
  <si>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</si>
  <si>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</si>
  <si>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</si>
  <si>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</si>
  <si>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</si>
  <si>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</si>
  <si>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</si>
  <si>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</si>
  <si>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</si>
  <si>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</si>
  <si>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</si>
  <si>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</si>
  <si>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</si>
  <si>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</si>
  <si>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</si>
  <si>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</si>
  <si>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</si>
  <si>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</si>
  <si>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</si>
  <si>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</si>
  <si>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</si>
  <si>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</si>
  <si>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</si>
  <si>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</si>
  <si>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</si>
  <si>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</si>
  <si>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</si>
  <si>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</si>
  <si>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</si>
  <si>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</si>
  <si>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</si>
  <si>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</si>
  <si>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</si>
  <si>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</si>
  <si>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</si>
  <si>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</si>
  <si>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</si>
  <si>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</si>
  <si>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</si>
  <si>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</si>
  <si>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</si>
  <si>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</si>
  <si>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</si>
  <si>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</si>
  <si>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</si>
  <si>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</si>
  <si>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</si>
  <si>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</si>
  <si>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</si>
  <si>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</si>
  <si>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</si>
  <si>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</si>
  <si>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</si>
  <si>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</si>
  <si>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</si>
  <si>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</si>
  <si>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</si>
  <si>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</si>
  <si>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</si>
  <si>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</si>
  <si>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</si>
  <si>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</si>
  <si>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</si>
  <si>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</si>
  <si>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</si>
  <si>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</si>
  <si>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</si>
  <si>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</si>
  <si>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</si>
  <si>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</si>
  <si>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</si>
  <si>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</si>
  <si>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</si>
  <si>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</si>
  <si>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</si>
  <si>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</si>
  <si>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</si>
  <si>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</si>
  <si>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</si>
  <si>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</si>
  <si>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</si>
  <si>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</si>
  <si>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</si>
  <si>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</si>
  <si>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</si>
  <si>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</si>
  <si>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</si>
  <si>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</si>
  <si>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</si>
  <si>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</si>
  <si>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</si>
  <si>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</si>
  <si>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</si>
  <si>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</si>
  <si>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</si>
  <si>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</si>
  <si>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</si>
  <si>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</si>
  <si>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</si>
  <si>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</si>
  <si>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</si>
  <si>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</si>
  <si>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</si>
  <si>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</si>
  <si>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</si>
  <si>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</si>
  <si>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</si>
  <si>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</si>
  <si>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</si>
  <si>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</si>
  <si>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</si>
  <si>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</si>
  <si>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</si>
  <si>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</si>
  <si>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</si>
  <si>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</si>
  <si>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</si>
  <si>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</si>
  <si>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</si>
  <si>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</si>
  <si>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</si>
  <si>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</si>
  <si>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</si>
  <si>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</si>
  <si>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</si>
  <si>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</si>
  <si>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</si>
  <si>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</si>
  <si>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</si>
  <si>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</si>
  <si>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</si>
  <si>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</si>
  <si>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</si>
  <si>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</si>
  <si>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</si>
  <si>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</si>
  <si>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</si>
  <si>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</si>
  <si>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</si>
  <si>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</si>
  <si>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</si>
  <si>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</si>
  <si>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</si>
  <si>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</si>
  <si>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</si>
  <si>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</si>
  <si>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</si>
  <si>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</si>
  <si>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</si>
  <si>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</si>
  <si>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</si>
  <si>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</si>
  <si>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</si>
  <si>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</si>
  <si>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</si>
  <si>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</si>
  <si>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</si>
  <si>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</si>
  <si>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</si>
  <si>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</si>
  <si>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</si>
  <si>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</si>
  <si>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</si>
  <si>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</si>
  <si>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</si>
  <si>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</si>
  <si>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</si>
  <si>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</si>
  <si>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</si>
  <si>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</si>
  <si>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</si>
  <si>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</si>
  <si>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</si>
  <si>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</si>
  <si>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</si>
  <si>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</si>
  <si>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</si>
  <si>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</si>
  <si>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</si>
  <si>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</si>
  <si>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</si>
  <si>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</si>
  <si>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</si>
  <si>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</si>
  <si>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</si>
  <si>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</si>
  <si>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</si>
  <si>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</si>
  <si>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</si>
  <si>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</si>
  <si>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</si>
  <si>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</si>
  <si>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</si>
  <si>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</si>
  <si>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</si>
  <si>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</si>
  <si>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</si>
  <si>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</si>
  <si>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</si>
  <si>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</si>
  <si>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</si>
  <si>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</si>
  <si>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</si>
  <si>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</si>
  <si>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</si>
  <si>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</si>
  <si>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</si>
  <si>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</si>
  <si>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</si>
  <si>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</si>
  <si>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</si>
  <si>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</si>
  <si>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</si>
  <si>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</si>
  <si>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</si>
  <si>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</si>
  <si>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</si>
  <si>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</si>
  <si>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</si>
  <si>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</si>
  <si>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</si>
  <si>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</si>
  <si>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</si>
  <si>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</si>
  <si>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</si>
  <si>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</si>
  <si>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</si>
  <si>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</si>
  <si>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</si>
  <si>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</si>
  <si>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</si>
  <si>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</si>
  <si>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</si>
  <si>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</si>
  <si>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</si>
  <si>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</si>
  <si>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</si>
  <si>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</si>
  <si>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</si>
  <si>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</si>
  <si>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</si>
  <si>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</si>
  <si>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</si>
  <si>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</si>
  <si>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</si>
  <si>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</si>
  <si>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</si>
  <si>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</si>
  <si>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</si>
  <si>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</si>
  <si>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</si>
  <si>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</si>
  <si>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</si>
  <si>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</si>
  <si>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</si>
  <si>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</si>
  <si>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</si>
  <si>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</si>
  <si>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</si>
  <si>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</si>
  <si>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</si>
  <si>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</si>
  <si>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</si>
  <si>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</si>
  <si>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</si>
  <si>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</si>
  <si>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</si>
  <si>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</si>
  <si>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</si>
  <si>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</si>
  <si>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</si>
  <si>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</si>
  <si>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</si>
  <si>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</si>
  <si>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</si>
  <si>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</si>
  <si>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</si>
  <si>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</si>
  <si>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</si>
  <si>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</si>
  <si>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</si>
  <si>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</si>
  <si>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</si>
  <si>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</si>
  <si>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</si>
  <si>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</si>
  <si>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</si>
  <si>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</si>
  <si>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</si>
  <si>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</si>
  <si>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</si>
  <si>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</si>
  <si>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</si>
  <si>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</si>
  <si>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</si>
  <si>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</si>
  <si>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</si>
  <si>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</si>
  <si>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</si>
  <si>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</si>
  <si>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</si>
  <si>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</si>
  <si>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</si>
  <si>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</si>
  <si>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</si>
  <si>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</si>
  <si>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</si>
  <si>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</si>
  <si>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</si>
  <si>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</si>
  <si>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</si>
  <si>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</si>
  <si>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</si>
  <si>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</si>
  <si>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</si>
  <si>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</si>
  <si>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</si>
  <si>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</si>
  <si>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</si>
  <si>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</si>
  <si>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</si>
  <si>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</si>
  <si>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</si>
  <si>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</si>
  <si>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</si>
  <si>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</si>
  <si>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</si>
  <si>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</si>
  <si>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</si>
  <si>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</si>
  <si>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</si>
  <si>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</si>
  <si>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</si>
  <si>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</si>
  <si>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</si>
  <si>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</si>
  <si>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</si>
  <si>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</si>
  <si>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</si>
  <si>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</si>
  <si>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</si>
  <si>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</si>
  <si>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</si>
  <si>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</si>
  <si>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</si>
  <si>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</si>
  <si>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</si>
  <si>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</si>
  <si>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</si>
  <si>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</si>
  <si>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</si>
  <si>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</si>
  <si>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</si>
  <si>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</si>
  <si>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</si>
  <si>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</si>
  <si>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</si>
  <si>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</si>
  <si>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</si>
  <si>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</si>
  <si>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</si>
  <si>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</si>
  <si>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</si>
  <si>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</si>
  <si>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</si>
  <si>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</si>
  <si>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</si>
  <si>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</si>
  <si>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</si>
  <si>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</si>
  <si>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</si>
  <si>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</si>
  <si>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</si>
  <si>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</si>
  <si>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</si>
  <si>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</si>
  <si>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</si>
  <si>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</si>
  <si>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</si>
  <si>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</si>
  <si>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</si>
  <si>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</si>
  <si>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</si>
  <si>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</si>
  <si>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</si>
  <si>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</si>
  <si>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</si>
  <si>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</si>
  <si>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</si>
  <si>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</si>
  <si>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</si>
  <si>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</si>
  <si>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</si>
  <si>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</si>
  <si>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</si>
  <si>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</si>
  <si>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</si>
  <si>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</si>
  <si>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</si>
  <si>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</si>
  <si>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</si>
  <si>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</si>
  <si>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</si>
  <si>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</si>
  <si>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</si>
  <si>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</si>
  <si>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</si>
  <si>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</si>
  <si>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</si>
  <si>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</si>
  <si>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</si>
  <si>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</si>
  <si>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</si>
  <si>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</si>
  <si>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</si>
  <si>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</si>
  <si>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</si>
  <si>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</si>
  <si>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</si>
  <si>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</si>
  <si>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</si>
  <si>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</si>
  <si>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</si>
  <si>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</si>
  <si>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</si>
  <si>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</si>
  <si>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</si>
  <si>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</si>
  <si>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</si>
  <si>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</si>
  <si>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</si>
  <si>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</si>
  <si>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</si>
  <si>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</si>
  <si>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</si>
  <si>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</si>
  <si>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</si>
  <si>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</si>
  <si>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</si>
  <si>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</si>
  <si>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</si>
  <si>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</si>
  <si>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</si>
  <si>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</si>
  <si>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</si>
  <si>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</si>
  <si>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</si>
  <si>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</si>
  <si>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</si>
  <si>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</si>
  <si>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</si>
  <si>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</si>
  <si>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</si>
  <si>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</si>
  <si>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</si>
  <si>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</si>
  <si>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</si>
  <si>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</si>
  <si>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</si>
  <si>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</si>
  <si>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</si>
  <si>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</si>
  <si>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</si>
  <si>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</si>
  <si>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</si>
  <si>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</si>
  <si>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</si>
  <si>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</si>
  <si>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</si>
  <si>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</si>
  <si>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</si>
  <si>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</si>
  <si>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</si>
  <si>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</si>
  <si>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</si>
  <si>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</si>
  <si>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</si>
  <si>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</si>
  <si>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</si>
  <si>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</si>
  <si>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</si>
  <si>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</si>
  <si>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</si>
  <si>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</si>
  <si>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</si>
  <si>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</si>
  <si>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</si>
  <si>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</si>
  <si>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</si>
  <si>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</si>
  <si>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</si>
  <si>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</si>
  <si>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</si>
  <si>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</si>
  <si>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</si>
  <si>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</si>
  <si>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</si>
  <si>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</si>
  <si>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</si>
  <si>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</si>
  <si>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</si>
  <si>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</si>
  <si>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</si>
  <si>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</si>
  <si>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</si>
  <si>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</si>
  <si>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</si>
  <si>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</si>
  <si>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</si>
  <si>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</si>
  <si>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</si>
  <si>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</si>
  <si>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</si>
  <si>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</si>
  <si>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</si>
  <si>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</si>
  <si>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</si>
  <si>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</si>
  <si>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</si>
  <si>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</si>
  <si>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</si>
  <si>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</si>
  <si>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</si>
  <si>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</si>
  <si>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</si>
  <si>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</si>
  <si>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</si>
  <si>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</si>
  <si>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</si>
  <si>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</si>
  <si>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</si>
  <si>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</si>
  <si>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</si>
  <si>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</si>
  <si>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</si>
  <si>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</si>
  <si>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</si>
  <si>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</si>
  <si>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</si>
  <si>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</si>
  <si>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</si>
  <si>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</si>
  <si>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</si>
  <si>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</si>
  <si>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</si>
  <si>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</si>
  <si>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</si>
  <si>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</si>
  <si>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</si>
  <si>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</si>
  <si>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</si>
  <si>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</si>
  <si>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</si>
  <si>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</si>
  <si>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</si>
  <si>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</si>
  <si>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</si>
  <si>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</si>
  <si>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</si>
  <si>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</si>
  <si>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</si>
  <si>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</si>
  <si>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</si>
  <si>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</si>
  <si>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</si>
  <si>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</si>
  <si>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</si>
  <si>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</si>
  <si>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</si>
  <si>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</si>
  <si>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</si>
  <si>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</si>
  <si>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</si>
  <si>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</si>
  <si>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</si>
  <si>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</si>
  <si>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</si>
  <si>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</si>
  <si>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</si>
  <si>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</si>
  <si>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</si>
  <si>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</si>
  <si>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</si>
  <si>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</si>
  <si>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</si>
  <si>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</si>
  <si>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</si>
  <si>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</si>
  <si>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</si>
  <si>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</si>
  <si>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</si>
  <si>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</si>
  <si>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</si>
  <si>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</si>
  <si>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</si>
  <si>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</si>
  <si>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</si>
  <si>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</si>
  <si>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</si>
  <si>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</si>
  <si>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</si>
  <si>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</si>
  <si>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</si>
  <si>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</si>
  <si>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</si>
  <si>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</si>
  <si>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</si>
  <si>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</si>
  <si>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</si>
  <si>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</si>
  <si>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</si>
  <si>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</si>
  <si>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</si>
  <si>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</si>
  <si>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</si>
  <si>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</si>
  <si>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</si>
  <si>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</si>
  <si>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</si>
  <si>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</si>
  <si>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</si>
  <si>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</si>
  <si>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</si>
  <si>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</si>
  <si>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</si>
  <si>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</si>
  <si>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</si>
  <si>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</si>
  <si>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</si>
  <si>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</si>
  <si>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</si>
  <si>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</si>
  <si>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</si>
  <si>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</si>
  <si>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</si>
  <si>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</si>
  <si>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</si>
  <si>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</si>
  <si>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</si>
  <si>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</si>
  <si>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</si>
  <si>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</si>
  <si>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</si>
  <si>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</si>
  <si>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</si>
  <si>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</si>
  <si>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</si>
  <si>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</si>
  <si>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</si>
  <si>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</si>
  <si>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</si>
  <si>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</si>
  <si>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</si>
  <si>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</si>
  <si>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</si>
  <si>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</si>
  <si>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</si>
  <si>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</si>
  <si>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</si>
  <si>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</si>
  <si>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</si>
  <si>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</si>
  <si>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</si>
  <si>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</si>
  <si>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</si>
  <si>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</si>
  <si>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</si>
  <si>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</si>
  <si>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</si>
  <si>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</si>
  <si>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</si>
  <si>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</si>
  <si>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</si>
  <si>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</si>
  <si>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</si>
  <si>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</si>
  <si>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</si>
  <si>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</si>
  <si>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</si>
  <si>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</si>
  <si>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</si>
  <si>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</si>
  <si>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</si>
  <si>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</si>
  <si>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</si>
  <si>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</si>
  <si>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</si>
  <si>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</si>
  <si>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</si>
  <si>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</si>
  <si>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</si>
  <si>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</si>
  <si>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</si>
  <si>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</si>
  <si>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</si>
  <si>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</si>
  <si>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</si>
  <si>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</si>
  <si>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</si>
  <si>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</si>
  <si>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</si>
  <si>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</si>
  <si>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</si>
  <si>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</si>
  <si>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</si>
  <si>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</si>
  <si>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</si>
  <si>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</si>
  <si>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</si>
  <si>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</si>
  <si>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</si>
  <si>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</si>
  <si>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</si>
  <si>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</si>
  <si>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</si>
  <si>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</si>
  <si>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</si>
  <si>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</si>
  <si>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</si>
  <si>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</si>
  <si>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</si>
  <si>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</si>
  <si>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</si>
  <si>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</si>
  <si>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</si>
  <si>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</si>
  <si>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</si>
  <si>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</si>
  <si>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</si>
  <si>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</si>
  <si>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</si>
  <si>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</si>
  <si>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</si>
  <si>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</si>
  <si>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</si>
  <si>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</si>
  <si>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</si>
  <si>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</si>
  <si>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</si>
  <si>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</si>
  <si>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</si>
  <si>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</si>
  <si>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</si>
  <si>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</si>
  <si>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</si>
  <si>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</si>
  <si>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</si>
  <si>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</si>
  <si>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</si>
  <si>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</si>
  <si>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</si>
  <si>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</si>
  <si>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</si>
  <si>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</si>
  <si>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</si>
  <si>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</si>
  <si>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</si>
  <si>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</si>
  <si>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</si>
  <si>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</si>
  <si>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</si>
  <si>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</si>
  <si>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</si>
  <si>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</si>
  <si>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</si>
  <si>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</si>
  <si>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</si>
  <si>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</si>
  <si>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</si>
  <si>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</si>
  <si>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</si>
  <si>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</si>
  <si>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</si>
  <si>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</si>
  <si>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</si>
  <si>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</si>
  <si>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</si>
  <si>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</si>
  <si>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</si>
  <si>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</si>
  <si>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</si>
  <si>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</si>
  <si>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</si>
  <si>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</si>
  <si>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</si>
  <si>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</si>
  <si>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</si>
  <si>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</si>
  <si>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</si>
  <si>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</si>
  <si>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</si>
  <si>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</si>
  <si>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</si>
  <si>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</si>
  <si>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</si>
  <si>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</si>
  <si>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</si>
  <si>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</si>
  <si>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</si>
  <si>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</si>
  <si>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</si>
  <si>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</si>
  <si>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</si>
  <si>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</si>
  <si>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</si>
  <si>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</si>
  <si>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</si>
  <si>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</si>
  <si>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</si>
  <si>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</si>
  <si>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</si>
  <si>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</si>
  <si>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</si>
  <si>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</si>
  <si>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</si>
  <si>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</si>
  <si>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</si>
  <si>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</si>
  <si>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</si>
  <si>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</si>
  <si>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</si>
  <si>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</si>
  <si>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</si>
  <si>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</si>
  <si>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</si>
  <si>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</si>
  <si>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</si>
  <si>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</si>
  <si>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</si>
  <si>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</si>
  <si>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</si>
  <si>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</si>
  <si>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</si>
  <si>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</si>
  <si>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</si>
  <si>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</si>
  <si>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</si>
  <si>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</si>
  <si>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</si>
  <si>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</si>
  <si>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</si>
  <si>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</si>
  <si>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</si>
  <si>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</si>
  <si>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</si>
  <si>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</si>
  <si>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</si>
  <si>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</si>
  <si>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</si>
  <si>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</si>
  <si>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</si>
  <si>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</si>
  <si>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</si>
  <si>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</si>
  <si>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</si>
  <si>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</si>
  <si>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</si>
  <si>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</si>
  <si>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</si>
  <si>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</si>
  <si>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</si>
  <si>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</si>
  <si>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</si>
  <si>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</si>
  <si>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</si>
  <si>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</si>
  <si>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</si>
  <si>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</si>
  <si>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</si>
  <si>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</si>
  <si>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</si>
  <si>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</si>
  <si>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</si>
  <si>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</si>
  <si>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</si>
  <si>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</si>
  <si>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</si>
  <si>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</si>
  <si>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</si>
  <si>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</si>
  <si>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</si>
  <si>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</si>
  <si>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</si>
  <si>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</si>
  <si>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</si>
  <si>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</si>
  <si>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</si>
  <si>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</si>
  <si>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</si>
  <si>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</si>
  <si>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</si>
  <si>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</si>
  <si>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</si>
  <si>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</si>
  <si>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</si>
  <si>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</si>
  <si>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</si>
  <si>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</si>
  <si>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</si>
  <si>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</si>
  <si>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</si>
  <si>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</si>
  <si>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</si>
  <si>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</si>
  <si>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</si>
  <si>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</si>
  <si>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</si>
  <si>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</si>
  <si>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</si>
  <si>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</si>
  <si>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</si>
  <si>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</si>
  <si>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</si>
  <si>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</si>
  <si>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</si>
  <si>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</si>
  <si>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</si>
  <si>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</si>
  <si>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</si>
  <si>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</si>
  <si>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</si>
  <si>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</si>
  <si>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</si>
  <si>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</si>
  <si>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</si>
  <si>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</si>
  <si>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</si>
  <si>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</si>
  <si>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</si>
  <si>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</si>
  <si>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</si>
  <si>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</si>
  <si>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</si>
  <si>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</si>
  <si>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</si>
  <si>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</si>
  <si>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</si>
  <si>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</si>
  <si>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</si>
  <si>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</si>
  <si>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</si>
  <si>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</si>
  <si>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</si>
  <si>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</si>
  <si>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</si>
  <si>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</si>
  <si>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</si>
  <si>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</si>
  <si>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</si>
  <si>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</si>
  <si>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</si>
  <si>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</si>
  <si>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</si>
  <si>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</si>
  <si>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</si>
  <si>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</si>
  <si>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</si>
  <si>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</si>
  <si>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</si>
  <si>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</si>
  <si>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</si>
  <si>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</si>
  <si>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</si>
  <si>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</si>
  <si>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</si>
  <si>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</si>
  <si>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</si>
  <si>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</si>
  <si>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</si>
  <si>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</si>
  <si>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</si>
  <si>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</si>
  <si>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</si>
  <si>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</si>
  <si>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</si>
  <si>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</si>
  <si>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</si>
  <si>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</si>
  <si>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</si>
  <si>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</si>
  <si>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</si>
  <si>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</si>
  <si>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</si>
  <si>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</si>
  <si>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</si>
  <si>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</si>
  <si>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</si>
  <si>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</si>
  <si>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</si>
  <si>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</si>
  <si>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</si>
  <si>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</si>
  <si>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</si>
  <si>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</si>
  <si>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</si>
  <si>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</si>
  <si>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</si>
  <si>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</si>
  <si>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</si>
  <si>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</si>
  <si>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</si>
  <si>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</si>
  <si>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</si>
  <si>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</si>
  <si>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</si>
  <si>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</si>
  <si>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</si>
  <si>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</si>
  <si>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</si>
  <si>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</si>
  <si>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</si>
  <si>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</si>
  <si>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</si>
  <si>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</si>
  <si>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</si>
  <si>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</si>
  <si>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</si>
  <si>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</si>
  <si>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</si>
  <si>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</si>
  <si>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</si>
  <si>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</si>
  <si>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</si>
  <si>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</si>
  <si>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</si>
  <si>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</si>
  <si>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</si>
  <si>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</si>
  <si>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</si>
  <si>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</si>
  <si>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</si>
  <si>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</si>
  <si>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</si>
  <si>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</si>
  <si>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</si>
  <si>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</si>
  <si>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</si>
  <si>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</si>
  <si>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</si>
  <si>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</si>
  <si>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</si>
  <si>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</si>
  <si>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</si>
  <si>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</si>
  <si>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</si>
  <si>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</si>
  <si>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</si>
  <si>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</si>
  <si>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</si>
  <si>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</si>
  <si>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</si>
  <si>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</si>
  <si>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</si>
  <si>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</si>
  <si>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</si>
  <si>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</si>
  <si>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</si>
  <si>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</si>
  <si>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</si>
  <si>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</si>
  <si>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</si>
  <si>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</si>
  <si>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</si>
  <si>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</si>
  <si>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</si>
  <si>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</si>
  <si>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</si>
  <si>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</si>
  <si>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</si>
  <si>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</si>
  <si>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</si>
  <si>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</si>
  <si>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</si>
  <si>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</si>
  <si>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</si>
  <si>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</si>
  <si>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</si>
  <si>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</si>
  <si>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</si>
  <si>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</si>
  <si>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</si>
  <si>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</si>
  <si>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</si>
  <si>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</si>
  <si>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</si>
  <si>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</si>
  <si>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</si>
  <si>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</si>
  <si>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</si>
  <si>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</si>
  <si>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</si>
  <si>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</si>
  <si>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</si>
  <si>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</si>
  <si>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</si>
  <si>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</si>
  <si>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</si>
  <si>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</si>
  <si>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</si>
  <si>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</si>
  <si>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</si>
  <si>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</si>
  <si>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</si>
  <si>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</si>
  <si>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</si>
  <si>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</si>
  <si>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</si>
  <si>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</si>
  <si>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</si>
  <si>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</si>
  <si>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</si>
  <si>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</si>
  <si>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</si>
  <si>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</si>
  <si>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</si>
  <si>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</si>
  <si>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</si>
  <si>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</si>
  <si>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</si>
  <si>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</si>
  <si>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</si>
  <si>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</si>
  <si>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</si>
  <si>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</si>
  <si>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</si>
  <si>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</si>
  <si>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</si>
  <si>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</si>
  <si>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</si>
  <si>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</si>
  <si>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</si>
  <si>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</si>
  <si>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</si>
  <si>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</si>
  <si>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</si>
  <si>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</si>
  <si>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</si>
  <si>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</si>
  <si>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</si>
  <si>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</si>
  <si>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</si>
  <si>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</si>
  <si>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</si>
  <si>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</si>
  <si>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</si>
  <si>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</si>
  <si>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</si>
  <si>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</si>
  <si>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</si>
  <si>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</si>
  <si>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</si>
  <si>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</si>
  <si>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</si>
  <si>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</si>
  <si>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</si>
  <si>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</si>
  <si>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</si>
  <si>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</si>
  <si>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</si>
  <si>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</si>
  <si>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</si>
  <si>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</si>
  <si>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</si>
  <si>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</si>
  <si>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</si>
  <si>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</si>
  <si>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</si>
  <si>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</si>
  <si>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</si>
  <si>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</si>
  <si>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</si>
  <si>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</si>
  <si>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</si>
  <si>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</si>
  <si>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</si>
  <si>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</si>
  <si>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</si>
  <si>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</si>
  <si>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</si>
  <si>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</si>
  <si>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</si>
  <si>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</si>
  <si>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</si>
  <si>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</si>
  <si>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</si>
  <si>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</si>
  <si>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</si>
  <si>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</si>
  <si>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</si>
  <si>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</si>
  <si>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</si>
  <si>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</si>
  <si>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</si>
  <si>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</si>
  <si>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</si>
  <si>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</si>
  <si>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</si>
  <si>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</si>
  <si>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</si>
  <si>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</si>
  <si>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</si>
  <si>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</si>
  <si>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</si>
  <si>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</si>
  <si>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</si>
  <si>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</si>
  <si>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</si>
  <si>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</si>
  <si>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</si>
  <si>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</si>
  <si>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</si>
  <si>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</si>
  <si>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</si>
  <si>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</si>
  <si>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</si>
  <si>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</si>
  <si>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</si>
  <si>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</si>
  <si>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</si>
  <si>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</si>
  <si>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</si>
  <si>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</si>
  <si>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</si>
  <si>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</si>
  <si>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</si>
  <si>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</si>
  <si>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</si>
  <si>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</si>
  <si>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</si>
  <si>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</si>
  <si>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</si>
  <si>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</si>
  <si>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</si>
  <si>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</si>
  <si>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</si>
  <si>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</si>
  <si>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</si>
  <si>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</si>
  <si>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</si>
  <si>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</si>
  <si>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</si>
  <si>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</si>
  <si>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</si>
  <si>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</si>
  <si>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</si>
  <si>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</si>
  <si>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</si>
  <si>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</si>
  <si>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</si>
  <si>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</si>
  <si>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</si>
  <si>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</si>
  <si>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</si>
  <si>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</si>
  <si>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</si>
  <si>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</si>
  <si>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</si>
  <si>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</si>
  <si>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</si>
  <si>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</si>
  <si>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</si>
  <si>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</si>
  <si>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</si>
  <si>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</si>
  <si>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</si>
  <si>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</si>
  <si>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</si>
  <si>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</si>
  <si>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</si>
  <si>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</si>
  <si>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</si>
  <si>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</si>
  <si>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</si>
  <si>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</si>
  <si>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</si>
  <si>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</si>
  <si>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</si>
  <si>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</si>
  <si>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</si>
  <si>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</si>
  <si>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</si>
  <si>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</si>
  <si>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</si>
  <si>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</si>
  <si>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</si>
  <si>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</si>
  <si>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</si>
  <si>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</si>
  <si>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</si>
  <si>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</si>
  <si>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</si>
  <si>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</si>
  <si>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</si>
  <si>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</si>
  <si>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</si>
  <si>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</si>
  <si>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</si>
  <si>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</si>
  <si>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</si>
  <si>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</si>
  <si>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</si>
  <si>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</si>
  <si>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</si>
  <si>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</si>
  <si>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</si>
  <si>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</si>
  <si>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</si>
  <si>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</si>
  <si>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</si>
  <si>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</si>
  <si>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</si>
  <si>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</si>
  <si>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</si>
  <si>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</si>
  <si>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</si>
  <si>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</si>
  <si>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</si>
  <si>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</si>
  <si>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</si>
  <si>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</si>
  <si>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</si>
  <si>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</si>
  <si>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</si>
  <si>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</si>
  <si>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</si>
  <si>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</si>
  <si>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</si>
  <si>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</si>
  <si>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</si>
  <si>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</si>
  <si>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</si>
  <si>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</si>
  <si>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</si>
  <si>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</si>
  <si>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</si>
  <si>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</si>
  <si>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</si>
  <si>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</si>
  <si>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</si>
  <si>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</si>
  <si>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</si>
  <si>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</si>
  <si>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</si>
  <si>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</si>
  <si>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</si>
  <si>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</si>
  <si>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</si>
  <si>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</si>
  <si>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</si>
  <si>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</si>
  <si>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</si>
  <si>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</si>
  <si>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</si>
  <si>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</si>
  <si>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</si>
  <si>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</si>
  <si>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</si>
  <si>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</si>
  <si>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</si>
  <si>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</si>
  <si>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</si>
  <si>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</si>
  <si>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</si>
  <si>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</si>
  <si>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</si>
  <si>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</si>
  <si>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</si>
  <si>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</si>
  <si>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</si>
  <si>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</si>
  <si>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</si>
  <si>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</si>
  <si>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</si>
  <si>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</si>
  <si>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</si>
  <si>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</si>
  <si>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</si>
  <si>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</si>
  <si>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</si>
  <si>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</si>
  <si>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</si>
  <si>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</si>
  <si>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</si>
  <si>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</si>
  <si>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</si>
  <si>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</si>
  <si>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</si>
  <si>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</si>
  <si>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</si>
  <si>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</si>
  <si>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</si>
  <si>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</si>
  <si>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</si>
  <si>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</si>
  <si>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</si>
  <si>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</si>
  <si>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</si>
  <si>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</si>
  <si>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</si>
  <si>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</si>
  <si>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</si>
  <si>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</si>
  <si>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</si>
  <si>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</si>
  <si>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</si>
  <si>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</si>
  <si>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</si>
  <si>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</si>
  <si>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</si>
  <si>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</si>
  <si>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</si>
  <si>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</si>
  <si>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</si>
  <si>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</si>
  <si>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</si>
  <si>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</si>
  <si>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</si>
  <si>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</si>
  <si>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</si>
  <si>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</si>
  <si>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</si>
  <si>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</si>
  <si>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</si>
  <si>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</si>
  <si>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</si>
  <si>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</si>
  <si>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</si>
  <si>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</si>
  <si>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</si>
  <si>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</si>
  <si>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</si>
  <si>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</si>
  <si>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</si>
  <si>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</si>
  <si>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</si>
  <si>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</si>
  <si>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</si>
  <si>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</si>
  <si>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</si>
  <si>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</si>
  <si>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</si>
  <si>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</si>
  <si>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</si>
  <si>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</si>
  <si>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</si>
  <si>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</si>
  <si>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</si>
  <si>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</si>
  <si>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</si>
  <si>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</si>
  <si>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</si>
  <si>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</si>
  <si>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</si>
  <si>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</si>
  <si>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</si>
  <si>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</si>
  <si>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</si>
  <si>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</si>
  <si>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</si>
  <si>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</si>
  <si>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</si>
  <si>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</si>
  <si>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</si>
  <si>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</si>
  <si>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</si>
  <si>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</si>
  <si>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</si>
  <si>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</si>
  <si>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</si>
  <si>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</si>
  <si>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</si>
  <si>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</si>
  <si>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</si>
  <si>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</si>
  <si>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</si>
  <si>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</si>
  <si>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</si>
  <si>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</si>
  <si>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</si>
  <si>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</si>
  <si>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</si>
  <si>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</si>
  <si>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</si>
  <si>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</si>
  <si>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</si>
  <si>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</si>
  <si>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</si>
  <si>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</si>
  <si>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</si>
  <si>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</si>
  <si>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</si>
  <si>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</si>
  <si>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</si>
  <si>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</si>
  <si>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</si>
  <si>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</si>
  <si>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</si>
  <si>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</si>
  <si>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</si>
  <si>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</si>
  <si>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</si>
  <si>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</si>
  <si>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</si>
  <si>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</si>
  <si>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</si>
  <si>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</si>
  <si>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</si>
  <si>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</si>
  <si>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</si>
  <si>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</si>
  <si>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</si>
  <si>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</si>
  <si>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</si>
  <si>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</si>
  <si>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</si>
  <si>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</si>
  <si>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</si>
  <si>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</si>
  <si>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</si>
  <si>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</si>
  <si>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</si>
  <si>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</si>
  <si>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</si>
  <si>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</si>
  <si>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</si>
  <si>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</si>
  <si>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</si>
  <si>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</si>
  <si>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</si>
  <si>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</si>
  <si>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</si>
  <si>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</si>
  <si>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</si>
  <si>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</si>
  <si>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</si>
  <si>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</si>
  <si>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</si>
  <si>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</si>
  <si>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</si>
  <si>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</si>
  <si>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</si>
  <si>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</si>
  <si>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</si>
  <si>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</si>
  <si>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</si>
  <si>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</si>
  <si>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</si>
  <si>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</si>
  <si>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</si>
  <si>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</si>
  <si>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</si>
  <si>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</si>
  <si>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</si>
  <si>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</si>
  <si>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</si>
  <si>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</si>
  <si>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</si>
  <si>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</si>
  <si>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</si>
  <si>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</si>
  <si>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</si>
  <si>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</si>
  <si>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</si>
  <si>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</si>
  <si>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</si>
  <si>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</si>
  <si>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</si>
  <si>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</si>
  <si>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</si>
  <si>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</si>
  <si>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</si>
  <si>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</si>
  <si>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</si>
  <si>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</si>
  <si>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</si>
  <si>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</si>
  <si>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</si>
  <si>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</si>
  <si>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</si>
  <si>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</si>
  <si>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</si>
  <si>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</si>
  <si>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</si>
  <si>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</si>
  <si>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</si>
  <si>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</si>
  <si>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</si>
  <si>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</si>
  <si>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</si>
  <si>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</si>
  <si>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</si>
  <si>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</si>
  <si>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</si>
  <si>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</si>
  <si>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</si>
  <si>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</si>
  <si>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</si>
  <si>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</si>
  <si>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</si>
  <si>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</si>
  <si>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</si>
  <si>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</si>
  <si>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</si>
  <si>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</si>
  <si>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</si>
  <si>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</si>
  <si>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</si>
  <si>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</si>
  <si>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</si>
  <si>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</si>
  <si>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</si>
  <si>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</si>
  <si>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</si>
  <si>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</si>
  <si>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</si>
  <si>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</si>
  <si>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</si>
  <si>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</si>
  <si>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</si>
  <si>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</si>
  <si>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</si>
  <si>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</si>
  <si>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</si>
  <si>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</si>
  <si>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</si>
  <si>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</si>
  <si>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</si>
  <si>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</si>
  <si>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</si>
  <si>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</si>
  <si>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</si>
  <si>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</si>
  <si>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</si>
  <si>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</si>
  <si>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</si>
  <si>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</si>
  <si>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</si>
  <si>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</si>
  <si>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</si>
  <si>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</si>
  <si>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</si>
  <si>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</si>
  <si>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</si>
  <si>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</si>
  <si>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</si>
  <si>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</si>
  <si>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</si>
  <si>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</si>
  <si>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</si>
  <si>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</si>
  <si>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</si>
  <si>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</si>
  <si>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</si>
  <si>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</si>
  <si>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</si>
  <si>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</si>
  <si>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</si>
  <si>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</si>
  <si>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</si>
  <si>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</si>
  <si>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</si>
  <si>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</si>
  <si>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</si>
  <si>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</si>
  <si>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</si>
  <si>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</si>
  <si>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</si>
  <si>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</si>
  <si>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</si>
  <si>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</si>
  <si>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</si>
  <si>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</si>
  <si>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</si>
  <si>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</si>
  <si>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</si>
  <si>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</si>
  <si>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</si>
  <si>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</si>
  <si>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</si>
  <si>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</si>
  <si>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</si>
  <si>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</si>
  <si>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</si>
  <si>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</si>
  <si>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</si>
  <si>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</si>
  <si>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</si>
  <si>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</si>
  <si>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</si>
  <si>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</si>
  <si>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</si>
  <si>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</si>
  <si>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</si>
  <si>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</si>
  <si>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</si>
  <si>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</si>
  <si>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</si>
  <si>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</si>
  <si>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</si>
  <si>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</si>
  <si>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</si>
  <si>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</si>
  <si>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</si>
  <si>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</si>
  <si>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</si>
  <si>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</si>
  <si>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</si>
  <si>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</si>
  <si>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</si>
  <si>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</si>
  <si>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</si>
  <si>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</si>
  <si>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</si>
  <si>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</si>
  <si>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</si>
  <si>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</si>
  <si>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</si>
  <si>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</si>
  <si>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</si>
  <si>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</si>
  <si>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</si>
  <si>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</si>
  <si>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</si>
  <si>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</si>
  <si>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</si>
  <si>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</si>
  <si>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</si>
  <si>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</si>
  <si>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</si>
  <si>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</si>
  <si>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</si>
  <si>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</si>
  <si>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</si>
  <si>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</si>
  <si>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</si>
  <si>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</si>
  <si>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</si>
  <si>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</si>
  <si>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</si>
  <si>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</si>
  <si>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</si>
  <si>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</si>
  <si>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</si>
  <si>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</si>
  <si>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</si>
  <si>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</si>
  <si>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</si>
  <si>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</si>
  <si>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</si>
  <si>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</si>
  <si>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</si>
  <si>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</si>
  <si>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</si>
  <si>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</si>
  <si>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</si>
  <si>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</si>
  <si>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</si>
  <si>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</si>
  <si>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</si>
  <si>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</si>
  <si>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</si>
  <si>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</si>
  <si>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</si>
  <si>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</si>
  <si>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</si>
  <si>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</si>
  <si>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</si>
  <si>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</si>
  <si>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</si>
  <si>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</si>
  <si>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</si>
  <si>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</si>
  <si>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</si>
  <si>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</si>
  <si>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</si>
  <si>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</si>
  <si>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</si>
  <si>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</si>
  <si>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</si>
  <si>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</si>
  <si>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</si>
  <si>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</si>
  <si>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</si>
  <si>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</si>
  <si>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</si>
  <si>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</si>
  <si>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</si>
  <si>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</si>
  <si>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</si>
  <si>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</si>
  <si>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</si>
  <si>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</si>
  <si>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</si>
  <si>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</si>
  <si>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</si>
  <si>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</si>
  <si>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</si>
  <si>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</si>
  <si>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</si>
  <si>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</si>
  <si>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</si>
  <si>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</si>
  <si>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</si>
  <si>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</si>
  <si>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</si>
  <si>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</si>
  <si>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</si>
  <si>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</si>
  <si>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</si>
  <si>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</si>
  <si>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</si>
  <si>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</si>
  <si>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</si>
  <si>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</si>
  <si>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</si>
  <si>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</si>
  <si>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</si>
  <si>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</si>
  <si>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</si>
  <si>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</si>
  <si>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</si>
  <si>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</si>
  <si>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</si>
  <si>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</si>
  <si>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</si>
  <si>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</si>
  <si>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</si>
  <si>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</si>
  <si>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</si>
  <si>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</si>
  <si>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</si>
  <si>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</si>
  <si>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</si>
  <si>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</si>
  <si>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</si>
  <si>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</si>
  <si>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</si>
  <si>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</si>
  <si>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</si>
  <si>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</si>
  <si>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</si>
  <si>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</si>
  <si>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</si>
  <si>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</si>
  <si>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</si>
  <si>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</si>
  <si>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</si>
  <si>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</si>
  <si>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</si>
  <si>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</si>
  <si>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</si>
  <si>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</si>
  <si>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</si>
  <si>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</si>
  <si>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</si>
  <si>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</si>
  <si>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</si>
  <si>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</si>
  <si>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</si>
  <si>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</si>
  <si>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</si>
  <si>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</si>
  <si>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</si>
  <si>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</si>
  <si>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</si>
  <si>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</si>
  <si>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</si>
  <si>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</si>
  <si>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</si>
  <si>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</si>
  <si>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</si>
  <si>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</si>
  <si>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</si>
  <si>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</si>
  <si>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</si>
  <si>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</si>
  <si>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</si>
  <si>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</si>
  <si>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</si>
  <si>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</si>
  <si>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</si>
  <si>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</si>
  <si>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</si>
  <si>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</si>
  <si>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</si>
  <si>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</si>
  <si>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</si>
  <si>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</si>
  <si>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</si>
  <si>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</si>
  <si>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</si>
  <si>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</si>
  <si>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</si>
  <si>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</si>
  <si>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</si>
  <si>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</si>
  <si>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</si>
  <si>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</si>
  <si>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</si>
  <si>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</si>
  <si>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</si>
  <si>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</si>
  <si>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</si>
  <si>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</si>
  <si>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</si>
  <si>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</si>
  <si>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</si>
  <si>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</si>
  <si>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</si>
  <si>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</si>
  <si>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</si>
  <si>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</si>
  <si>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</si>
  <si>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</si>
  <si>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</si>
  <si>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</si>
  <si>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</si>
  <si>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</si>
  <si>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</si>
  <si>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</si>
  <si>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</si>
  <si>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</si>
  <si>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</si>
  <si>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</si>
  <si>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</si>
  <si>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</si>
  <si>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</si>
  <si>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</si>
  <si>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</si>
  <si>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</si>
  <si>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</si>
  <si>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</si>
  <si>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</si>
  <si>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</si>
  <si>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</si>
  <si>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</si>
  <si>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</si>
  <si>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</si>
  <si>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</si>
  <si>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</si>
  <si>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</si>
  <si>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</si>
  <si>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</si>
  <si>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</si>
  <si>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</si>
  <si>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</si>
  <si>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</si>
  <si>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</si>
  <si>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</si>
  <si>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</si>
  <si>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</si>
  <si>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</si>
  <si>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</si>
  <si>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</si>
  <si>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</si>
  <si>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</si>
  <si>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</si>
  <si>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</si>
  <si>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</si>
  <si>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</si>
  <si>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</si>
  <si>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</si>
  <si>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</si>
  <si>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</si>
  <si>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</si>
  <si>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</si>
  <si>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</si>
  <si>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</si>
  <si>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</si>
  <si>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</si>
  <si>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</si>
  <si>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</si>
  <si>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</si>
  <si>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</si>
  <si>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</si>
  <si>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</si>
  <si>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</si>
  <si>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</si>
  <si>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</si>
  <si>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</si>
  <si>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</si>
  <si>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</si>
  <si>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</si>
  <si>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</si>
  <si>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</si>
  <si>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</si>
  <si>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</si>
  <si>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</si>
  <si>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</si>
  <si>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</si>
  <si>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</si>
  <si>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</si>
  <si>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</si>
  <si>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</si>
  <si>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</si>
  <si>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</si>
  <si>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</si>
  <si>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</si>
  <si>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</si>
  <si>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</si>
  <si>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</si>
  <si>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</si>
  <si>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</si>
  <si>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</si>
  <si>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</si>
  <si>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</si>
  <si>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</si>
  <si>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</si>
  <si>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</si>
  <si>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</si>
  <si>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</si>
  <si>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</si>
  <si>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</si>
  <si>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</si>
  <si>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</si>
  <si>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</si>
  <si>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</si>
  <si>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</si>
  <si>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</si>
  <si>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</si>
  <si>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</si>
  <si>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</si>
  <si>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</si>
  <si>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</si>
  <si>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</si>
  <si>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</si>
  <si>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</si>
  <si>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</si>
  <si>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</si>
  <si>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</si>
  <si>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</si>
  <si>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</si>
  <si>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</si>
  <si>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</si>
  <si>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</si>
  <si>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</si>
  <si>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</si>
  <si>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</si>
  <si>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</si>
  <si>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</si>
  <si>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</si>
  <si>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</si>
  <si>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</si>
  <si>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</si>
  <si>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</si>
  <si>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</si>
  <si>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</si>
  <si>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</si>
  <si>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</si>
  <si>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</si>
  <si>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</si>
  <si>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</si>
  <si>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</si>
  <si>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</si>
  <si>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</si>
  <si>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</si>
  <si>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</si>
  <si>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</si>
  <si>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</si>
  <si>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</si>
  <si>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</si>
  <si>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</si>
  <si>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</si>
  <si>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</si>
  <si>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</si>
  <si>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</si>
  <si>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</si>
  <si>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</si>
  <si>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</si>
  <si>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</si>
  <si>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</si>
  <si>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</si>
  <si>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</si>
  <si>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</si>
  <si>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</si>
  <si>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</si>
  <si>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</si>
  <si>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</si>
  <si>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</si>
  <si>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</si>
  <si>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</si>
  <si>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</si>
  <si>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</si>
  <si>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</si>
  <si>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</si>
  <si>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</si>
  <si>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</si>
  <si>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</si>
  <si>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</si>
  <si>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</si>
  <si>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</si>
  <si>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</si>
  <si>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</si>
  <si>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</si>
  <si>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</si>
  <si>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</si>
  <si>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</si>
  <si>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</si>
  <si>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</si>
  <si>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</si>
  <si>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</si>
  <si>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</si>
  <si>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</si>
  <si>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</si>
  <si>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</si>
  <si>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</si>
  <si>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</si>
  <si>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</si>
  <si>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</si>
  <si>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</si>
  <si>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</si>
  <si>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</si>
  <si>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</si>
  <si>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</si>
  <si>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</si>
  <si>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</si>
  <si>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</si>
  <si>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</si>
  <si>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</si>
  <si>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</si>
  <si>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</si>
  <si>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</si>
  <si>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</si>
  <si>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</si>
  <si>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</si>
  <si>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</si>
  <si>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</si>
  <si>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</si>
  <si>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</si>
  <si>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</si>
  <si>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</si>
  <si>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</si>
  <si>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</si>
  <si>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</si>
  <si>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</si>
  <si>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</si>
  <si>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</si>
  <si>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</si>
  <si>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</si>
  <si>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</si>
  <si>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</si>
  <si>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</si>
  <si>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</si>
  <si>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</si>
  <si>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</si>
  <si>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</si>
  <si>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</si>
  <si>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</si>
  <si>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</si>
  <si>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</si>
  <si>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</si>
  <si>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</si>
  <si>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</si>
  <si>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</si>
  <si>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</si>
  <si>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</si>
  <si>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</si>
  <si>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</si>
  <si>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</si>
  <si>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</si>
  <si>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</si>
  <si>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</si>
  <si>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</si>
  <si>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</si>
  <si>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</si>
  <si>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</si>
  <si>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</si>
  <si>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</si>
  <si>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</si>
  <si>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</si>
  <si>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</si>
  <si>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</si>
  <si>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</si>
  <si>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</si>
  <si>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</si>
  <si>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</si>
  <si>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</si>
  <si>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</si>
  <si>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</si>
  <si>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</si>
  <si>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</si>
  <si>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</si>
  <si>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</si>
  <si>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</si>
  <si>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</si>
  <si>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</si>
  <si>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</si>
  <si>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</si>
  <si>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</si>
  <si>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</si>
  <si>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</si>
  <si>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</si>
  <si>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</si>
  <si>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</si>
  <si>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</si>
  <si>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</si>
  <si>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</si>
  <si>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</si>
  <si>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</si>
  <si>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</si>
  <si>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</si>
  <si>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</si>
  <si>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</si>
  <si>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</si>
  <si>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</si>
  <si>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</si>
  <si>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</si>
  <si>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</si>
  <si>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</si>
  <si>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</si>
  <si>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</si>
  <si>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</si>
  <si>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</si>
  <si>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</si>
  <si>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</si>
  <si>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</si>
  <si>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</si>
  <si>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</si>
  <si>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</si>
  <si>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</si>
  <si>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</si>
  <si>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</si>
  <si>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</si>
  <si>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</si>
  <si>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</si>
  <si>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</si>
  <si>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</si>
  <si>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</si>
  <si>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</si>
  <si>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</si>
  <si>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</si>
  <si>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</si>
  <si>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</si>
  <si>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</si>
  <si>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</si>
  <si>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</si>
  <si>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</si>
  <si>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</si>
  <si>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</si>
  <si>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</si>
  <si>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</si>
  <si>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</si>
  <si>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</si>
  <si>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</si>
  <si>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</si>
  <si>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</si>
  <si>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</si>
  <si>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</si>
  <si>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</si>
  <si>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</si>
  <si>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</si>
  <si>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</si>
  <si>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</si>
  <si>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</si>
  <si>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</si>
  <si>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</si>
  <si>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</si>
  <si>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</si>
  <si>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</si>
  <si>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</si>
  <si>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</si>
  <si>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</si>
  <si>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</si>
  <si>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</si>
  <si>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</si>
  <si>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</si>
  <si>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</si>
  <si>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</si>
  <si>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</si>
  <si>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</si>
  <si>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</si>
  <si>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</si>
  <si>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</si>
  <si>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</si>
  <si>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</si>
  <si>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</si>
  <si>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</si>
  <si>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</si>
  <si>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</si>
  <si>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</si>
  <si>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</si>
  <si>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</si>
  <si>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</si>
  <si>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</si>
  <si>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</si>
  <si>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</si>
  <si>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</si>
  <si>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</si>
  <si>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</si>
  <si>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</si>
  <si>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</si>
  <si>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</si>
  <si>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</si>
  <si>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</si>
  <si>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</si>
  <si>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</si>
  <si>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</si>
  <si>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</si>
  <si>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</si>
  <si>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</si>
  <si>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</si>
  <si>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</si>
  <si>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</si>
  <si>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</si>
  <si>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</si>
  <si>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</si>
  <si>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</si>
  <si>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</si>
  <si>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</si>
  <si>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</si>
  <si>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</si>
  <si>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</si>
  <si>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</si>
  <si>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</si>
  <si>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</si>
  <si>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</si>
  <si>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</si>
  <si>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</si>
  <si>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</si>
  <si>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</si>
  <si>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</si>
  <si>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</si>
  <si>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</si>
  <si>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</si>
  <si>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</si>
  <si>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</si>
  <si>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</si>
  <si>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</si>
  <si>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</si>
  <si>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</si>
  <si>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</si>
  <si>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</si>
  <si>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</si>
  <si>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</si>
  <si>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</si>
  <si>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</si>
  <si>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</si>
  <si>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</si>
  <si>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</si>
  <si>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</si>
  <si>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</si>
  <si>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</si>
  <si>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</si>
  <si>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</si>
  <si>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</si>
  <si>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</si>
  <si>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</si>
  <si>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</si>
  <si>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</si>
  <si>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</si>
  <si>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</si>
  <si>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</si>
  <si>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</si>
  <si>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</si>
  <si>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</si>
  <si>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</si>
  <si>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</si>
  <si>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</si>
  <si>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</si>
  <si>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</si>
  <si>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</si>
  <si>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</si>
  <si>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</si>
  <si>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</si>
  <si>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</si>
  <si>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</si>
  <si>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</si>
  <si>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</si>
  <si>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</si>
  <si>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</si>
  <si>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</si>
  <si>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</si>
  <si>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</si>
  <si>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</si>
  <si>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</si>
  <si>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</si>
  <si>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</si>
  <si>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</si>
  <si>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</si>
  <si>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</si>
  <si>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</si>
  <si>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</si>
  <si>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</si>
  <si>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</si>
  <si>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</si>
  <si>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</si>
  <si>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</si>
  <si>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</si>
  <si>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</si>
  <si>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</si>
  <si>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</si>
  <si>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</si>
  <si>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</si>
  <si>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</si>
  <si>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</si>
  <si>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</si>
  <si>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</si>
  <si>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</si>
  <si>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</si>
  <si>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</si>
  <si>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</si>
  <si>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</si>
  <si>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</si>
  <si>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</si>
  <si>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</si>
  <si>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</si>
  <si>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</si>
  <si>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</si>
  <si>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</si>
  <si>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</si>
  <si>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</si>
  <si>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</si>
  <si>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</si>
  <si>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</si>
  <si>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</si>
  <si>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</si>
  <si>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</si>
  <si>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</si>
  <si>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</si>
  <si>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</si>
  <si>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</si>
  <si>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</si>
  <si>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</si>
  <si>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</si>
  <si>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</si>
  <si>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</si>
  <si>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</si>
  <si>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</si>
  <si>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</si>
  <si>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</si>
  <si>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</si>
  <si>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</si>
  <si>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</si>
  <si>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</si>
  <si>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</si>
  <si>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</si>
  <si>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</si>
  <si>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</si>
  <si>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</si>
  <si>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</si>
  <si>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</si>
  <si>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</si>
  <si>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</si>
  <si>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</si>
  <si>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</si>
  <si>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</si>
  <si>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</si>
  <si>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</si>
  <si>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</si>
  <si>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</si>
  <si>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</si>
  <si>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</si>
  <si>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</si>
  <si>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</si>
  <si>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</si>
  <si>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</si>
  <si>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</si>
  <si>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</si>
  <si>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</si>
  <si>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</si>
  <si>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</si>
  <si>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</si>
  <si>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</si>
  <si>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</si>
  <si>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</si>
  <si>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</si>
  <si>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</si>
  <si>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</si>
  <si>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</si>
  <si>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</si>
  <si>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</si>
  <si>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</si>
  <si>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</si>
  <si>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</si>
  <si>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</si>
  <si>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</si>
  <si>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</si>
  <si>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</si>
  <si>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</si>
  <si>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</si>
  <si>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</si>
  <si>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</si>
  <si>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</si>
  <si>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</si>
  <si>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</si>
  <si>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</si>
  <si>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</si>
  <si>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</si>
  <si>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</si>
  <si>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</si>
  <si>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</si>
  <si>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</si>
  <si>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</si>
  <si>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</si>
  <si>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</si>
  <si>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</si>
  <si>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</si>
  <si>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</si>
  <si>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</si>
  <si>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</si>
  <si>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</si>
  <si>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</si>
  <si>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</si>
  <si>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</si>
  <si>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</si>
  <si>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</si>
  <si>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</si>
  <si>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</si>
  <si>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</si>
  <si>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</si>
  <si>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</si>
  <si>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</si>
  <si>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</si>
  <si>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</si>
  <si>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</si>
  <si>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</si>
  <si>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</si>
  <si>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</si>
  <si>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</si>
  <si>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</si>
  <si>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</si>
  <si>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</si>
  <si>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</si>
  <si>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</si>
  <si>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</si>
  <si>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</si>
  <si>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</si>
  <si>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</si>
  <si>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</si>
  <si>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</si>
  <si>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</si>
  <si>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</si>
  <si>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</si>
  <si>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</si>
  <si>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</si>
  <si>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</si>
  <si>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</si>
  <si>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</si>
  <si>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</si>
  <si>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</si>
  <si>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</si>
  <si>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</si>
  <si>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</si>
  <si>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</si>
  <si>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</si>
  <si>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</si>
  <si>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</si>
  <si>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</si>
  <si>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</si>
  <si>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</si>
  <si>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</si>
  <si>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</si>
  <si>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</si>
  <si>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</si>
  <si>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</si>
  <si>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</si>
  <si>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</si>
  <si>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</si>
  <si>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</si>
  <si>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</si>
  <si>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</si>
  <si>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</si>
  <si>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</si>
  <si>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</si>
  <si>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</si>
  <si>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</si>
  <si>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</si>
  <si>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</si>
  <si>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</si>
  <si>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</si>
  <si>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</si>
  <si>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</si>
  <si>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</si>
  <si>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</si>
  <si>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</si>
  <si>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</si>
  <si>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</si>
  <si>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</si>
  <si>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</si>
  <si>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</si>
  <si>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</si>
  <si>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</si>
  <si>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</si>
  <si>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</si>
  <si>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</si>
  <si>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</si>
  <si>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</si>
  <si>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</si>
  <si>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</si>
  <si>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</si>
  <si>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</si>
  <si>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</si>
  <si>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</si>
  <si>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</si>
  <si>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</si>
  <si>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</si>
  <si>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</si>
  <si>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</si>
  <si>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</si>
  <si>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</si>
  <si>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</si>
  <si>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</si>
  <si>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</si>
  <si>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</si>
  <si>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</si>
  <si>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</si>
  <si>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</si>
  <si>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</si>
  <si>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</si>
  <si>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</si>
  <si>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</si>
  <si>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</si>
  <si>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</si>
  <si>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</si>
  <si>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</si>
  <si>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</si>
  <si>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</si>
  <si>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</si>
  <si>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</si>
  <si>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</si>
  <si>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</si>
  <si>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</si>
  <si>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</si>
  <si>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</si>
  <si>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</si>
  <si>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</si>
  <si>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</si>
  <si>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</si>
  <si>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</si>
  <si>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</si>
  <si>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</si>
  <si>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</si>
  <si>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</si>
  <si>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</si>
  <si>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</si>
  <si>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</si>
  <si>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</si>
  <si>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</si>
  <si>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</si>
  <si>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</si>
  <si>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</si>
  <si>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</si>
  <si>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</si>
  <si>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</si>
  <si>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</si>
  <si>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</si>
  <si>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</si>
  <si>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</si>
  <si>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</si>
  <si>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</si>
  <si>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</si>
  <si>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</si>
  <si>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</si>
  <si>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</si>
  <si>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</si>
  <si>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</si>
  <si>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</si>
  <si>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</si>
  <si>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</si>
  <si>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</si>
  <si>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</si>
  <si>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</si>
  <si>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</si>
  <si>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</si>
  <si>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</si>
  <si>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</si>
  <si>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</si>
  <si>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</si>
  <si>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</si>
  <si>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</si>
  <si>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</si>
  <si>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</si>
  <si>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</si>
  <si>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</si>
  <si>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</si>
  <si>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</si>
  <si>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</si>
  <si>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</si>
  <si>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</si>
  <si>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</si>
  <si>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</si>
  <si>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</si>
  <si>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</si>
  <si>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</si>
  <si>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</si>
  <si>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</si>
  <si>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</si>
  <si>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</si>
  <si>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</si>
  <si>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</si>
  <si>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</si>
  <si>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</si>
  <si>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</si>
  <si>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</si>
  <si>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</si>
  <si>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</si>
  <si>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</si>
  <si>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</si>
  <si>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</si>
  <si>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</si>
  <si>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</si>
  <si>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</si>
  <si>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</si>
  <si>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</si>
  <si>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</si>
  <si>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</si>
  <si>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</si>
  <si>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</si>
  <si>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</si>
  <si>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</si>
  <si>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</si>
  <si>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</si>
  <si>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</si>
  <si>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</si>
  <si>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</si>
  <si>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</si>
  <si>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</si>
  <si>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</si>
  <si>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</si>
  <si>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</si>
  <si>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</si>
  <si>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</si>
  <si>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</si>
  <si>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</si>
  <si>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</si>
  <si>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</si>
  <si>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</si>
  <si>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</si>
  <si>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</si>
  <si>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</si>
  <si>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</si>
  <si>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</si>
  <si>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</si>
  <si>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</si>
  <si>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</si>
  <si>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</si>
  <si>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</si>
  <si>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</si>
  <si>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</si>
  <si>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</si>
  <si>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</si>
  <si>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</si>
  <si>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</si>
  <si>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</si>
  <si>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</si>
  <si>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</si>
  <si>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</si>
  <si>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</si>
  <si>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</si>
  <si>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</si>
  <si>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</si>
  <si>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</si>
  <si>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</si>
  <si>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</si>
  <si>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</si>
  <si>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</si>
  <si>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</si>
  <si>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</si>
  <si>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</si>
  <si>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</si>
  <si>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</si>
  <si>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</si>
  <si>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</si>
  <si>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</si>
  <si>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</si>
  <si>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</si>
  <si>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</si>
  <si>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</si>
  <si>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</si>
  <si>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</si>
  <si>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</si>
  <si>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</si>
  <si>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</si>
  <si>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</si>
  <si>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</si>
  <si>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</si>
  <si>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</si>
  <si>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</si>
  <si>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</si>
  <si>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</si>
  <si>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</si>
  <si>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</si>
  <si>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</si>
  <si>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</si>
  <si>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</si>
  <si>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</si>
  <si>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</si>
  <si>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</si>
  <si>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</si>
  <si>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</si>
  <si>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</si>
  <si>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</si>
  <si>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</si>
  <si>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</si>
  <si>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</si>
  <si>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</si>
  <si>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</si>
  <si>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</si>
  <si>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</si>
  <si>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</si>
  <si>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</si>
  <si>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</si>
  <si>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</si>
  <si>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</si>
  <si>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</si>
  <si>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</si>
  <si>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</si>
  <si>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</si>
  <si>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</si>
  <si>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</si>
  <si>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</si>
  <si>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</si>
  <si>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</si>
  <si>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</si>
  <si>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</si>
  <si>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</si>
  <si>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</si>
  <si>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</si>
  <si>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</si>
  <si>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</si>
  <si>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</si>
  <si>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</si>
  <si>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</si>
  <si>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</si>
  <si>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</si>
  <si>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</si>
  <si>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京（2021）房不动产权0024764号</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</si>
  <si>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</si>
  <si>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</si>
  <si>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</si>
  <si>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</si>
  <si>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</si>
  <si>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</si>
  <si>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</si>
  <si>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</si>
  <si>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京（2021）房不动产权0024765号</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</si>
  <si>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</si>
  <si>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</si>
  <si>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</si>
  <si>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</si>
  <si>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</si>
  <si>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</si>
  <si>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</si>
  <si>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</si>
  <si>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</si>
  <si>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</si>
  <si>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</si>
  <si>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</si>
  <si>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</si>
  <si>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</si>
  <si>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</si>
  <si>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</si>
  <si>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</si>
  <si>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</si>
  <si>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</si>
  <si>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</si>
  <si>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</si>
  <si>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</si>
  <si>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</si>
  <si>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</si>
  <si>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</si>
  <si>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</si>
  <si>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</si>
  <si>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</si>
  <si>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京（2021）房不动产权0024766号</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</si>
  <si>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</si>
  <si>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</si>
  <si>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</si>
  <si>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</si>
  <si>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京（2021）房不动产权0024768号</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</si>
  <si>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</si>
  <si>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</si>
  <si>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</si>
  <si>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</si>
  <si>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</si>
  <si>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</si>
  <si>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</si>
  <si>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</si>
  <si>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</si>
  <si>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</si>
  <si>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</si>
  <si>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</si>
  <si>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</si>
  <si>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</si>
  <si>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</si>
  <si>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</si>
  <si>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</si>
  <si>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</si>
  <si>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</si>
  <si>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</si>
  <si>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</si>
  <si>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</si>
  <si>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</si>
  <si>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</si>
  <si>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</si>
  <si>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</si>
  <si>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</si>
  <si>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</si>
  <si>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</si>
  <si>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</si>
  <si>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</si>
  <si>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</si>
  <si>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</si>
  <si>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</si>
  <si>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</si>
  <si>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</si>
  <si>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</si>
  <si>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</si>
  <si>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</si>
  <si>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</si>
  <si>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</si>
  <si>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</si>
  <si>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</si>
  <si>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</si>
  <si>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</si>
  <si>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</si>
  <si>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</si>
  <si>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</si>
  <si>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</si>
  <si>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</si>
  <si>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</si>
  <si>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</si>
  <si>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</si>
  <si>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</si>
  <si>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</si>
  <si>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</si>
  <si>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</si>
  <si>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</si>
  <si>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</si>
  <si>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</si>
  <si>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</si>
  <si>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</si>
  <si>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</si>
  <si>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</si>
  <si>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</si>
  <si>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</si>
  <si>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</si>
  <si>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</si>
  <si>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</si>
  <si>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</si>
  <si>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</si>
  <si>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</si>
  <si>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</si>
  <si>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</si>
  <si>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</si>
  <si>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</si>
  <si>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</si>
  <si>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</si>
  <si>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</si>
  <si>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</si>
  <si>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</si>
  <si>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</si>
  <si>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</si>
  <si>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</si>
  <si>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</si>
  <si>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</si>
  <si>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</si>
  <si>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</si>
  <si>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</si>
  <si>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</si>
  <si>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</si>
  <si>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</si>
  <si>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</si>
  <si>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</si>
  <si>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</si>
  <si>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</si>
  <si>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</si>
  <si>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</si>
  <si>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</si>
  <si>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</si>
  <si>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</si>
  <si>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</si>
  <si>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</si>
  <si>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</si>
  <si>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</si>
  <si>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</si>
  <si>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</si>
  <si>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</si>
  <si>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</si>
  <si>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</si>
  <si>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</si>
  <si>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</si>
  <si>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</si>
  <si>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</si>
  <si>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</si>
  <si>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</si>
  <si>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</si>
  <si>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</si>
  <si>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</si>
  <si>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</si>
  <si>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</si>
  <si>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</si>
  <si>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</si>
  <si>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</si>
  <si>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</si>
  <si>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</si>
  <si>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</si>
  <si>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</si>
  <si>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</si>
  <si>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</si>
  <si>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</si>
  <si>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</si>
  <si>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</si>
  <si>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</si>
  <si>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</si>
  <si>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</si>
  <si>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</si>
  <si>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</si>
  <si>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</si>
  <si>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</si>
  <si>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</si>
  <si>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</si>
  <si>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</si>
  <si>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</si>
  <si>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</si>
  <si>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</si>
  <si>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</si>
  <si>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</si>
  <si>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</si>
  <si>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</si>
  <si>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</si>
  <si>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</si>
  <si>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</si>
  <si>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</si>
  <si>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</si>
  <si>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</si>
  <si>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</si>
  <si>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</si>
  <si>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</si>
  <si>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</si>
  <si>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</si>
  <si>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</si>
  <si>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</si>
  <si>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</si>
  <si>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</si>
  <si>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</si>
  <si>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</si>
  <si>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</si>
  <si>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</si>
  <si>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</si>
  <si>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</si>
  <si>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</si>
  <si>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</si>
  <si>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</si>
  <si>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</si>
  <si>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</si>
  <si>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</si>
  <si>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</si>
  <si>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</si>
  <si>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</si>
  <si>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</si>
  <si>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</si>
  <si>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</si>
  <si>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</si>
  <si>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</si>
  <si>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</si>
  <si>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</si>
  <si>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</si>
  <si>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</si>
  <si>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</si>
  <si>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</si>
  <si>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</si>
  <si>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</si>
  <si>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</si>
  <si>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</si>
  <si>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</si>
  <si>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</si>
  <si>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</si>
  <si>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</si>
  <si>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</si>
  <si>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</si>
  <si>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</si>
  <si>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</si>
  <si>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</si>
  <si>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</si>
  <si>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</si>
  <si>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</si>
  <si>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</si>
  <si>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</si>
  <si>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</si>
  <si>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</si>
  <si>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</si>
  <si>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</si>
  <si>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</si>
  <si>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</si>
  <si>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</si>
  <si>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</si>
  <si>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</si>
  <si>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</si>
  <si>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</si>
  <si>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</si>
  <si>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</si>
  <si>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</si>
  <si>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</si>
  <si>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</si>
  <si>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</si>
  <si>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</si>
  <si>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</si>
  <si>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</si>
  <si>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</si>
  <si>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</si>
  <si>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</si>
  <si>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</si>
  <si>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</si>
  <si>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</si>
  <si>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</si>
  <si>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</si>
  <si>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</si>
  <si>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</si>
  <si>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</si>
  <si>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</si>
  <si>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</si>
  <si>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</si>
  <si>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</si>
  <si>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</si>
  <si>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</si>
  <si>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</si>
  <si>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</si>
  <si>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</si>
  <si>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</si>
  <si>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</si>
  <si>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</si>
  <si>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</si>
  <si>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</si>
  <si>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</si>
  <si>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</si>
  <si>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</si>
  <si>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</si>
  <si>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</si>
  <si>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</si>
  <si>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</si>
  <si>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</si>
  <si>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</si>
  <si>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</si>
  <si>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</si>
  <si>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</si>
  <si>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</si>
  <si>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</si>
  <si>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</si>
  <si>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</si>
  <si>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</si>
  <si>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</si>
  <si>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</si>
  <si>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</si>
  <si>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</si>
  <si>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</si>
  <si>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</si>
  <si>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</si>
  <si>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</si>
  <si>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</si>
  <si>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</si>
  <si>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</si>
  <si>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</si>
  <si>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</si>
  <si>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</si>
  <si>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</si>
  <si>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</si>
  <si>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</si>
  <si>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</si>
  <si>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</si>
  <si>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</si>
  <si>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</si>
  <si>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</si>
  <si>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</si>
  <si>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</si>
  <si>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</si>
  <si>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</si>
  <si>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</si>
  <si>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</si>
  <si>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</si>
  <si>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</si>
  <si>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</si>
  <si>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</si>
  <si>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</si>
  <si>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</si>
  <si>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</si>
  <si>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</si>
  <si>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</si>
  <si>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</si>
  <si>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</si>
  <si>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</si>
  <si>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</si>
  <si>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</si>
  <si>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</si>
  <si>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</si>
  <si>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</si>
  <si>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</si>
  <si>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</si>
  <si>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</si>
  <si>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</si>
  <si>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</si>
  <si>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</si>
  <si>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</si>
  <si>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</si>
  <si>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</si>
  <si>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</si>
  <si>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</si>
  <si>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</si>
  <si>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</si>
  <si>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</si>
  <si>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</si>
  <si>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</si>
  <si>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</si>
  <si>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</si>
  <si>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</si>
  <si>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</si>
  <si>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</si>
  <si>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</si>
  <si>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</si>
  <si>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</si>
  <si>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</si>
  <si>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</si>
  <si>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</si>
  <si>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</si>
  <si>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</si>
  <si>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</si>
  <si>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</si>
  <si>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</si>
  <si>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</si>
  <si>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</si>
  <si>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</si>
  <si>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</si>
  <si>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</si>
  <si>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</si>
  <si>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</si>
  <si>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</si>
  <si>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</si>
  <si>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</si>
  <si>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</si>
  <si>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</si>
  <si>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</si>
  <si>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</si>
  <si>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</si>
  <si>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</si>
  <si>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</si>
  <si>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</si>
  <si>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</si>
  <si>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</si>
  <si>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</si>
  <si>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</si>
  <si>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</si>
  <si>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</si>
  <si>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</si>
  <si>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</si>
  <si>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</si>
  <si>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</si>
  <si>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</si>
  <si>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</si>
  <si>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</si>
  <si>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</si>
  <si>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</si>
  <si>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</si>
  <si>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</si>
  <si>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</si>
  <si>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</si>
  <si>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</si>
  <si>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</si>
  <si>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</si>
  <si>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</si>
  <si>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</si>
  <si>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</si>
  <si>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</si>
  <si>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</si>
  <si>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</si>
  <si>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</si>
  <si>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</si>
  <si>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</si>
  <si>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</si>
  <si>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</si>
  <si>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</si>
  <si>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</si>
  <si>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</si>
  <si>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</si>
  <si>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</si>
  <si>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</si>
  <si>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</si>
  <si>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</si>
  <si>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</si>
  <si>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</si>
  <si>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</si>
  <si>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</si>
  <si>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</si>
  <si>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</si>
  <si>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</si>
  <si>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</si>
  <si>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</si>
  <si>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</si>
  <si>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</si>
  <si>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</si>
  <si>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</si>
  <si>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</si>
  <si>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</si>
  <si>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</si>
  <si>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</si>
  <si>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</si>
  <si>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</si>
  <si>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</si>
  <si>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</si>
  <si>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</si>
  <si>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</si>
  <si>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</si>
  <si>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</si>
  <si>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</si>
  <si>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</si>
  <si>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</si>
  <si>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</si>
  <si>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</si>
  <si>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</si>
  <si>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</si>
  <si>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</si>
  <si>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</si>
  <si>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</si>
  <si>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</si>
  <si>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</si>
  <si>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</si>
  <si>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</si>
  <si>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</si>
  <si>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</si>
  <si>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</si>
  <si>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</si>
  <si>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</si>
  <si>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</si>
  <si>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</si>
  <si>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</si>
  <si>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</si>
  <si>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</si>
  <si>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</si>
  <si>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</si>
  <si>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</si>
  <si>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</si>
  <si>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</si>
  <si>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</si>
  <si>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</si>
  <si>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</si>
  <si>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</si>
  <si>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</si>
  <si>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</si>
  <si>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</si>
  <si>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</si>
  <si>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</si>
  <si>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</si>
  <si>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</si>
  <si>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</si>
  <si>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</si>
  <si>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</si>
  <si>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</si>
  <si>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</si>
  <si>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</si>
  <si>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</si>
  <si>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</si>
  <si>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</si>
  <si>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</si>
  <si>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</si>
  <si>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</si>
  <si>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</si>
  <si>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</si>
  <si>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</si>
  <si>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</si>
  <si>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</si>
  <si>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</si>
  <si>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</si>
  <si>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</si>
  <si>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</si>
  <si>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</si>
  <si>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</si>
  <si>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</si>
  <si>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</si>
  <si>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</si>
  <si>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</si>
  <si>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</si>
  <si>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</si>
  <si>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</si>
  <si>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</si>
  <si>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</si>
  <si>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</si>
  <si>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</si>
  <si>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</si>
  <si>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</si>
  <si>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</si>
  <si>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</si>
  <si>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</si>
  <si>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</si>
  <si>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</si>
  <si>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</si>
  <si>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</si>
  <si>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</si>
  <si>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</si>
  <si>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</si>
  <si>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</si>
  <si>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</si>
  <si>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</si>
  <si>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</si>
  <si>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</si>
  <si>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</si>
  <si>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</si>
  <si>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</si>
  <si>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</si>
  <si>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</si>
  <si>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</si>
  <si>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</si>
  <si>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</si>
  <si>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</si>
  <si>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</si>
  <si>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</si>
  <si>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</si>
  <si>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</si>
  <si>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</si>
  <si>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</si>
  <si>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</si>
  <si>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</si>
  <si>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</si>
  <si>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</si>
  <si>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</si>
  <si>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</si>
  <si>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</si>
  <si>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</si>
  <si>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</si>
  <si>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</si>
  <si>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</si>
  <si>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</si>
  <si>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</si>
  <si>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</si>
  <si>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</si>
  <si>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</si>
  <si>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</si>
  <si>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</si>
  <si>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</si>
  <si>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</si>
  <si>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</si>
  <si>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</si>
  <si>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</si>
  <si>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</si>
  <si>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</si>
  <si>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</si>
  <si>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</si>
  <si>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</si>
  <si>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</si>
  <si>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</si>
  <si>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</si>
  <si>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</si>
  <si>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</si>
  <si>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</si>
  <si>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</si>
  <si>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</si>
  <si>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</si>
  <si>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</si>
  <si>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</si>
  <si>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</si>
  <si>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</si>
  <si>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</si>
  <si>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</si>
  <si>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</si>
  <si>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</si>
  <si>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</si>
  <si>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</si>
  <si>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</si>
  <si>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</si>
  <si>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</si>
  <si>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</si>
  <si>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</si>
  <si>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</si>
  <si>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</si>
  <si>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</si>
  <si>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</si>
  <si>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</si>
  <si>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</si>
  <si>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</si>
  <si>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</si>
  <si>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</si>
  <si>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</si>
  <si>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</si>
  <si>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</si>
  <si>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</si>
  <si>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</si>
  <si>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</si>
  <si>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</si>
  <si>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</si>
  <si>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</si>
  <si>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</si>
  <si>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</si>
  <si>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</si>
  <si>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</si>
  <si>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</si>
  <si>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</si>
  <si>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</si>
  <si>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</si>
  <si>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</si>
  <si>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</si>
  <si>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</si>
  <si>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</si>
  <si>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</si>
  <si>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</si>
  <si>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</si>
  <si>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</si>
  <si>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</si>
  <si>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</si>
  <si>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</si>
  <si>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</si>
  <si>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</si>
  <si>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</si>
  <si>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</si>
  <si>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</si>
  <si>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</si>
  <si>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</si>
  <si>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</si>
  <si>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</si>
  <si>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</si>
  <si>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</si>
  <si>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</si>
  <si>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</si>
  <si>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</si>
  <si>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</si>
  <si>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</si>
  <si>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</si>
  <si>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</si>
  <si>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</si>
  <si>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</si>
  <si>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</si>
  <si>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</si>
  <si>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</si>
  <si>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</si>
  <si>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</si>
  <si>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</si>
  <si>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</si>
  <si>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</si>
  <si>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</si>
  <si>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</si>
  <si>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</si>
  <si>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</si>
  <si>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</si>
  <si>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</si>
  <si>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</si>
  <si>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</si>
  <si>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</si>
  <si>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</si>
  <si>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</si>
  <si>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</si>
  <si>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</si>
  <si>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</si>
  <si>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</si>
  <si>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</si>
  <si>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</si>
  <si>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</si>
  <si>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</si>
  <si>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</si>
  <si>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</si>
  <si>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</si>
  <si>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</si>
  <si>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</si>
  <si>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</si>
  <si>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</si>
  <si>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</si>
  <si>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</si>
  <si>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</si>
  <si>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</si>
  <si>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</si>
  <si>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</si>
  <si>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</si>
  <si>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</si>
  <si>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</si>
  <si>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</si>
  <si>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</si>
  <si>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</si>
  <si>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</si>
  <si>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</si>
  <si>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</si>
  <si>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</si>
  <si>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</si>
  <si>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</si>
  <si>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</si>
  <si>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</si>
  <si>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</si>
  <si>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</si>
  <si>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</si>
  <si>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</si>
  <si>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</si>
  <si>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</si>
  <si>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</si>
  <si>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</si>
  <si>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</si>
  <si>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</si>
  <si>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</si>
  <si>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</si>
  <si>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</si>
  <si>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</si>
  <si>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</si>
  <si>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</si>
  <si>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</si>
  <si>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</si>
  <si>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</si>
  <si>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</si>
  <si>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</si>
  <si>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</si>
  <si>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</si>
  <si>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</si>
  <si>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</si>
  <si>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</si>
  <si>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</si>
  <si>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</si>
  <si>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</si>
  <si>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</si>
  <si>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</si>
  <si>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</si>
  <si>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</si>
  <si>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</si>
  <si>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</si>
  <si>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</si>
  <si>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</si>
  <si>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</si>
  <si>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</si>
  <si>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</si>
  <si>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</si>
  <si>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</si>
  <si>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</si>
  <si>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</si>
  <si>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</si>
  <si>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</si>
  <si>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</si>
  <si>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</si>
  <si>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</si>
  <si>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</si>
  <si>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</si>
  <si>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</si>
  <si>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</si>
  <si>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</si>
  <si>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</si>
  <si>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</si>
  <si>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</si>
  <si>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</si>
  <si>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</si>
  <si>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</si>
  <si>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</si>
  <si>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</si>
  <si>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</si>
  <si>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</si>
  <si>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</si>
  <si>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</si>
  <si>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</si>
  <si>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</si>
  <si>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</si>
  <si>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</si>
  <si>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</si>
  <si>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</si>
  <si>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</si>
  <si>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</si>
  <si>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</si>
  <si>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</si>
  <si>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</si>
  <si>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</si>
  <si>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</si>
  <si>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</si>
  <si>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</si>
  <si>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</si>
  <si>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</si>
  <si>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</si>
  <si>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</si>
  <si>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</si>
  <si>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</si>
  <si>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</si>
  <si>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</si>
  <si>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</si>
  <si>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</si>
  <si>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</si>
  <si>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</si>
  <si>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</si>
  <si>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</si>
  <si>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</si>
  <si>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</si>
  <si>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</si>
  <si>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</si>
  <si>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</si>
  <si>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</si>
  <si>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</si>
  <si>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</si>
  <si>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</si>
  <si>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</si>
  <si>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</si>
  <si>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</si>
  <si>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</si>
  <si>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</si>
  <si>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</si>
  <si>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</si>
  <si>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</si>
  <si>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</si>
  <si>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</si>
  <si>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</si>
  <si>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</si>
  <si>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</si>
  <si>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</si>
  <si>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</si>
  <si>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</si>
  <si>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</si>
  <si>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</si>
  <si>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</si>
  <si>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</si>
  <si>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</si>
  <si>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</si>
  <si>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</si>
  <si>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</si>
  <si>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</si>
  <si>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</si>
  <si>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</si>
  <si>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</si>
  <si>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</si>
  <si>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</si>
  <si>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</si>
  <si>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</si>
  <si>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</si>
  <si>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</si>
  <si>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</si>
  <si>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</si>
  <si>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</si>
  <si>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</si>
  <si>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</si>
  <si>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</si>
  <si>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</si>
  <si>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</si>
  <si>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</si>
  <si>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</si>
  <si>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</si>
  <si>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</si>
  <si>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</si>
  <si>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</si>
  <si>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</si>
  <si>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</si>
  <si>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</si>
  <si>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</si>
  <si>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</si>
  <si>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</si>
  <si>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</si>
  <si>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</si>
  <si>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商业</t>
    <phoneticPr fontId="30" type="noConversion"/>
  </si>
  <si>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</si>
  <si>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</si>
  <si>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</si>
  <si>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</si>
  <si>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</si>
  <si>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</si>
  <si>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</si>
  <si>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</si>
  <si>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</si>
  <si>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</si>
  <si>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</si>
  <si>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</si>
  <si>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</si>
  <si>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</si>
  <si>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</si>
  <si>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</si>
  <si>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</si>
  <si>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</si>
  <si>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</si>
  <si>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</si>
  <si>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</si>
  <si>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</si>
  <si>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</si>
  <si>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</si>
  <si>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</si>
  <si>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</si>
  <si>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</si>
  <si>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</si>
  <si>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</si>
  <si>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</si>
  <si>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</si>
  <si>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</si>
  <si>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</si>
  <si>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</si>
  <si>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</si>
  <si>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</si>
  <si>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</si>
  <si>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</si>
  <si>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</si>
  <si>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</si>
  <si>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</si>
  <si>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馆</t>
    </r>
    <phoneticPr fontId="3" type="noConversion"/>
  </si>
  <si>
    <t>地上商业</t>
    <phoneticPr fontId="134" type="noConversion"/>
  </si>
  <si>
    <t>单价</t>
    <phoneticPr fontId="134" type="noConversion"/>
  </si>
  <si>
    <t>面积</t>
    <phoneticPr fontId="134" type="noConversion"/>
  </si>
  <si>
    <t>总价</t>
    <phoneticPr fontId="134" type="noConversion"/>
  </si>
  <si>
    <t>A馆面积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</si>
</sst>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47" fillId="21" borderId="1" xfId="0" applyFont="1" applyFill="1" applyBorder="1" applyAlignment="1" applyProtection="1">
      <alignment horizontal="lef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54" fillId="3" borderId="0" xfId="0" applyFont="1" applyFill="1" applyAlignment="1" applyProtection="1">
      <alignment horizontal="center" vertical="center"/>
      <protection locked="0"/>
    </xf>
    <xf numFmtId="179" fontId="44" fillId="16" borderId="23"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0" fontId="44" fillId="16" borderId="23" xfId="0" applyFont="1" applyFill="1" applyBorder="1" applyAlignment="1" applyProtection="1">
      <alignment horizontal="center" vertical="center"/>
      <protection locked="0"/>
    </xf>
    <xf numFmtId="10" fontId="44" fillId="16" borderId="61" xfId="0" applyNumberFormat="1" applyFont="1" applyFill="1" applyBorder="1" applyAlignment="1" applyProtection="1">
      <alignment horizontal="center" vertical="center"/>
      <protection locked="0"/>
    </xf>
    <xf numFmtId="10" fontId="44" fillId="22" borderId="1" xfId="0" applyNumberFormat="1" applyFont="1" applyFill="1" applyBorder="1" applyAlignment="1" applyProtection="1">
      <alignment horizontal="center" vertical="center"/>
      <protection locked="0"/>
    </xf>
    <xf numFmtId="181" fontId="47" fillId="22" borderId="49" xfId="0"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589955</xdr:colOff>
      <xdr:row>85</xdr:row>
      <xdr:rowOff>94531</xdr:rowOff>
    </xdr:to>
    <xdr:pic>
      <xdr:nvPicPr>
        <xdr:cNvPr id="3" name="图片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599479</xdr:colOff>
      <xdr:row>90</xdr:row>
      <xdr:rowOff>76105</xdr:rowOff>
    </xdr:to>
    <xdr:pic>
      <xdr:nvPicPr>
        <xdr:cNvPr id="4" name="图片 3">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 xmlns:a16="http://schemas.microsoft.com/office/drawing/2014/main"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 xmlns:a16="http://schemas.microsoft.com/office/drawing/2014/main"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 xmlns:a16="http://schemas.microsoft.com/office/drawing/2014/main"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68;&#32456;-&#20027;&#34920;-B&#39302;2&#21495;&#27004;&#21450;100&#24162;-&#35843;&#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8">
          <cell r="C18">
            <v>0</v>
          </cell>
        </row>
        <row r="19">
          <cell r="C19" t="str">
            <v>商业综合体</v>
          </cell>
        </row>
        <row r="20">
          <cell r="C20">
            <v>0</v>
          </cell>
        </row>
        <row r="21">
          <cell r="C21">
            <v>0</v>
          </cell>
        </row>
        <row r="22">
          <cell r="C22">
            <v>0</v>
          </cell>
        </row>
        <row r="23">
          <cell r="C23">
            <v>0</v>
          </cell>
        </row>
        <row r="24">
          <cell r="C24">
            <v>0</v>
          </cell>
        </row>
        <row r="25">
          <cell r="C25">
            <v>0</v>
          </cell>
        </row>
        <row r="26">
          <cell r="C26">
            <v>0</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B4</v>
          </cell>
          <cell r="D74" t="str">
            <v>F3</v>
          </cell>
          <cell r="E74" t="str">
            <v>B14旅馆</v>
          </cell>
          <cell r="F74">
            <v>0</v>
          </cell>
          <cell r="G74">
            <v>0</v>
          </cell>
          <cell r="H74">
            <v>0</v>
          </cell>
          <cell r="I74">
            <v>0</v>
          </cell>
          <cell r="J74">
            <v>0</v>
          </cell>
          <cell r="K74">
            <v>0</v>
          </cell>
          <cell r="L74">
            <v>0</v>
          </cell>
          <cell r="M74">
            <v>0</v>
          </cell>
        </row>
        <row r="105">
          <cell r="B105" t="str">
            <v>毗邻道路的类型与等级</v>
          </cell>
          <cell r="C105" t="str">
            <v>高速路</v>
          </cell>
          <cell r="D105" t="str">
            <v>快速路</v>
          </cell>
          <cell r="E105" t="str">
            <v>主干道</v>
          </cell>
          <cell r="F105" t="str">
            <v>次干道</v>
          </cell>
          <cell r="G105" t="str">
            <v>支路</v>
          </cell>
          <cell r="H105">
            <v>0</v>
          </cell>
          <cell r="I105">
            <v>0</v>
          </cell>
          <cell r="J105">
            <v>0</v>
          </cell>
          <cell r="K105">
            <v>0</v>
          </cell>
          <cell r="L105">
            <v>0</v>
          </cell>
          <cell r="M105">
            <v>0</v>
          </cell>
        </row>
        <row r="107">
          <cell r="B107" t="str">
            <v>土地级别</v>
          </cell>
          <cell r="C107" t="str">
            <v>五级</v>
          </cell>
          <cell r="D107" t="str">
            <v>六级</v>
          </cell>
          <cell r="E107" t="str">
            <v>七级</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较合适</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t="str">
            <v>报价</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v>0</v>
          </cell>
          <cell r="G92">
            <v>0</v>
          </cell>
          <cell r="H92">
            <v>0</v>
          </cell>
          <cell r="I92">
            <v>0</v>
          </cell>
          <cell r="J92">
            <v>0</v>
          </cell>
          <cell r="K92">
            <v>0</v>
          </cell>
          <cell r="L92">
            <v>0</v>
          </cell>
          <cell r="M92">
            <v>0</v>
          </cell>
        </row>
        <row r="100">
          <cell r="B100" t="str">
            <v>商业类型</v>
          </cell>
          <cell r="C100" t="str">
            <v>商业综合体</v>
          </cell>
          <cell r="D100" t="str">
            <v>商业街</v>
          </cell>
          <cell r="E100" t="str">
            <v>配套底商</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9">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审计报告营业收入"/>
      <sheetName val="收入台账"/>
      <sheetName val="数据-取费表"/>
      <sheetName val="估价对象房地状况"/>
      <sheetName val="系统读取表"/>
      <sheetName val="结果表"/>
      <sheetName val="拆分结果"/>
      <sheetName val="成本法"/>
      <sheetName val="成本法 (元)"/>
      <sheetName val="假设开发法"/>
      <sheetName val="土地比较法-住宅、综合"/>
      <sheetName val="土地案例"/>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6">
          <cell r="B56">
            <v>13508</v>
          </cell>
        </row>
        <row r="57">
          <cell r="B57">
            <v>2026</v>
          </cell>
        </row>
        <row r="63">
          <cell r="B63">
            <v>507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估价对象为北京市房地产，为所有。根据《国有土地使用证》[]，估价对象（分摊）出让国有建设用地使用权面积为15742.02平方米，建筑面积为68049.78平方米。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估价对象为北京市房地产,属开发建设的商业项目，该项目尚在开发建设中。根据《国有土地使用证》[]，估价对象（分摊）出让国有建设用地使用权面积为15742.02平方米，规划建筑面积为68049.78平方米。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2024年11月8日（评估专业人员实地查勘之日）</v>
      </c>
    </row>
    <row r="13" spans="1:2">
      <c r="A13" s="1116" t="s">
        <v>529</v>
      </c>
      <c r="B13" s="1117"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129666</v>
      </c>
    </row>
    <row r="21" spans="1:2">
      <c r="A21" s="1116" t="s">
        <v>537</v>
      </c>
      <c r="B21" s="1117">
        <f ca="1">'预评函-2'!D7</f>
        <v>19055</v>
      </c>
    </row>
    <row r="22" spans="1:2">
      <c r="A22" s="1116" t="s">
        <v>538</v>
      </c>
      <c r="B22" s="1117" t="str">
        <f ca="1">'预评函-2'!D6</f>
        <v>壹拾贰亿玖仟陆佰陆拾陆万元整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129666</v>
      </c>
    </row>
    <row r="31" spans="1:2">
      <c r="A31" s="1116" t="s">
        <v>576</v>
      </c>
      <c r="B31" s="1117">
        <f ca="1">'预评函-2'!D15</f>
        <v>19055</v>
      </c>
    </row>
    <row r="32" spans="1:2">
      <c r="A32" s="1116" t="s">
        <v>543</v>
      </c>
      <c r="B32" s="1117" t="str">
        <f ca="1">'预评函-2'!D14</f>
        <v>壹拾贰亿玖仟陆佰陆拾陆万元整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68049.77999999997</v>
      </c>
    </row>
    <row r="44" spans="1:2">
      <c r="A44" s="1116" t="s">
        <v>575</v>
      </c>
      <c r="B44" s="1117" t="str">
        <f>'预评函-3'!C2</f>
        <v>(分摊)土地面积</v>
      </c>
    </row>
    <row r="45" spans="1:2">
      <c r="A45" s="1116" t="s">
        <v>547</v>
      </c>
      <c r="B45" s="1117">
        <f>'预评函-3'!C4</f>
        <v>15742.02</v>
      </c>
    </row>
    <row r="46" spans="1:2">
      <c r="A46" s="1116" t="s">
        <v>573</v>
      </c>
      <c r="B46" s="1117" t="str">
        <f>'预评函-3'!D2</f>
        <v>出让国有建设用地使用权价值</v>
      </c>
    </row>
    <row r="47" spans="1:2">
      <c r="A47" s="1116" t="s">
        <v>548</v>
      </c>
      <c r="B47" s="1117">
        <f ca="1">'预评函-3'!D4</f>
        <v>81560</v>
      </c>
    </row>
    <row r="48" spans="1:2">
      <c r="A48" s="1116" t="s">
        <v>549</v>
      </c>
      <c r="B48" s="1117">
        <f ca="1">'预评函-3'!E4</f>
        <v>11986</v>
      </c>
    </row>
    <row r="49" spans="1:2">
      <c r="A49" s="1116" t="s">
        <v>550</v>
      </c>
      <c r="B49" s="1117" t="str">
        <f ca="1">'预评函-3'!D5</f>
        <v>捌亿壹仟伍佰陆拾万元整</v>
      </c>
    </row>
    <row r="50" spans="1:2">
      <c r="A50" s="1116" t="s">
        <v>574</v>
      </c>
      <c r="B50" s="1117" t="str">
        <f>'预评函-3'!F2</f>
        <v>建筑物价值</v>
      </c>
    </row>
    <row r="51" spans="1:2">
      <c r="A51" s="1116" t="s">
        <v>551</v>
      </c>
      <c r="B51" s="1117">
        <f ca="1">'预评函-3'!F4</f>
        <v>48106</v>
      </c>
    </row>
    <row r="52" spans="1:2">
      <c r="A52" s="1116" t="s">
        <v>552</v>
      </c>
      <c r="B52" s="1117">
        <f ca="1">'预评函-3'!G4</f>
        <v>7069</v>
      </c>
    </row>
    <row r="53" spans="1:2">
      <c r="A53" s="1116" t="s">
        <v>580</v>
      </c>
      <c r="B53" s="1117" t="str">
        <f ca="1">'预评函-3'!F5</f>
        <v>肆亿捌仟壹佰零陆万元整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976</v>
      </c>
      <c r="C1" s="1435" t="s">
        <v>314</v>
      </c>
      <c r="D1" s="1436" t="s">
        <v>3348</v>
      </c>
      <c r="E1" s="1435" t="s">
        <v>977</v>
      </c>
      <c r="F1" s="1435" t="s">
        <v>978</v>
      </c>
      <c r="G1" s="1435" t="s">
        <v>979</v>
      </c>
      <c r="H1" s="1435" t="s">
        <v>980</v>
      </c>
      <c r="I1" s="1435" t="s">
        <v>981</v>
      </c>
      <c r="J1" s="1435" t="s">
        <v>982</v>
      </c>
      <c r="K1" s="1435" t="s">
        <v>983</v>
      </c>
      <c r="L1" s="1435" t="s">
        <v>984</v>
      </c>
      <c r="M1" s="1435" t="s">
        <v>985</v>
      </c>
      <c r="N1" s="1435" t="s">
        <v>986</v>
      </c>
      <c r="O1" s="1435" t="s">
        <v>987</v>
      </c>
      <c r="P1" s="1436" t="s">
        <v>309</v>
      </c>
      <c r="Q1" s="1436" t="s">
        <v>447</v>
      </c>
      <c r="R1" s="1435" t="s">
        <v>441</v>
      </c>
      <c r="S1" s="1435" t="s">
        <v>988</v>
      </c>
      <c r="T1" s="1436" t="s">
        <v>989</v>
      </c>
      <c r="U1" s="1435" t="s">
        <v>990</v>
      </c>
      <c r="V1" s="1435" t="s">
        <v>991</v>
      </c>
      <c r="W1" s="1435" t="s">
        <v>311</v>
      </c>
    </row>
    <row r="2" spans="1:23">
      <c r="A2" s="1438" t="s">
        <v>19</v>
      </c>
      <c r="B2" s="1438" t="s">
        <v>992</v>
      </c>
      <c r="C2" s="1439" t="s">
        <v>315</v>
      </c>
      <c r="D2" s="1440" t="s">
        <v>993</v>
      </c>
      <c r="E2" s="1440" t="s">
        <v>994</v>
      </c>
      <c r="F2" s="1440" t="s">
        <v>995</v>
      </c>
      <c r="G2" s="1440">
        <v>20</v>
      </c>
      <c r="H2" s="1440" t="s">
        <v>995</v>
      </c>
      <c r="I2" s="1440" t="s">
        <v>3334</v>
      </c>
      <c r="J2" s="1440" t="s">
        <v>996</v>
      </c>
      <c r="K2" s="1440" t="s">
        <v>997</v>
      </c>
      <c r="L2" s="1440" t="s">
        <v>997</v>
      </c>
      <c r="M2" s="1440" t="s">
        <v>997</v>
      </c>
      <c r="N2" s="1440" t="s">
        <v>997</v>
      </c>
      <c r="O2" s="1440" t="s">
        <v>997</v>
      </c>
      <c r="P2" s="1440" t="s">
        <v>997</v>
      </c>
      <c r="Q2" s="1440" t="s">
        <v>997</v>
      </c>
      <c r="R2" s="1440" t="s">
        <v>443</v>
      </c>
      <c r="S2" s="1440" t="s">
        <v>997</v>
      </c>
      <c r="T2" s="1440" t="s">
        <v>998</v>
      </c>
      <c r="U2" s="1440" t="s">
        <v>997</v>
      </c>
      <c r="V2" s="1440" t="s">
        <v>999</v>
      </c>
      <c r="W2" s="1440" t="s">
        <v>997</v>
      </c>
    </row>
    <row r="3" spans="1:23">
      <c r="A3" s="1438" t="s">
        <v>1000</v>
      </c>
      <c r="B3" s="1441" t="s">
        <v>448</v>
      </c>
      <c r="C3" s="1439" t="s">
        <v>316</v>
      </c>
      <c r="D3" s="1440" t="s">
        <v>1001</v>
      </c>
      <c r="E3" s="1440" t="s">
        <v>13</v>
      </c>
      <c r="F3" s="1440" t="s">
        <v>1002</v>
      </c>
      <c r="G3" s="1440">
        <v>40</v>
      </c>
      <c r="H3" s="1440" t="s">
        <v>1002</v>
      </c>
      <c r="I3" s="1440" t="s">
        <v>3335</v>
      </c>
      <c r="J3" s="1440" t="s">
        <v>1003</v>
      </c>
      <c r="K3" s="1440" t="s">
        <v>1004</v>
      </c>
      <c r="L3" s="1440" t="s">
        <v>1004</v>
      </c>
      <c r="M3" s="1440" t="s">
        <v>1004</v>
      </c>
      <c r="N3" s="1440" t="s">
        <v>1004</v>
      </c>
      <c r="O3" s="1440" t="s">
        <v>1004</v>
      </c>
      <c r="P3" s="1440" t="s">
        <v>1004</v>
      </c>
      <c r="Q3" s="1440" t="s">
        <v>1004</v>
      </c>
      <c r="R3" s="1440" t="s">
        <v>442</v>
      </c>
      <c r="S3" s="1440" t="s">
        <v>1004</v>
      </c>
      <c r="T3" s="1440" t="s">
        <v>1005</v>
      </c>
      <c r="U3" s="1440" t="s">
        <v>1004</v>
      </c>
      <c r="V3" s="1440" t="s">
        <v>1006</v>
      </c>
      <c r="W3" s="1440" t="s">
        <v>1004</v>
      </c>
    </row>
    <row r="4" spans="1:23">
      <c r="A4" s="1438" t="s">
        <v>1007</v>
      </c>
      <c r="B4" s="1438" t="s">
        <v>1008</v>
      </c>
      <c r="C4" s="1439" t="s">
        <v>317</v>
      </c>
      <c r="D4" s="1440" t="s">
        <v>389</v>
      </c>
      <c r="E4" s="1440" t="s">
        <v>1009</v>
      </c>
      <c r="F4" s="1440" t="s">
        <v>1010</v>
      </c>
      <c r="G4" s="1440">
        <v>50</v>
      </c>
      <c r="H4" s="1440" t="s">
        <v>1010</v>
      </c>
      <c r="I4" s="1440" t="s">
        <v>3336</v>
      </c>
      <c r="K4" s="1440" t="s">
        <v>1011</v>
      </c>
      <c r="L4" s="1440" t="s">
        <v>1011</v>
      </c>
      <c r="M4" s="1440" t="s">
        <v>1011</v>
      </c>
      <c r="N4" s="1440" t="s">
        <v>1011</v>
      </c>
      <c r="O4" s="1440" t="s">
        <v>1011</v>
      </c>
      <c r="P4" s="1440" t="s">
        <v>1011</v>
      </c>
      <c r="Q4" s="1440" t="s">
        <v>1011</v>
      </c>
      <c r="R4" s="1440" t="s">
        <v>444</v>
      </c>
      <c r="S4" s="1440" t="s">
        <v>1011</v>
      </c>
      <c r="T4" s="1440" t="s">
        <v>1012</v>
      </c>
      <c r="U4" s="1440" t="s">
        <v>1011</v>
      </c>
      <c r="W4" s="1440" t="s">
        <v>1011</v>
      </c>
    </row>
    <row r="5" spans="1:23">
      <c r="A5" s="1438" t="s">
        <v>1013</v>
      </c>
      <c r="B5" s="1438" t="s">
        <v>1014</v>
      </c>
      <c r="C5" s="1439" t="s">
        <v>318</v>
      </c>
      <c r="F5" s="1440" t="s">
        <v>1015</v>
      </c>
      <c r="G5" s="1440">
        <v>70</v>
      </c>
      <c r="H5" s="1440" t="s">
        <v>1016</v>
      </c>
      <c r="I5" s="1440" t="s">
        <v>3337</v>
      </c>
      <c r="K5" s="1440" t="s">
        <v>1017</v>
      </c>
      <c r="L5" s="1440" t="s">
        <v>1017</v>
      </c>
      <c r="M5" s="1440" t="s">
        <v>1017</v>
      </c>
      <c r="N5" s="1440" t="s">
        <v>1017</v>
      </c>
      <c r="O5" s="1440" t="s">
        <v>1017</v>
      </c>
      <c r="P5" s="1440" t="s">
        <v>1017</v>
      </c>
      <c r="Q5" s="1440" t="s">
        <v>1017</v>
      </c>
      <c r="R5" s="1440" t="s">
        <v>445</v>
      </c>
      <c r="S5" s="1440" t="s">
        <v>1017</v>
      </c>
      <c r="T5" s="1440" t="s">
        <v>1018</v>
      </c>
      <c r="U5" s="1440" t="s">
        <v>1017</v>
      </c>
      <c r="W5" s="1440" t="s">
        <v>1017</v>
      </c>
    </row>
    <row r="6" spans="1:23">
      <c r="A6" s="1438" t="s">
        <v>1019</v>
      </c>
      <c r="B6" s="1441" t="s">
        <v>449</v>
      </c>
      <c r="C6" s="1443" t="s">
        <v>24</v>
      </c>
      <c r="F6" s="1440" t="s">
        <v>1016</v>
      </c>
      <c r="H6" s="1440" t="s">
        <v>1020</v>
      </c>
      <c r="I6" s="1440" t="s">
        <v>3338</v>
      </c>
      <c r="K6" s="1440" t="s">
        <v>1021</v>
      </c>
      <c r="L6" s="1440" t="s">
        <v>1021</v>
      </c>
      <c r="M6" s="1440" t="s">
        <v>1021</v>
      </c>
      <c r="N6" s="1440" t="s">
        <v>1021</v>
      </c>
      <c r="O6" s="1440" t="s">
        <v>1021</v>
      </c>
      <c r="P6" s="1440" t="s">
        <v>1021</v>
      </c>
      <c r="Q6" s="1440" t="s">
        <v>1021</v>
      </c>
      <c r="R6" s="1440" t="s">
        <v>446</v>
      </c>
      <c r="S6" s="1440" t="s">
        <v>1021</v>
      </c>
      <c r="T6" s="1440"/>
      <c r="U6" s="1440" t="s">
        <v>1021</v>
      </c>
      <c r="W6" s="1440" t="s">
        <v>1021</v>
      </c>
    </row>
    <row r="7" spans="1:23">
      <c r="A7" s="1438" t="s">
        <v>1022</v>
      </c>
      <c r="B7" s="1441" t="s">
        <v>450</v>
      </c>
      <c r="C7" s="1439" t="s">
        <v>25</v>
      </c>
      <c r="F7" s="1440" t="s">
        <v>1023</v>
      </c>
      <c r="H7" s="1440" t="s">
        <v>1024</v>
      </c>
      <c r="I7" s="1440" t="s">
        <v>3339</v>
      </c>
    </row>
    <row r="8" spans="1:23">
      <c r="A8" s="1438" t="s">
        <v>1025</v>
      </c>
      <c r="B8" s="1438" t="s">
        <v>1026</v>
      </c>
      <c r="C8" s="1439" t="s">
        <v>319</v>
      </c>
      <c r="F8" s="1440" t="s">
        <v>1027</v>
      </c>
      <c r="H8" s="1440" t="s">
        <v>2574</v>
      </c>
      <c r="I8" s="1440" t="s">
        <v>3340</v>
      </c>
    </row>
    <row r="9" spans="1:23">
      <c r="A9" s="1438" t="s">
        <v>1028</v>
      </c>
      <c r="B9" s="1438" t="s">
        <v>1029</v>
      </c>
      <c r="C9" s="1439" t="s">
        <v>320</v>
      </c>
      <c r="F9" s="1440" t="s">
        <v>1030</v>
      </c>
      <c r="H9" s="1440"/>
      <c r="I9" s="1442" t="s">
        <v>3341</v>
      </c>
    </row>
    <row r="10" spans="1:23">
      <c r="A10" s="1438" t="s">
        <v>1031</v>
      </c>
      <c r="B10" s="1438" t="s">
        <v>1032</v>
      </c>
      <c r="C10" s="1439" t="s">
        <v>321</v>
      </c>
      <c r="F10" s="1440" t="s">
        <v>2575</v>
      </c>
      <c r="I10" s="1442" t="s">
        <v>3342</v>
      </c>
    </row>
    <row r="11" spans="1:23">
      <c r="A11" s="1438" t="s">
        <v>1033</v>
      </c>
      <c r="B11" s="1438" t="s">
        <v>1034</v>
      </c>
      <c r="C11" s="1439" t="s">
        <v>322</v>
      </c>
      <c r="F11" s="1440" t="s">
        <v>13</v>
      </c>
      <c r="I11" s="1442" t="s">
        <v>3343</v>
      </c>
    </row>
    <row r="12" spans="1:23">
      <c r="A12" s="1438" t="s">
        <v>1035</v>
      </c>
      <c r="B12" s="1438" t="s">
        <v>1036</v>
      </c>
      <c r="C12" s="1439" t="s">
        <v>323</v>
      </c>
      <c r="I12" s="1442" t="s">
        <v>3344</v>
      </c>
    </row>
    <row r="13" spans="1:23">
      <c r="A13" s="1438" t="s">
        <v>1037</v>
      </c>
      <c r="B13" s="1438" t="s">
        <v>1038</v>
      </c>
      <c r="C13" s="1439" t="s">
        <v>324</v>
      </c>
      <c r="I13" s="1442" t="s">
        <v>3345</v>
      </c>
    </row>
    <row r="14" spans="1:23">
      <c r="A14" s="1438" t="s">
        <v>1039</v>
      </c>
      <c r="B14" s="1438" t="s">
        <v>1040</v>
      </c>
      <c r="C14" s="1440" t="s">
        <v>13</v>
      </c>
      <c r="I14" s="1442" t="s">
        <v>3346</v>
      </c>
    </row>
    <row r="15" spans="1:23">
      <c r="A15" s="1438" t="s">
        <v>1041</v>
      </c>
      <c r="B15" s="1438" t="s">
        <v>1042</v>
      </c>
      <c r="C15" s="1439"/>
      <c r="I15" s="1442" t="s">
        <v>3347</v>
      </c>
    </row>
    <row r="16" spans="1:23">
      <c r="A16" s="1438" t="s">
        <v>1043</v>
      </c>
      <c r="B16" s="1438" t="s">
        <v>312</v>
      </c>
      <c r="C16" s="1439"/>
    </row>
    <row r="17" spans="1:3">
      <c r="A17" s="1438" t="s">
        <v>1044</v>
      </c>
      <c r="B17" s="1438" t="s">
        <v>2288</v>
      </c>
      <c r="C17" s="1439"/>
    </row>
    <row r="18" spans="1:3">
      <c r="A18" s="1438" t="s">
        <v>1045</v>
      </c>
      <c r="B18" s="1438" t="s">
        <v>2430</v>
      </c>
      <c r="C18" s="1439"/>
    </row>
    <row r="19" spans="1:3">
      <c r="A19" s="1438" t="s">
        <v>1046</v>
      </c>
      <c r="B19" s="1438" t="s">
        <v>313</v>
      </c>
      <c r="C19" s="1439"/>
    </row>
    <row r="20" spans="1:3">
      <c r="A20" s="1438" t="s">
        <v>1047</v>
      </c>
      <c r="B20" s="1438" t="s">
        <v>313</v>
      </c>
      <c r="C20" s="1439"/>
    </row>
    <row r="21" spans="1:3">
      <c r="A21" s="1438" t="s">
        <v>1048</v>
      </c>
      <c r="B21" s="1438" t="s">
        <v>313</v>
      </c>
      <c r="C21" s="1439"/>
    </row>
    <row r="22" spans="1:3">
      <c r="A22" s="1438" t="s">
        <v>1049</v>
      </c>
      <c r="B22" s="1438" t="s">
        <v>313</v>
      </c>
      <c r="C22" s="1439"/>
    </row>
    <row r="23" spans="1:3">
      <c r="A23" s="1438" t="s">
        <v>1050</v>
      </c>
      <c r="B23" s="1438" t="s">
        <v>313</v>
      </c>
      <c r="C23" s="1439"/>
    </row>
    <row r="24" spans="1:3">
      <c r="A24" s="1438" t="s">
        <v>1051</v>
      </c>
      <c r="B24" s="1438" t="s">
        <v>313</v>
      </c>
      <c r="C24" s="1439"/>
    </row>
    <row r="25" spans="1:3">
      <c r="A25" s="1438" t="s">
        <v>1052</v>
      </c>
      <c r="B25" s="1438" t="s">
        <v>313</v>
      </c>
      <c r="C25" s="1439"/>
    </row>
    <row r="26" spans="1:3">
      <c r="A26" s="1438" t="s">
        <v>1053</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4"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4" t="s">
        <v>385</v>
      </c>
      <c r="C54" s="1442" t="s">
        <v>583</v>
      </c>
    </row>
    <row r="55" spans="1:4">
      <c r="A55" s="3224"/>
      <c r="B55" s="1444" t="s">
        <v>386</v>
      </c>
      <c r="C55" s="1442" t="s">
        <v>584</v>
      </c>
    </row>
    <row r="56" spans="1:4">
      <c r="A56" s="3224"/>
      <c r="B56" s="1444" t="s">
        <v>387</v>
      </c>
      <c r="C56" s="1442" t="s">
        <v>588</v>
      </c>
    </row>
    <row r="57" spans="1:4">
      <c r="A57" s="3224"/>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25" t="s">
        <v>2577</v>
      </c>
      <c r="J2" s="3225"/>
      <c r="K2" s="3225"/>
      <c r="L2" s="3225"/>
      <c r="M2" s="3225"/>
      <c r="N2" s="3225"/>
      <c r="O2" s="3225"/>
      <c r="P2" s="3225"/>
      <c r="Q2" s="3225"/>
      <c r="R2" s="3225"/>
    </row>
    <row r="3" spans="1:18">
      <c r="A3" s="2760" t="s">
        <v>2498</v>
      </c>
      <c r="B3" s="2761">
        <f>项目基本情况!D3</f>
        <v>45604</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3">
      <c r="A17" s="2760" t="s">
        <v>2514</v>
      </c>
      <c r="B17" s="2768">
        <v>4810</v>
      </c>
      <c r="C17" s="2762"/>
      <c r="D17" s="2758"/>
      <c r="E17" s="2758"/>
      <c r="F17" s="2759"/>
    </row>
    <row r="18" spans="1:13" ht="14.25" thickBot="1">
      <c r="A18" s="2770" t="s">
        <v>2513</v>
      </c>
      <c r="B18" s="2771">
        <f>ROUND(B17*F11/F12,2)</f>
        <v>5541.87</v>
      </c>
      <c r="C18" s="2771">
        <f>ROUND(F11/F12,4)</f>
        <v>1.1521999999999999</v>
      </c>
      <c r="D18" s="2772"/>
      <c r="E18" s="2772"/>
      <c r="F18" s="2773"/>
    </row>
    <row r="19" spans="1:13" ht="14.25" thickBot="1"/>
    <row r="20" spans="1:13" s="2806" customFormat="1" ht="14.25" thickTop="1">
      <c r="A20" s="2803" t="s">
        <v>2516</v>
      </c>
      <c r="B20" s="2804"/>
      <c r="C20" s="2804"/>
      <c r="D20" s="2804"/>
      <c r="E20" s="2804"/>
      <c r="F20" s="2804"/>
      <c r="G20" s="2805"/>
      <c r="I20" s="2807" t="s">
        <v>2561</v>
      </c>
      <c r="J20" s="2807" t="s">
        <v>2566</v>
      </c>
      <c r="K20" s="2807"/>
      <c r="L20" s="2807"/>
      <c r="M20" s="2807"/>
    </row>
    <row r="21" spans="1:13">
      <c r="A21" s="2774"/>
      <c r="B21" s="2775" t="s">
        <v>2517</v>
      </c>
      <c r="C21" s="2775" t="s">
        <v>2518</v>
      </c>
      <c r="D21" s="2775" t="s">
        <v>2519</v>
      </c>
      <c r="E21" s="2775" t="s">
        <v>2520</v>
      </c>
      <c r="F21" s="2775" t="s">
        <v>2521</v>
      </c>
      <c r="G21" s="2776" t="s">
        <v>2522</v>
      </c>
      <c r="I21" s="2797">
        <v>5</v>
      </c>
      <c r="J21" s="2797">
        <v>54.2</v>
      </c>
    </row>
    <row r="22" spans="1:13">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M23" s="2797" t="s">
        <v>2565</v>
      </c>
    </row>
    <row r="24" spans="1:13">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M24" s="2797">
        <v>10</v>
      </c>
    </row>
    <row r="25" spans="1:13">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M25" s="2797">
        <v>8</v>
      </c>
    </row>
    <row r="26" spans="1:13">
      <c r="A26" s="2779"/>
      <c r="B26" s="2780"/>
      <c r="C26" s="2780"/>
      <c r="D26" s="2780"/>
      <c r="E26" s="2780"/>
      <c r="F26" s="2780"/>
      <c r="G26" s="2781"/>
      <c r="I26" s="2797">
        <v>30</v>
      </c>
      <c r="J26" s="2797">
        <v>90.5</v>
      </c>
      <c r="K26" s="2797">
        <f t="shared" si="2"/>
        <v>4.2000000000000028</v>
      </c>
      <c r="L26" s="2797" t="s">
        <v>2568</v>
      </c>
      <c r="M26" s="2797">
        <v>5</v>
      </c>
    </row>
    <row r="27" spans="1:13">
      <c r="A27" s="2779" t="s">
        <v>2527</v>
      </c>
      <c r="B27" s="2780"/>
      <c r="C27" s="2780"/>
      <c r="D27" s="2780"/>
      <c r="E27" s="2780"/>
      <c r="F27" s="2780"/>
      <c r="G27" s="2781"/>
      <c r="I27" s="2797">
        <v>35</v>
      </c>
      <c r="J27" s="2797">
        <v>93.8</v>
      </c>
      <c r="K27" s="2797">
        <f t="shared" si="2"/>
        <v>3.2999999999999972</v>
      </c>
      <c r="L27" s="2797" t="s">
        <v>2569</v>
      </c>
      <c r="M27" s="2797">
        <v>3</v>
      </c>
    </row>
    <row r="28" spans="1:13">
      <c r="A28" s="2779" t="s">
        <v>2528</v>
      </c>
      <c r="B28" s="2780"/>
      <c r="C28" s="2780"/>
      <c r="D28" s="2780"/>
      <c r="E28" s="2780"/>
      <c r="F28" s="2780"/>
      <c r="G28" s="2781"/>
      <c r="I28" s="2797">
        <v>40</v>
      </c>
      <c r="J28" s="2797">
        <v>96.4</v>
      </c>
      <c r="K28" s="2797">
        <f t="shared" si="2"/>
        <v>2.6000000000000085</v>
      </c>
      <c r="L28" s="2797" t="s">
        <v>2570</v>
      </c>
      <c r="M28" s="2797">
        <v>2</v>
      </c>
    </row>
    <row r="29" spans="1:13">
      <c r="A29" s="2779" t="s">
        <v>2529</v>
      </c>
      <c r="B29" s="2780"/>
      <c r="C29" s="2780"/>
      <c r="D29" s="2780"/>
      <c r="E29" s="2780"/>
      <c r="F29" s="2780"/>
      <c r="G29" s="2781"/>
      <c r="I29" s="2797">
        <v>45</v>
      </c>
      <c r="J29" s="2797">
        <v>98.4</v>
      </c>
      <c r="K29" s="2797">
        <f t="shared" si="2"/>
        <v>2</v>
      </c>
    </row>
    <row r="30" spans="1:13">
      <c r="A30" s="2779" t="s">
        <v>2530</v>
      </c>
      <c r="B30" s="2780"/>
      <c r="C30" s="2780"/>
      <c r="D30" s="2780"/>
      <c r="E30" s="2780"/>
      <c r="F30" s="2780"/>
      <c r="G30" s="2781"/>
      <c r="I30" s="2797">
        <v>50</v>
      </c>
      <c r="J30" s="2797">
        <v>100</v>
      </c>
      <c r="K30" s="2797">
        <f t="shared" si="2"/>
        <v>1.5999999999999943</v>
      </c>
    </row>
    <row r="31" spans="1:13">
      <c r="A31" s="2779" t="s">
        <v>2531</v>
      </c>
      <c r="B31" s="2780"/>
      <c r="C31" s="2780"/>
      <c r="D31" s="2780"/>
      <c r="E31" s="2780"/>
      <c r="F31" s="2780"/>
      <c r="G31" s="2781"/>
      <c r="I31" s="2797" t="s">
        <v>2562</v>
      </c>
    </row>
    <row r="32" spans="1:13">
      <c r="A32" s="2779" t="s">
        <v>2532</v>
      </c>
      <c r="B32" s="2780"/>
      <c r="C32" s="2780"/>
      <c r="D32" s="2780"/>
      <c r="E32" s="2780"/>
      <c r="F32" s="2780"/>
      <c r="G32" s="2781"/>
    </row>
    <row r="33" spans="1:13">
      <c r="A33" s="2779" t="s">
        <v>2533</v>
      </c>
      <c r="B33" s="2780"/>
      <c r="C33" s="2780"/>
      <c r="D33" s="2780"/>
      <c r="E33" s="2780"/>
      <c r="F33" s="2780"/>
      <c r="G33" s="2781"/>
      <c r="I33" s="2797" t="s">
        <v>2561</v>
      </c>
      <c r="J33" s="2797" t="s">
        <v>2571</v>
      </c>
    </row>
    <row r="34" spans="1:13">
      <c r="A34" s="2779" t="s">
        <v>2534</v>
      </c>
      <c r="B34" s="2780"/>
      <c r="C34" s="2780"/>
      <c r="D34" s="2780"/>
      <c r="E34" s="2780"/>
      <c r="F34" s="2780"/>
      <c r="G34" s="2781"/>
      <c r="I34" s="2797">
        <v>5</v>
      </c>
      <c r="J34" s="2797">
        <v>55.1</v>
      </c>
    </row>
    <row r="35" spans="1:13">
      <c r="A35" s="2779" t="s">
        <v>2535</v>
      </c>
      <c r="B35" s="2780"/>
      <c r="C35" s="2780"/>
      <c r="D35" s="2780"/>
      <c r="E35" s="2780"/>
      <c r="F35" s="2780"/>
      <c r="G35" s="2781"/>
      <c r="I35" s="2797">
        <v>10</v>
      </c>
      <c r="J35" s="2797">
        <v>67</v>
      </c>
      <c r="K35" s="2797">
        <f>J35-J34</f>
        <v>11.899999999999999</v>
      </c>
    </row>
    <row r="36" spans="1:13">
      <c r="A36" s="2779" t="s">
        <v>2536</v>
      </c>
      <c r="B36" s="2780"/>
      <c r="C36" s="2780"/>
      <c r="D36" s="2780"/>
      <c r="E36" s="2780"/>
      <c r="F36" s="2780"/>
      <c r="G36" s="2781"/>
      <c r="I36" s="2797">
        <v>15</v>
      </c>
      <c r="J36" s="2797">
        <v>76.3</v>
      </c>
      <c r="K36" s="2797">
        <f t="shared" ref="K36:K41" si="3">J36-J35</f>
        <v>9.2999999999999972</v>
      </c>
      <c r="L36" s="2797" t="s">
        <v>2564</v>
      </c>
      <c r="M36" s="2797" t="s">
        <v>2565</v>
      </c>
    </row>
    <row r="37" spans="1:13">
      <c r="A37" s="2779" t="s">
        <v>2537</v>
      </c>
      <c r="B37" s="2780"/>
      <c r="C37" s="2780"/>
      <c r="D37" s="2780"/>
      <c r="E37" s="2780"/>
      <c r="F37" s="2780"/>
      <c r="G37" s="2781"/>
      <c r="I37" s="2797">
        <v>20</v>
      </c>
      <c r="J37" s="2797">
        <v>83.6</v>
      </c>
      <c r="K37" s="2797">
        <f t="shared" si="3"/>
        <v>7.2999999999999972</v>
      </c>
      <c r="L37" s="2797" t="s">
        <v>2563</v>
      </c>
      <c r="M37" s="2797">
        <v>10</v>
      </c>
    </row>
    <row r="38" spans="1:13">
      <c r="A38" s="2779" t="s">
        <v>2538</v>
      </c>
      <c r="B38" s="2780"/>
      <c r="C38" s="2780"/>
      <c r="D38" s="2780"/>
      <c r="E38" s="2780"/>
      <c r="F38" s="2780"/>
      <c r="G38" s="2781"/>
      <c r="I38" s="2797">
        <v>25</v>
      </c>
      <c r="J38" s="2797">
        <v>89.3</v>
      </c>
      <c r="K38" s="2797">
        <f t="shared" si="3"/>
        <v>5.7000000000000028</v>
      </c>
      <c r="L38" s="2797" t="s">
        <v>2567</v>
      </c>
      <c r="M38" s="2797">
        <v>8</v>
      </c>
    </row>
    <row r="39" spans="1:13">
      <c r="A39" s="2779"/>
      <c r="B39" s="2780"/>
      <c r="C39" s="2780"/>
      <c r="D39" s="2780"/>
      <c r="E39" s="2780"/>
      <c r="F39" s="2780"/>
      <c r="G39" s="2781"/>
      <c r="I39" s="2797">
        <v>30</v>
      </c>
      <c r="J39" s="2797">
        <v>93.8</v>
      </c>
      <c r="K39" s="2797">
        <f t="shared" si="3"/>
        <v>4.5</v>
      </c>
      <c r="L39" s="2797" t="s">
        <v>2568</v>
      </c>
      <c r="M39" s="2797">
        <v>6</v>
      </c>
    </row>
    <row r="40" spans="1:13">
      <c r="A40" s="2782" t="s">
        <v>2539</v>
      </c>
      <c r="B40" s="2783"/>
      <c r="C40" s="2783"/>
      <c r="D40" s="2783"/>
      <c r="E40" s="2783"/>
      <c r="F40" s="2783"/>
      <c r="G40" s="2784"/>
      <c r="I40" s="2797">
        <v>35</v>
      </c>
      <c r="J40" s="2797">
        <v>97.2</v>
      </c>
      <c r="K40" s="2797">
        <f t="shared" si="3"/>
        <v>3.4000000000000057</v>
      </c>
      <c r="L40" s="2797" t="s">
        <v>2569</v>
      </c>
      <c r="M40" s="2797">
        <v>3</v>
      </c>
    </row>
    <row r="41" spans="1:13">
      <c r="A41" s="2785" t="s">
        <v>2540</v>
      </c>
      <c r="B41" s="2786" t="s">
        <v>2541</v>
      </c>
      <c r="C41" s="2787" t="s">
        <v>2542</v>
      </c>
      <c r="D41" s="2787" t="s">
        <v>2543</v>
      </c>
      <c r="E41" s="2788"/>
      <c r="F41" s="2789"/>
      <c r="G41" s="2790"/>
      <c r="I41" s="2797">
        <v>40</v>
      </c>
      <c r="J41" s="2797">
        <v>100</v>
      </c>
      <c r="K41" s="2797">
        <f t="shared" si="3"/>
        <v>2.7999999999999972</v>
      </c>
    </row>
    <row r="42" spans="1:13">
      <c r="A42" s="2785" t="s">
        <v>2544</v>
      </c>
      <c r="B42" s="2786" t="s">
        <v>2545</v>
      </c>
      <c r="C42" s="2787" t="s">
        <v>2546</v>
      </c>
      <c r="D42" s="2791" t="s">
        <v>2547</v>
      </c>
      <c r="E42" s="2783" t="s">
        <v>2548</v>
      </c>
      <c r="F42" s="2783"/>
      <c r="G42" s="2784"/>
    </row>
    <row r="43" spans="1:13">
      <c r="A43" s="2785" t="s">
        <v>2549</v>
      </c>
      <c r="B43" s="2786" t="s">
        <v>2550</v>
      </c>
      <c r="C43" s="2787" t="s">
        <v>2551</v>
      </c>
      <c r="D43" s="2787" t="s">
        <v>2552</v>
      </c>
      <c r="E43" s="2788" t="s">
        <v>2553</v>
      </c>
      <c r="F43" s="2789"/>
      <c r="G43" s="2790"/>
      <c r="I43" s="2797" t="s">
        <v>2561</v>
      </c>
      <c r="J43" s="2797" t="s">
        <v>2572</v>
      </c>
    </row>
    <row r="44" spans="1:13">
      <c r="A44" s="2785" t="s">
        <v>2554</v>
      </c>
      <c r="B44" s="2786" t="s">
        <v>2555</v>
      </c>
      <c r="C44" s="2787" t="s">
        <v>2556</v>
      </c>
      <c r="D44" s="2791">
        <v>0.5</v>
      </c>
      <c r="E44" s="2788" t="s">
        <v>2557</v>
      </c>
      <c r="F44" s="2789"/>
      <c r="G44" s="2790"/>
      <c r="I44" s="2797">
        <v>30</v>
      </c>
      <c r="J44" s="2797">
        <v>81.7</v>
      </c>
    </row>
    <row r="45" spans="1:13" ht="14.25" thickBot="1">
      <c r="A45" s="2792" t="s">
        <v>2558</v>
      </c>
      <c r="B45" s="2793" t="s">
        <v>2545</v>
      </c>
      <c r="C45" s="2794" t="s">
        <v>2545</v>
      </c>
      <c r="D45" s="2794" t="s">
        <v>2559</v>
      </c>
      <c r="E45" s="2795" t="s">
        <v>2560</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30" sqref="F30"/>
    </sheetView>
  </sheetViews>
  <sheetFormatPr defaultColWidth="10" defaultRowHeight="12.75"/>
  <cols>
    <col min="1" max="1" width="16.875" style="1615" customWidth="1"/>
    <col min="2" max="2" width="10" style="1615" customWidth="1"/>
    <col min="3" max="4" width="11.5" style="1615" customWidth="1"/>
    <col min="5" max="5" width="12.625" style="1615" customWidth="1"/>
    <col min="6" max="6" width="11.625"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2163</v>
      </c>
      <c r="B1" s="3233" t="str">
        <f>IF(B10="北京市","北京市",C10)&amp;F10&amp;IF(结果表!G1="在建","出让国有建设用地使用权及在建建筑物",IF(结果表!G1="土地","出让国有建设用地使用权",))&amp;B9&amp;"预评估"</f>
        <v>北京市房地产抵押价值预评估</v>
      </c>
      <c r="C1" s="3234"/>
      <c r="D1" s="3234"/>
      <c r="E1" s="3234"/>
      <c r="F1" s="3234"/>
      <c r="G1" s="3234"/>
      <c r="H1" s="3234"/>
      <c r="I1" s="3235"/>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2164</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2165</v>
      </c>
      <c r="B3" s="2182">
        <v>45604</v>
      </c>
      <c r="C3" s="2183" t="s">
        <v>2166</v>
      </c>
      <c r="D3" s="2182">
        <f>B3</f>
        <v>45604</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2167</v>
      </c>
      <c r="B4" s="2184" t="s">
        <v>3385</v>
      </c>
      <c r="C4" s="2185">
        <f ca="1">SUMIF(注册房地产估价师,B4,估价师及机构信息!B3:B24)</f>
        <v>1419970001</v>
      </c>
      <c r="D4" s="2184" t="s">
        <v>3386</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2168</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2169</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2170</v>
      </c>
      <c r="B7" s="2195"/>
      <c r="C7" s="2193"/>
      <c r="D7" s="2194"/>
      <c r="E7" s="2438"/>
      <c r="F7" s="2439"/>
      <c r="G7" s="2439"/>
      <c r="H7" s="2439"/>
      <c r="I7" s="2439"/>
      <c r="J7" s="2242"/>
      <c r="K7" s="2399"/>
      <c r="L7" s="2396"/>
      <c r="M7" s="2396"/>
      <c r="N7" s="2242"/>
      <c r="O7" s="1667"/>
      <c r="P7" s="2242"/>
      <c r="Q7" s="2242"/>
      <c r="R7" s="2242"/>
    </row>
    <row r="8" spans="1:30">
      <c r="A8" s="2196" t="s">
        <v>2171</v>
      </c>
      <c r="B8" s="2197" t="s">
        <v>3387</v>
      </c>
      <c r="C8" s="2198"/>
      <c r="D8" s="3236" t="s">
        <v>2172</v>
      </c>
      <c r="E8" s="2199" t="s">
        <v>3388</v>
      </c>
      <c r="F8" s="2200"/>
      <c r="G8" s="2439"/>
      <c r="H8" s="2439"/>
      <c r="I8" s="2439"/>
      <c r="J8" s="2242"/>
      <c r="K8" s="2397"/>
      <c r="L8" s="2396"/>
      <c r="M8" s="2396"/>
      <c r="N8" s="2242"/>
      <c r="O8" s="1667"/>
      <c r="P8" s="2242"/>
      <c r="Q8" s="2242"/>
      <c r="R8" s="2242"/>
    </row>
    <row r="9" spans="1:30" ht="13.5" thickBot="1">
      <c r="A9" s="2201" t="s">
        <v>2173</v>
      </c>
      <c r="B9" s="2202" t="s">
        <v>3388</v>
      </c>
      <c r="C9" s="2203"/>
      <c r="D9" s="3237"/>
      <c r="E9" s="2202"/>
      <c r="F9" s="2204"/>
      <c r="G9" s="2440"/>
      <c r="H9" s="2440"/>
      <c r="I9" s="2440"/>
      <c r="J9" s="2242"/>
      <c r="K9" s="2399"/>
      <c r="L9" s="2396"/>
      <c r="M9" s="2396"/>
      <c r="N9" s="2242"/>
      <c r="O9" s="1667"/>
      <c r="P9" s="2242"/>
      <c r="Q9" s="2242"/>
      <c r="R9" s="2242"/>
    </row>
    <row r="10" spans="1:30" ht="13.5" thickTop="1">
      <c r="A10" s="2205" t="s">
        <v>2174</v>
      </c>
      <c r="B10" s="2206" t="s">
        <v>3389</v>
      </c>
      <c r="C10" s="2207"/>
      <c r="D10" s="2190"/>
      <c r="E10" s="2208" t="s">
        <v>2175</v>
      </c>
      <c r="F10" s="2441"/>
      <c r="G10" s="2442"/>
      <c r="H10" s="2443"/>
      <c r="I10" s="2444"/>
      <c r="J10" s="2242"/>
      <c r="K10" s="2399"/>
      <c r="L10" s="2396"/>
      <c r="M10" s="2396"/>
      <c r="N10" s="2242"/>
      <c r="O10" s="1667"/>
      <c r="P10" s="2242"/>
      <c r="Q10" s="2242"/>
      <c r="R10" s="2242"/>
    </row>
    <row r="11" spans="1:30">
      <c r="A11" s="2209" t="s">
        <v>2176</v>
      </c>
      <c r="B11" s="2210" t="s">
        <v>3390</v>
      </c>
      <c r="C11" s="2211"/>
      <c r="D11" s="2212"/>
      <c r="E11" s="2179"/>
      <c r="F11" s="2179"/>
      <c r="G11" s="2179"/>
      <c r="H11" s="2179"/>
      <c r="I11" s="2179"/>
      <c r="J11" s="2799"/>
      <c r="K11" s="2396"/>
      <c r="L11" s="2396"/>
      <c r="M11" s="2396"/>
      <c r="N11" s="2242"/>
      <c r="O11" s="1667"/>
      <c r="P11" s="2242"/>
      <c r="Q11" s="2242"/>
      <c r="R11" s="2242"/>
    </row>
    <row r="12" spans="1:30">
      <c r="A12" s="2213" t="s">
        <v>2177</v>
      </c>
      <c r="B12" s="313" t="s">
        <v>2178</v>
      </c>
      <c r="C12" s="2214" t="s">
        <v>2179</v>
      </c>
      <c r="D12" s="2214" t="s">
        <v>2180</v>
      </c>
      <c r="E12" s="2214" t="s">
        <v>2181</v>
      </c>
      <c r="F12" s="2214" t="s">
        <v>2182</v>
      </c>
      <c r="G12" s="2214" t="s">
        <v>2183</v>
      </c>
      <c r="H12" s="2214" t="s">
        <v>2184</v>
      </c>
      <c r="I12" s="2798" t="s">
        <v>2573</v>
      </c>
      <c r="J12" s="2800"/>
      <c r="K12" s="2396"/>
      <c r="L12" s="2396"/>
      <c r="M12" s="2242"/>
      <c r="N12" s="1667"/>
      <c r="O12" s="2242"/>
      <c r="P12" s="2242"/>
      <c r="Q12" s="2242"/>
      <c r="AD12" s="1615"/>
    </row>
    <row r="13" spans="1:30">
      <c r="A13" s="3119" t="s">
        <v>3329</v>
      </c>
      <c r="B13" s="2215" t="s">
        <v>2185</v>
      </c>
      <c r="C13" s="801"/>
      <c r="D13" s="801">
        <v>57339</v>
      </c>
      <c r="E13" s="801"/>
      <c r="F13" s="801">
        <v>60991</v>
      </c>
      <c r="G13" s="801"/>
      <c r="H13" s="801"/>
      <c r="I13" s="801"/>
      <c r="J13" s="2800"/>
      <c r="K13" s="2396"/>
      <c r="L13" s="2396"/>
      <c r="M13" s="2242"/>
      <c r="N13" s="1667"/>
      <c r="O13" s="2242"/>
      <c r="P13" s="2242"/>
      <c r="Q13" s="2242"/>
      <c r="AD13" s="1615"/>
    </row>
    <row r="14" spans="1:30">
      <c r="A14" s="1016"/>
      <c r="B14" s="2215" t="s">
        <v>2186</v>
      </c>
      <c r="C14" s="2216"/>
      <c r="D14" s="2216">
        <v>40</v>
      </c>
      <c r="E14" s="2216"/>
      <c r="F14" s="2216">
        <v>50</v>
      </c>
      <c r="G14" s="2216"/>
      <c r="H14" s="2216"/>
      <c r="I14" s="2216"/>
      <c r="J14" s="2801"/>
      <c r="K14" s="2396"/>
      <c r="L14" s="2396"/>
      <c r="M14" s="2242"/>
      <c r="N14" s="1667"/>
      <c r="O14" s="2242"/>
      <c r="P14" s="2242"/>
      <c r="Q14" s="2242"/>
      <c r="AD14" s="1615"/>
    </row>
    <row r="15" spans="1:30">
      <c r="A15" s="310"/>
      <c r="B15" s="2217" t="s">
        <v>2187</v>
      </c>
      <c r="C15" s="2218" t="str">
        <f>IF(A13="出让",IF(C13="","",ROUNDDOWN(MIN((C13-$D$3)/365,C14),2)),C14)</f>
        <v/>
      </c>
      <c r="D15" s="2218">
        <f>IF(A13="出让",IF(D13="","",ROUNDDOWN(MIN((D13-$D$3)/365,D14),2)),D14)</f>
        <v>32.15</v>
      </c>
      <c r="E15" s="2218" t="str">
        <f>IF(A13="出让",IF(E13="","",ROUNDDOWN(MIN((E13-$D$3)/365,E14),2)),E14)</f>
        <v/>
      </c>
      <c r="F15" s="2218">
        <f>IF(A13="出让",IF(F13="","",ROUNDDOWN(MIN((F13-$D$3)/365,F14),2)),F14)</f>
        <v>42.15</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2188</v>
      </c>
      <c r="B16" s="3243"/>
      <c r="C16" s="3244"/>
      <c r="D16" s="3245"/>
      <c r="E16" s="2219" t="s">
        <v>2189</v>
      </c>
      <c r="F16" s="3246"/>
      <c r="G16" s="3247"/>
      <c r="H16" s="3247"/>
      <c r="I16" s="3248"/>
      <c r="J16" s="2242"/>
      <c r="K16" s="2400"/>
      <c r="L16" s="1667"/>
      <c r="M16" s="1667"/>
      <c r="N16" s="2242"/>
      <c r="O16" s="1667"/>
      <c r="P16" s="2242"/>
      <c r="Q16" s="2242"/>
      <c r="R16" s="2242"/>
    </row>
    <row r="17" spans="1:28">
      <c r="A17" s="303" t="s">
        <v>2190</v>
      </c>
      <c r="B17" s="292" t="s">
        <v>2191</v>
      </c>
      <c r="C17" s="8">
        <f>'数据-汇总表'!E3</f>
        <v>68049.77999999997</v>
      </c>
      <c r="D17" s="1253" t="s">
        <v>2192</v>
      </c>
      <c r="E17" s="3249" t="s">
        <v>2193</v>
      </c>
      <c r="F17" s="3250"/>
      <c r="G17" s="3250"/>
      <c r="H17" s="3250"/>
      <c r="I17" s="3251"/>
      <c r="J17" s="2242"/>
      <c r="K17" s="2401"/>
      <c r="L17" s="1667"/>
      <c r="M17" s="1667"/>
      <c r="N17" s="2242"/>
      <c r="O17" s="1667"/>
      <c r="P17" s="2242"/>
      <c r="Q17" s="2242"/>
      <c r="R17" s="2242"/>
      <c r="S17" s="2242"/>
      <c r="T17" s="2242"/>
      <c r="U17" s="2242"/>
      <c r="V17" s="2242"/>
    </row>
    <row r="18" spans="1:28" ht="24.75" thickBot="1">
      <c r="A18" s="2220" t="s">
        <v>2194</v>
      </c>
      <c r="B18" s="1025" t="s">
        <v>2195</v>
      </c>
      <c r="C18" s="2221">
        <f>'数据-汇总表'!D3</f>
        <v>15742.02</v>
      </c>
      <c r="D18" s="1027" t="s">
        <v>2196</v>
      </c>
      <c r="E18" s="3252" t="s">
        <v>2197</v>
      </c>
      <c r="F18" s="3253"/>
      <c r="G18" s="3253"/>
      <c r="H18" s="3253"/>
      <c r="I18" s="3254"/>
      <c r="J18" s="2242"/>
      <c r="K18" s="2401"/>
      <c r="L18" s="1667"/>
      <c r="M18" s="1667"/>
      <c r="N18" s="2242"/>
      <c r="O18" s="1667"/>
      <c r="P18" s="2242"/>
      <c r="Q18" s="2242"/>
      <c r="R18" s="2242"/>
      <c r="S18" s="2242"/>
      <c r="T18" s="2242"/>
      <c r="U18" s="2242"/>
      <c r="V18" s="2242"/>
    </row>
    <row r="19" spans="1:28" ht="25.5" thickTop="1" thickBot="1">
      <c r="A19" s="317" t="s">
        <v>1054</v>
      </c>
      <c r="B19" s="297" t="s">
        <v>2198</v>
      </c>
      <c r="C19" s="1452"/>
      <c r="D19" s="1453" t="s">
        <v>2199</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2200</v>
      </c>
      <c r="B20" s="3239" t="s">
        <v>2201</v>
      </c>
      <c r="C20" s="3240"/>
      <c r="D20" s="3241" t="s">
        <v>2202</v>
      </c>
      <c r="E20" s="3242"/>
      <c r="F20" s="2427" t="s">
        <v>1055</v>
      </c>
      <c r="G20" s="2439"/>
      <c r="H20" s="2439"/>
      <c r="I20" s="2439"/>
      <c r="J20" s="2242"/>
      <c r="K20" s="3238" t="s">
        <v>2203</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2204</v>
      </c>
      <c r="C21" s="2293" t="s">
        <v>1056</v>
      </c>
      <c r="D21" s="1457" t="s">
        <v>2205</v>
      </c>
      <c r="E21" s="2416" t="s">
        <v>1056</v>
      </c>
      <c r="F21" s="2428"/>
      <c r="G21" s="2439"/>
      <c r="H21" s="2439"/>
      <c r="I21" s="2439"/>
      <c r="J21" s="2242"/>
      <c r="K21" s="323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2206</v>
      </c>
      <c r="C22" s="2293" t="s">
        <v>1057</v>
      </c>
      <c r="D22" s="2439"/>
      <c r="E22" s="2439"/>
      <c r="F22" s="2439"/>
      <c r="G22" s="2439"/>
      <c r="H22" s="2439"/>
      <c r="I22" s="2439"/>
      <c r="J22" s="2242"/>
      <c r="K22" s="323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2207</v>
      </c>
      <c r="B23" s="2290" t="s">
        <v>2208</v>
      </c>
      <c r="C23" s="2419"/>
      <c r="D23" s="2420" t="s">
        <v>2208</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1058</v>
      </c>
      <c r="C24" s="2268"/>
      <c r="D24" s="2418" t="s">
        <v>1058</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1059</v>
      </c>
      <c r="C25" s="2268"/>
      <c r="D25" s="2418" t="s">
        <v>1059</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1060</v>
      </c>
      <c r="C26" s="2425"/>
      <c r="D26" s="2423" t="s">
        <v>1060</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27" t="s">
        <v>2209</v>
      </c>
      <c r="B27" s="310" t="s">
        <v>2210</v>
      </c>
      <c r="C27" s="2222" t="s">
        <v>3391</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27"/>
      <c r="B28" s="292" t="s">
        <v>2211</v>
      </c>
      <c r="C28" s="2224" t="s">
        <v>3392</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27"/>
      <c r="B29" s="292" t="s">
        <v>2212</v>
      </c>
      <c r="C29" s="2226" t="s">
        <v>3393</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28"/>
      <c r="B30" s="292" t="s">
        <v>2213</v>
      </c>
      <c r="C30" s="3229"/>
      <c r="D30" s="3230"/>
      <c r="E30" s="2439"/>
      <c r="F30" s="2439"/>
      <c r="G30" s="2439"/>
      <c r="H30" s="2439"/>
      <c r="I30" s="2439"/>
      <c r="J30" s="2242"/>
      <c r="K30" s="2399"/>
      <c r="L30" s="2396"/>
      <c r="M30" s="2396"/>
      <c r="N30" s="2242"/>
      <c r="O30" s="1667"/>
      <c r="P30" s="2242"/>
      <c r="Q30" s="2242"/>
      <c r="R30" s="2242"/>
      <c r="S30" s="2242"/>
      <c r="T30" s="2242"/>
      <c r="U30" s="2242"/>
      <c r="V30" s="2242"/>
    </row>
    <row r="31" spans="1:28">
      <c r="A31" s="3231" t="s">
        <v>2214</v>
      </c>
      <c r="B31" s="2228" t="s">
        <v>3394</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32"/>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32"/>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2215</v>
      </c>
      <c r="B34" s="1867"/>
      <c r="C34" s="1867"/>
      <c r="D34" s="1867"/>
      <c r="E34" s="1867"/>
      <c r="F34" s="1867"/>
      <c r="G34" s="1867"/>
      <c r="H34" s="1867"/>
      <c r="I34" s="2439"/>
      <c r="J34" s="2242"/>
      <c r="K34" s="8">
        <f>COUNTIF(B34:H34,"——")</f>
        <v>0</v>
      </c>
      <c r="L34" s="313" t="s">
        <v>2216</v>
      </c>
      <c r="M34" s="313" t="s">
        <v>2217</v>
      </c>
      <c r="N34" s="313" t="s">
        <v>2218</v>
      </c>
      <c r="O34" s="313" t="s">
        <v>2219</v>
      </c>
      <c r="P34" s="313" t="s">
        <v>2220</v>
      </c>
      <c r="Q34" s="313" t="s">
        <v>2221</v>
      </c>
      <c r="R34" s="313" t="s">
        <v>2222</v>
      </c>
      <c r="S34" s="3226" t="s">
        <v>2223</v>
      </c>
      <c r="T34" s="313" t="str">
        <f>NUMBERSTRING(7-K34,1)&amp;"通"</f>
        <v>七通</v>
      </c>
      <c r="U34" s="2242"/>
      <c r="V34" s="2242"/>
    </row>
    <row r="35" spans="1:30">
      <c r="A35" s="2233"/>
      <c r="B35" s="3226" t="s">
        <v>2224</v>
      </c>
      <c r="C35" s="3226"/>
      <c r="D35" s="3226"/>
      <c r="E35" s="3226"/>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26"/>
      <c r="T35" s="136" t="str">
        <f>IF(T34="一通",L35,IF(T34="二通",M35,IF(T34="三通",N35,IF(T34="四通",O35,IF(T34="五通",P35,IF(T34="六通",Q35,R35))))))</f>
        <v>、、、、、、</v>
      </c>
      <c r="U35" s="2242"/>
      <c r="V35" s="2242"/>
    </row>
    <row r="36" spans="1:30">
      <c r="A36" s="2180"/>
      <c r="B36" s="8" t="s">
        <v>2180</v>
      </c>
      <c r="C36" s="8" t="s">
        <v>2181</v>
      </c>
      <c r="D36" s="8" t="s">
        <v>2179</v>
      </c>
      <c r="E36" s="8" t="s">
        <v>2184</v>
      </c>
      <c r="F36" s="2798" t="s">
        <v>2576</v>
      </c>
      <c r="G36" s="2439"/>
      <c r="H36" s="2439"/>
      <c r="I36" s="2439"/>
      <c r="J36" s="2242"/>
      <c r="K36" s="2399"/>
      <c r="L36" s="2396"/>
      <c r="M36" s="2396"/>
      <c r="N36" s="2242"/>
      <c r="O36" s="1667"/>
      <c r="P36" s="2242"/>
      <c r="Q36" s="2242"/>
      <c r="R36" s="2242"/>
      <c r="S36" s="2242"/>
      <c r="T36" s="2242"/>
      <c r="U36" s="2242"/>
      <c r="V36" s="2242"/>
    </row>
    <row r="37" spans="1:30">
      <c r="A37" s="2412" t="s">
        <v>2225</v>
      </c>
      <c r="B37" s="2234" t="s">
        <v>304</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2226</v>
      </c>
      <c r="B38" s="2235" t="s">
        <v>3395</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2227</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2228</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2229</v>
      </c>
      <c r="B42" s="8" t="s">
        <v>2230</v>
      </c>
      <c r="C42" s="8" t="s">
        <v>2231</v>
      </c>
      <c r="D42" s="8" t="s">
        <v>2232</v>
      </c>
      <c r="E42" s="8" t="s">
        <v>2233</v>
      </c>
      <c r="F42" s="8" t="s">
        <v>2234</v>
      </c>
      <c r="G42" s="8" t="s">
        <v>2235</v>
      </c>
      <c r="H42" s="8" t="s">
        <v>2236</v>
      </c>
      <c r="I42" s="8" t="s">
        <v>2237</v>
      </c>
      <c r="J42" s="2408" t="s">
        <v>2238</v>
      </c>
      <c r="K42" s="2409" t="s">
        <v>2239</v>
      </c>
      <c r="L42" s="2409" t="s">
        <v>2240</v>
      </c>
      <c r="M42" s="2409" t="s">
        <v>2241</v>
      </c>
      <c r="N42" s="2402" t="s">
        <v>2242</v>
      </c>
      <c r="O42" s="2402" t="s">
        <v>2243</v>
      </c>
      <c r="P42" s="2402" t="s">
        <v>2244</v>
      </c>
      <c r="Q42" s="2403" t="s">
        <v>2245</v>
      </c>
      <c r="R42" s="2403" t="s">
        <v>2246</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I13:K13"/>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1061</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1062</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1063</v>
      </c>
      <c r="B2" s="8" t="s">
        <v>1064</v>
      </c>
      <c r="C2" s="8" t="s">
        <v>1065</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1066</v>
      </c>
      <c r="AZ2" s="985" t="s">
        <v>1067</v>
      </c>
      <c r="BA2" s="8" t="s">
        <v>1068</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面积指标!J28+面积指标!F22</f>
        <v>15742.020000000013</v>
      </c>
      <c r="B3" s="11">
        <f>IF(C3="否",G5-AT5,G5)</f>
        <v>68049.77999999997</v>
      </c>
      <c r="C3" s="1466" t="s">
        <v>1069</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1070</v>
      </c>
      <c r="B5" s="1256"/>
      <c r="C5" s="1256"/>
      <c r="D5" s="1257"/>
      <c r="E5" s="13" t="s">
        <v>0</v>
      </c>
      <c r="F5" s="13">
        <f>SUM(F13:F587)</f>
        <v>0</v>
      </c>
      <c r="G5" s="13">
        <f>SUM(G13:G587)</f>
        <v>68049.77999999997</v>
      </c>
      <c r="H5" s="13">
        <f t="shared" ref="H5:AT5" si="0">SUM(H13:H656)</f>
        <v>68049.77999999997</v>
      </c>
      <c r="I5" s="13">
        <f t="shared" si="0"/>
        <v>44140.36</v>
      </c>
      <c r="J5" s="13">
        <f t="shared" si="0"/>
        <v>0</v>
      </c>
      <c r="K5" s="13">
        <f t="shared" si="0"/>
        <v>9581.2999999999993</v>
      </c>
      <c r="L5" s="13">
        <f t="shared" si="0"/>
        <v>0</v>
      </c>
      <c r="M5" s="13">
        <f t="shared" si="0"/>
        <v>14328.11999999997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1070</v>
      </c>
      <c r="AW5" s="1256"/>
      <c r="AX5" s="1256"/>
      <c r="AY5" s="14" t="s">
        <v>2</v>
      </c>
      <c r="AZ5" s="15">
        <f t="shared" ref="AZ5:BT5" si="1">SUM(AZ13:AZ656)</f>
        <v>68049.77999999997</v>
      </c>
      <c r="BA5" s="15">
        <f t="shared" si="1"/>
        <v>68049.77999999997</v>
      </c>
      <c r="BB5" s="15">
        <f t="shared" si="1"/>
        <v>44140.36</v>
      </c>
      <c r="BC5" s="15">
        <f t="shared" si="1"/>
        <v>9581.2999999999993</v>
      </c>
      <c r="BD5" s="15">
        <f t="shared" si="1"/>
        <v>14328.11999999997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1071</v>
      </c>
      <c r="B6" s="1471"/>
      <c r="C6" s="1471"/>
      <c r="D6" s="1472"/>
      <c r="E6" s="13">
        <f>H6+AC6+AT6</f>
        <v>15742.02</v>
      </c>
      <c r="F6" s="13" t="s">
        <v>0</v>
      </c>
      <c r="G6" s="13" t="s">
        <v>1</v>
      </c>
      <c r="H6" s="17">
        <f>SUMIF(I$12:AB$12,"总值",I6:AB6)</f>
        <v>15742.02</v>
      </c>
      <c r="I6" s="13">
        <f t="shared" ref="I6:AB6" si="2">ROUND($A$3*I5/$B$3,2)</f>
        <v>10211.030000000001</v>
      </c>
      <c r="J6" s="13">
        <f t="shared" si="2"/>
        <v>0</v>
      </c>
      <c r="K6" s="13">
        <f t="shared" si="2"/>
        <v>2216.4499999999998</v>
      </c>
      <c r="L6" s="13">
        <f t="shared" si="2"/>
        <v>0</v>
      </c>
      <c r="M6" s="13">
        <f t="shared" si="2"/>
        <v>3314.54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1071</v>
      </c>
      <c r="AW6" s="1471"/>
      <c r="AX6" s="1471"/>
      <c r="AY6" s="18">
        <f>IF(AY3&gt;0,AY3,ROUND($A$3*AZ5/$B$3,2))</f>
        <v>15742.02</v>
      </c>
      <c r="AZ6" s="13" t="s">
        <v>2</v>
      </c>
      <c r="BA6" s="13">
        <f>ROUND($AY$6*BA5/$AZ$5,2)</f>
        <v>15742.02</v>
      </c>
      <c r="BB6" s="13">
        <f>ROUND($AY$6*BB5/$AZ$5,2)</f>
        <v>10211.030000000001</v>
      </c>
      <c r="BC6" s="13">
        <f t="shared" ref="BC6:BH6" si="4">ROUND($AY$6*BC5/$AZ$5,2)</f>
        <v>2216.4499999999998</v>
      </c>
      <c r="BD6" s="13">
        <f t="shared" si="4"/>
        <v>3314.54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1072</v>
      </c>
      <c r="B7" s="1458" t="s">
        <v>1073</v>
      </c>
      <c r="C7" s="1458" t="s">
        <v>1074</v>
      </c>
      <c r="D7" s="1458" t="s">
        <v>1075</v>
      </c>
      <c r="E7" s="1458" t="s">
        <v>1076</v>
      </c>
      <c r="F7" s="1458" t="s">
        <v>1077</v>
      </c>
      <c r="G7" s="1475" t="s">
        <v>1078</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1079</v>
      </c>
      <c r="AV7" s="20" t="s">
        <v>1080</v>
      </c>
      <c r="AW7" s="1463" t="s">
        <v>1081</v>
      </c>
      <c r="AX7" s="20" t="s">
        <v>1074</v>
      </c>
      <c r="AY7" s="1256" t="s">
        <v>1082</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1083</v>
      </c>
      <c r="H8" s="1481" t="s">
        <v>1084</v>
      </c>
      <c r="I8" s="1482"/>
      <c r="J8" s="1266"/>
      <c r="K8" s="1266"/>
      <c r="L8" s="1266"/>
      <c r="M8" s="1266"/>
      <c r="N8" s="1266"/>
      <c r="O8" s="1266"/>
      <c r="P8" s="1266"/>
      <c r="Q8" s="1266"/>
      <c r="R8" s="1266"/>
      <c r="S8" s="1266"/>
      <c r="T8" s="1266"/>
      <c r="U8" s="1266"/>
      <c r="V8" s="1483"/>
      <c r="W8" s="1266"/>
      <c r="X8" s="1266"/>
      <c r="Y8" s="1266"/>
      <c r="Z8" s="1266"/>
      <c r="AA8" s="1483"/>
      <c r="AB8" s="1484"/>
      <c r="AC8" s="759" t="s">
        <v>1085</v>
      </c>
      <c r="AD8" s="1485"/>
      <c r="AE8" s="1477"/>
      <c r="AF8" s="1266"/>
      <c r="AG8" s="1266"/>
      <c r="AH8" s="1266"/>
      <c r="AI8" s="1266"/>
      <c r="AJ8" s="1266"/>
      <c r="AK8" s="1266"/>
      <c r="AL8" s="1266"/>
      <c r="AM8" s="1266"/>
      <c r="AN8" s="1266"/>
      <c r="AO8" s="1266"/>
      <c r="AP8" s="1266"/>
      <c r="AQ8" s="1266"/>
      <c r="AR8" s="1266"/>
      <c r="AS8" s="1266"/>
      <c r="AT8" s="1005" t="s">
        <v>1086</v>
      </c>
      <c r="AU8" s="1479" t="s">
        <v>1087</v>
      </c>
      <c r="AV8" s="1005"/>
      <c r="AW8" s="1464"/>
      <c r="AX8" s="1005"/>
      <c r="AY8" s="1463" t="s">
        <v>1088</v>
      </c>
      <c r="AZ8" s="1265" t="s">
        <v>1089</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1090</v>
      </c>
      <c r="I9" s="1488" t="s">
        <v>4295</v>
      </c>
      <c r="J9" s="759"/>
      <c r="K9" s="1488" t="s">
        <v>4296</v>
      </c>
      <c r="L9" s="759"/>
      <c r="M9" s="1488" t="s">
        <v>4296</v>
      </c>
      <c r="N9" s="759"/>
      <c r="O9" s="1488"/>
      <c r="P9" s="759"/>
      <c r="Q9" s="1488"/>
      <c r="R9" s="759"/>
      <c r="S9" s="1488"/>
      <c r="T9" s="759"/>
      <c r="U9" s="1488"/>
      <c r="V9" s="759"/>
      <c r="W9" s="1488"/>
      <c r="X9" s="1489"/>
      <c r="Y9" s="1488"/>
      <c r="Z9" s="759"/>
      <c r="AA9" s="1488"/>
      <c r="AB9" s="759"/>
      <c r="AC9" s="1480" t="s">
        <v>1090</v>
      </c>
      <c r="AD9" s="12" t="s">
        <v>1091</v>
      </c>
      <c r="AE9" s="1011"/>
      <c r="AF9" s="12" t="s">
        <v>1092</v>
      </c>
      <c r="AG9" s="1011"/>
      <c r="AH9" s="12" t="s">
        <v>1091</v>
      </c>
      <c r="AI9" s="1011"/>
      <c r="AJ9" s="12" t="s">
        <v>1092</v>
      </c>
      <c r="AK9" s="1011"/>
      <c r="AL9" s="12" t="s">
        <v>1091</v>
      </c>
      <c r="AM9" s="1011"/>
      <c r="AN9" s="12" t="s">
        <v>1092</v>
      </c>
      <c r="AO9" s="1011"/>
      <c r="AP9" s="12" t="s">
        <v>1091</v>
      </c>
      <c r="AQ9" s="1011"/>
      <c r="AR9" s="12" t="s">
        <v>1092</v>
      </c>
      <c r="AS9" s="1490"/>
      <c r="AT9" s="1479"/>
      <c r="AU9" s="1479" t="s">
        <v>1093</v>
      </c>
      <c r="AV9" s="1005"/>
      <c r="AW9" s="1464"/>
      <c r="AX9" s="1005"/>
      <c r="AY9" s="25"/>
      <c r="AZ9" s="25" t="s">
        <v>1083</v>
      </c>
      <c r="BA9" s="1491" t="s">
        <v>1094</v>
      </c>
      <c r="BB9" s="1492"/>
      <c r="BC9" s="1023"/>
      <c r="BD9" s="1023"/>
      <c r="BE9" s="1023"/>
      <c r="BF9" s="1023"/>
      <c r="BG9" s="1023"/>
      <c r="BH9" s="1023"/>
      <c r="BI9" s="1023"/>
      <c r="BJ9" s="1023"/>
      <c r="BK9" s="1493"/>
      <c r="BL9" s="12" t="s">
        <v>1095</v>
      </c>
      <c r="BM9" s="1266"/>
      <c r="BN9" s="1482"/>
      <c r="BO9" s="1266"/>
      <c r="BP9" s="1266"/>
      <c r="BQ9" s="1266"/>
      <c r="BR9" s="1266"/>
      <c r="BS9" s="1266"/>
      <c r="BT9" s="23"/>
    </row>
    <row r="10" spans="1:72" s="1486" customFormat="1" ht="12.75">
      <c r="A10" s="1479"/>
      <c r="B10" s="1479"/>
      <c r="C10" s="1479"/>
      <c r="D10" s="1479"/>
      <c r="E10" s="1479"/>
      <c r="F10" s="1479"/>
      <c r="G10" s="1005"/>
      <c r="H10" s="25"/>
      <c r="I10" s="1488" t="s">
        <v>672</v>
      </c>
      <c r="J10" s="759"/>
      <c r="K10" s="1494" t="s">
        <v>672</v>
      </c>
      <c r="L10" s="759"/>
      <c r="M10" s="1494" t="s">
        <v>4352</v>
      </c>
      <c r="N10" s="759"/>
      <c r="O10" s="1494"/>
      <c r="P10" s="759"/>
      <c r="Q10" s="1494"/>
      <c r="R10" s="759"/>
      <c r="S10" s="1494"/>
      <c r="T10" s="759"/>
      <c r="U10" s="1494"/>
      <c r="V10" s="759"/>
      <c r="W10" s="1494"/>
      <c r="X10" s="759"/>
      <c r="Y10" s="1494"/>
      <c r="Z10" s="759"/>
      <c r="AA10" s="1494"/>
      <c r="AB10" s="759"/>
      <c r="AC10" s="1005"/>
      <c r="AD10" s="12" t="s">
        <v>1096</v>
      </c>
      <c r="AE10" s="1495"/>
      <c r="AF10" s="12" t="s">
        <v>1096</v>
      </c>
      <c r="AG10" s="1495"/>
      <c r="AH10" s="12" t="s">
        <v>1097</v>
      </c>
      <c r="AI10" s="1495"/>
      <c r="AJ10" s="12" t="s">
        <v>1097</v>
      </c>
      <c r="AK10" s="1495"/>
      <c r="AL10" s="12" t="s">
        <v>1098</v>
      </c>
      <c r="AM10" s="1011"/>
      <c r="AN10" s="12" t="s">
        <v>1098</v>
      </c>
      <c r="AO10" s="1011"/>
      <c r="AP10" s="12" t="s">
        <v>1099</v>
      </c>
      <c r="AQ10" s="1011"/>
      <c r="AR10" s="12" t="s">
        <v>1099</v>
      </c>
      <c r="AS10" s="1011"/>
      <c r="AT10" s="1479"/>
      <c r="AU10" s="1479"/>
      <c r="AV10" s="1005"/>
      <c r="AW10" s="1464"/>
      <c r="AX10" s="1005"/>
      <c r="AY10" s="25"/>
      <c r="AZ10" s="25"/>
      <c r="BA10" s="1496" t="s">
        <v>1090</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t="s">
        <v>3330</v>
      </c>
      <c r="N11" s="1500"/>
      <c r="O11" s="1499"/>
      <c r="P11" s="1500"/>
      <c r="Q11" s="1499"/>
      <c r="R11" s="1500"/>
      <c r="S11" s="1499"/>
      <c r="T11" s="1500"/>
      <c r="U11" s="1499"/>
      <c r="V11" s="1500"/>
      <c r="W11" s="1499"/>
      <c r="X11" s="1500"/>
      <c r="Y11" s="1499"/>
      <c r="Z11" s="1500"/>
      <c r="AA11" s="1499"/>
      <c r="AB11" s="1500"/>
      <c r="AC11" s="1005"/>
      <c r="AD11" s="1501" t="s">
        <v>1100</v>
      </c>
      <c r="AE11" s="1267"/>
      <c r="AF11" s="1501" t="s">
        <v>1100</v>
      </c>
      <c r="AG11" s="1267"/>
      <c r="AH11" s="1501" t="s">
        <v>1101</v>
      </c>
      <c r="AI11" s="1502"/>
      <c r="AJ11" s="1501" t="s">
        <v>1101</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车库—商业</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5" t="s">
        <v>1103</v>
      </c>
      <c r="W12" s="8" t="s">
        <v>1102</v>
      </c>
      <c r="X12" s="8" t="s">
        <v>1103</v>
      </c>
      <c r="Y12" s="8" t="s">
        <v>1102</v>
      </c>
      <c r="Z12" s="8" t="s">
        <v>1103</v>
      </c>
      <c r="AA12" s="8" t="s">
        <v>1102</v>
      </c>
      <c r="AB12" s="8" t="s">
        <v>1103</v>
      </c>
      <c r="AC12" s="1506"/>
      <c r="AD12" s="125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4" t="s">
        <v>1103</v>
      </c>
      <c r="AT12" s="1507"/>
      <c r="AU12" s="1504"/>
      <c r="AV12" s="28"/>
      <c r="AW12" s="1463"/>
      <c r="AX12" s="28"/>
      <c r="AY12" s="1508"/>
      <c r="AZ12" s="25"/>
      <c r="BA12" s="1496"/>
      <c r="BB12" s="21">
        <f>I11</f>
        <v>0</v>
      </c>
      <c r="BC12" s="1509">
        <f>K11</f>
        <v>0</v>
      </c>
      <c r="BD12" s="1509" t="str">
        <f>M11</f>
        <v>车库</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4294</v>
      </c>
      <c r="E13" s="13">
        <f>IF($C$3="是",ROUND($A$3*G13/$B$3,2),ROUND($A$3*(G13-AT13)/$B$3,2))</f>
        <v>15742.02</v>
      </c>
      <c r="F13" s="29"/>
      <c r="G13" s="30">
        <f>H13+AC13+AT13</f>
        <v>68049.77999999997</v>
      </c>
      <c r="H13" s="17">
        <f>SUMIF(I$12:AB$12,"总值",I13:AB13)</f>
        <v>68049.77999999997</v>
      </c>
      <c r="I13" s="1511">
        <f>面积指标!I28</f>
        <v>44140.36</v>
      </c>
      <c r="J13" s="1511"/>
      <c r="K13" s="1511">
        <f>面积指标!D21</f>
        <v>9581.2999999999993</v>
      </c>
      <c r="L13" s="1511"/>
      <c r="M13" s="1511">
        <f>面积指标!D20</f>
        <v>14328.11999999997</v>
      </c>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15742.02</v>
      </c>
      <c r="AZ13" s="13">
        <f>BA13+BL13</f>
        <v>68049.77999999997</v>
      </c>
      <c r="BA13" s="13">
        <f>SUM(BB13:BK13)</f>
        <v>68049.77999999997</v>
      </c>
      <c r="BB13" s="13">
        <f>IF($D13="是",I13-J13,0)</f>
        <v>44140.36</v>
      </c>
      <c r="BC13" s="13">
        <f>IF($D13="是",K13-L13,0)</f>
        <v>9581.2999999999993</v>
      </c>
      <c r="BD13" s="13">
        <f>IF($D13="是",M13-N13,0)</f>
        <v>14328.11999999997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19" sqref="G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1129</v>
      </c>
      <c r="B1" s="1069"/>
      <c r="C1" s="1069"/>
      <c r="D1" s="1069"/>
      <c r="E1" s="1069"/>
      <c r="F1" s="1069"/>
      <c r="G1" s="1069"/>
      <c r="H1" s="1069"/>
      <c r="I1" s="1069"/>
      <c r="J1" s="1069"/>
      <c r="K1" s="1069"/>
      <c r="L1" s="1069"/>
      <c r="M1" s="1069"/>
      <c r="N1" s="1069"/>
      <c r="O1" s="1069"/>
      <c r="P1" s="1069"/>
    </row>
    <row r="2" spans="1:16" ht="15">
      <c r="A2" s="3264" t="s">
        <v>1130</v>
      </c>
      <c r="B2" s="3264"/>
      <c r="C2" s="3264"/>
      <c r="D2" s="746" t="s">
        <v>1106</v>
      </c>
      <c r="E2" s="1520" t="s">
        <v>1107</v>
      </c>
      <c r="F2" s="2436"/>
      <c r="G2" s="2429"/>
      <c r="H2" s="2430"/>
      <c r="I2" s="2143" t="s">
        <v>1131</v>
      </c>
      <c r="J2" s="2436"/>
      <c r="K2" s="2436"/>
      <c r="L2" s="2436"/>
      <c r="M2" s="2436"/>
      <c r="N2" s="2437"/>
      <c r="O2" s="2436"/>
      <c r="P2" s="2436"/>
    </row>
    <row r="3" spans="1:16" ht="15.75" thickBot="1">
      <c r="A3" s="3265" t="s">
        <v>1104</v>
      </c>
      <c r="B3" s="3265"/>
      <c r="C3" s="3265"/>
      <c r="D3" s="41">
        <f>'数据-基础表'!AY6</f>
        <v>15742.02</v>
      </c>
      <c r="E3" s="41">
        <f>'数据-基础表'!AZ5</f>
        <v>68049.77999999997</v>
      </c>
      <c r="F3" s="2436"/>
      <c r="G3" s="42"/>
      <c r="H3" s="43" t="s">
        <v>1105</v>
      </c>
      <c r="I3" s="800">
        <f>ROUND('数据-基础表'!B3/'数据-基础表'!A3,2)</f>
        <v>4.32</v>
      </c>
      <c r="J3" s="2436"/>
      <c r="K3" s="2436"/>
      <c r="L3" s="2436"/>
      <c r="M3" s="2436"/>
      <c r="N3" s="2437"/>
      <c r="O3" s="2436"/>
      <c r="P3" s="2436"/>
    </row>
    <row r="4" spans="1:16" ht="15">
      <c r="A4" s="3266"/>
      <c r="B4" s="3267"/>
      <c r="C4" s="3268"/>
      <c r="D4" s="1521" t="s">
        <v>1106</v>
      </c>
      <c r="E4" s="1522" t="s">
        <v>1107</v>
      </c>
      <c r="F4" s="2436"/>
      <c r="G4" s="2431" t="s">
        <v>1132</v>
      </c>
      <c r="H4" s="43" t="s">
        <v>1112</v>
      </c>
      <c r="I4" s="800">
        <f>ROUND(SUMIF('数据-基础表'!I9:AS9,"地上",'数据-基础表'!I5:AS5)/'数据-基础表'!A3,2)</f>
        <v>2.8</v>
      </c>
      <c r="J4" s="2436"/>
      <c r="K4" s="2436"/>
      <c r="L4" s="2436"/>
      <c r="M4" s="2436"/>
      <c r="N4" s="2437"/>
      <c r="O4" s="2436"/>
      <c r="P4" s="2436"/>
    </row>
    <row r="5" spans="1:16">
      <c r="A5" s="42" t="s">
        <v>1108</v>
      </c>
      <c r="B5" s="3269" t="s">
        <v>1109</v>
      </c>
      <c r="C5" s="3269"/>
      <c r="D5" s="43">
        <f>ROUND($D$3*E5/$E$3,2)</f>
        <v>0</v>
      </c>
      <c r="E5" s="44">
        <f>SUMIF('数据-基础表'!$11:$11,"住宅",'数据-基础表'!$5:$5)</f>
        <v>0</v>
      </c>
      <c r="F5" s="2436"/>
      <c r="G5" s="42"/>
      <c r="H5" s="43" t="s">
        <v>1105</v>
      </c>
      <c r="I5" s="800">
        <f>ROUND(E31/D31,2)</f>
        <v>4.32</v>
      </c>
      <c r="J5" s="2436"/>
      <c r="K5" s="2436"/>
      <c r="L5" s="2436"/>
      <c r="M5" s="2436"/>
      <c r="N5" s="2436"/>
      <c r="O5" s="2436"/>
      <c r="P5" s="2436"/>
    </row>
    <row r="6" spans="1:16" ht="15" thickBot="1">
      <c r="A6" s="1524"/>
      <c r="B6" s="3269" t="s">
        <v>1110</v>
      </c>
      <c r="C6" s="3269"/>
      <c r="D6" s="43">
        <f>ROUND($D$3*E6/$E$3,2)</f>
        <v>15742.02</v>
      </c>
      <c r="E6" s="44">
        <f>E3-E5</f>
        <v>68049.77999999997</v>
      </c>
      <c r="F6" s="2436"/>
      <c r="G6" s="1526" t="s">
        <v>1111</v>
      </c>
      <c r="H6" s="45" t="s">
        <v>1112</v>
      </c>
      <c r="I6" s="2432">
        <f>ROUND(F31/D31,2)</f>
        <v>2.8</v>
      </c>
      <c r="J6" s="2436"/>
      <c r="K6" s="2436"/>
      <c r="L6" s="2436"/>
      <c r="M6" s="2436"/>
      <c r="N6" s="2436"/>
      <c r="O6" s="2436"/>
      <c r="P6" s="2436"/>
    </row>
    <row r="7" spans="1:16" ht="15.75" thickBot="1">
      <c r="A7" s="3261"/>
      <c r="B7" s="3262"/>
      <c r="C7" s="3263"/>
      <c r="D7" s="1521" t="s">
        <v>1106</v>
      </c>
      <c r="E7" s="1525" t="s">
        <v>1113</v>
      </c>
      <c r="F7" s="2436"/>
      <c r="G7" s="2433" t="s">
        <v>1114</v>
      </c>
      <c r="H7" s="95"/>
      <c r="I7" s="2434">
        <v>2.5</v>
      </c>
      <c r="J7" s="2436"/>
      <c r="K7" s="2436"/>
      <c r="L7" s="2436"/>
      <c r="M7" s="2436"/>
      <c r="N7" s="2436"/>
      <c r="O7" s="2436"/>
      <c r="P7" s="2436"/>
    </row>
    <row r="8" spans="1:16">
      <c r="A8" s="42" t="s">
        <v>1115</v>
      </c>
      <c r="B8" s="45" t="s">
        <v>1116</v>
      </c>
      <c r="C8" s="43" t="s">
        <v>1117</v>
      </c>
      <c r="D8" s="43">
        <f t="shared" ref="D8:D15" si="0">ROUND($D$3*E8/$E$3,2)</f>
        <v>10211.030000000001</v>
      </c>
      <c r="E8" s="46">
        <f>SUMIF('数据-基础表'!BB10:BK10,"地上",'数据-基础表'!BB5:BK5)</f>
        <v>44140.36</v>
      </c>
      <c r="F8" s="2436"/>
      <c r="G8" s="2436"/>
      <c r="H8" s="2436"/>
      <c r="I8" s="2436"/>
      <c r="J8" s="2436"/>
      <c r="K8" s="2436"/>
      <c r="L8" s="2436"/>
      <c r="M8" s="2436"/>
      <c r="N8" s="2436"/>
      <c r="O8" s="2436"/>
      <c r="P8" s="2436"/>
    </row>
    <row r="9" spans="1:16">
      <c r="A9" s="1526"/>
      <c r="B9" s="1527"/>
      <c r="C9" s="43" t="s">
        <v>1118</v>
      </c>
      <c r="D9" s="43">
        <f t="shared" si="0"/>
        <v>0</v>
      </c>
      <c r="E9" s="47">
        <v>0</v>
      </c>
      <c r="F9" s="2436"/>
      <c r="G9" s="2436"/>
      <c r="H9" s="2436"/>
      <c r="I9" s="2436"/>
      <c r="J9" s="2436"/>
      <c r="K9" s="2436"/>
      <c r="L9" s="2436"/>
      <c r="M9" s="2436"/>
      <c r="N9" s="2436"/>
      <c r="O9" s="2436"/>
      <c r="P9" s="2436"/>
    </row>
    <row r="10" spans="1:16">
      <c r="A10" s="1526"/>
      <c r="B10" s="1527"/>
      <c r="C10" s="43" t="s">
        <v>1127</v>
      </c>
      <c r="D10" s="43">
        <f t="shared" si="0"/>
        <v>2216.4499999999998</v>
      </c>
      <c r="E10" s="46">
        <f>SUMPRODUCT(('数据-基础表'!BB10:BK10="地下")*('数据-基础表'!BB11:BK11="商业")*('数据-基础表'!BB5:BK5))</f>
        <v>9581.2999999999993</v>
      </c>
      <c r="F10" s="2436"/>
      <c r="G10" s="2436"/>
      <c r="H10" s="2436"/>
      <c r="I10" s="2436"/>
      <c r="J10" s="2436"/>
      <c r="K10" s="2436"/>
      <c r="L10" s="2436"/>
      <c r="M10" s="2436"/>
      <c r="N10" s="2436"/>
      <c r="O10" s="2436"/>
      <c r="P10" s="2436"/>
    </row>
    <row r="11" spans="1:16">
      <c r="A11" s="1526"/>
      <c r="B11" s="1527"/>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1133</v>
      </c>
      <c r="D14" s="43">
        <f t="shared" si="0"/>
        <v>3314.54</v>
      </c>
      <c r="E14" s="46">
        <f>SUMPRODUCT(('数据-基础表'!BB10:BK10="地下")*('数据-基础表'!BB11:BK11="车库—商业")*('数据-基础表'!BB5:BK5))</f>
        <v>14328.11999999997</v>
      </c>
      <c r="F14" s="2436"/>
      <c r="G14" s="2436"/>
      <c r="H14" s="2436"/>
      <c r="I14" s="2436"/>
      <c r="J14" s="2436"/>
      <c r="K14" s="2436"/>
      <c r="L14" s="2436"/>
      <c r="M14" s="2436"/>
      <c r="N14" s="2436"/>
      <c r="O14" s="2436"/>
      <c r="P14" s="2436"/>
    </row>
    <row r="15" spans="1:16" ht="15" thickBot="1">
      <c r="A15" s="1526"/>
      <c r="B15" s="1527"/>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1122</v>
      </c>
      <c r="D16" s="45">
        <f>SUM(D8:D15)</f>
        <v>15742.02</v>
      </c>
      <c r="E16" s="48">
        <f>SUM(E8:E15)</f>
        <v>68049.77999999997</v>
      </c>
      <c r="F16" s="2436"/>
      <c r="G16" s="2436"/>
      <c r="H16" s="1528" t="s">
        <v>1134</v>
      </c>
      <c r="I16" s="1529"/>
      <c r="J16" s="1069"/>
      <c r="K16" s="3258" t="s">
        <v>1134</v>
      </c>
      <c r="L16" s="3259"/>
      <c r="M16" s="3259"/>
      <c r="N16" s="3259"/>
      <c r="O16" s="3259"/>
      <c r="P16" s="3260"/>
    </row>
    <row r="17" spans="1:19" ht="15">
      <c r="A17" s="1530" t="s">
        <v>1135</v>
      </c>
      <c r="B17" s="1531" t="s">
        <v>1136</v>
      </c>
      <c r="C17" s="1532" t="s">
        <v>1137</v>
      </c>
      <c r="D17" s="1533" t="s">
        <v>1125</v>
      </c>
      <c r="E17" s="1534" t="s">
        <v>1126</v>
      </c>
      <c r="F17" s="1535"/>
      <c r="G17" s="1536"/>
      <c r="H17" s="1537" t="s">
        <v>1138</v>
      </c>
      <c r="I17" s="1538" t="s">
        <v>1123</v>
      </c>
      <c r="J17" s="1069"/>
      <c r="K17" s="3255" t="s">
        <v>1139</v>
      </c>
      <c r="L17" s="3256"/>
      <c r="M17" s="3257"/>
      <c r="N17" s="3255" t="s">
        <v>1140</v>
      </c>
      <c r="O17" s="3256"/>
      <c r="P17" s="3257"/>
      <c r="R17" s="767" t="s">
        <v>1141</v>
      </c>
      <c r="S17" s="54"/>
    </row>
    <row r="18" spans="1:19" ht="15">
      <c r="A18" s="1526"/>
      <c r="B18" s="1523"/>
      <c r="C18" s="1539"/>
      <c r="D18" s="1540"/>
      <c r="E18" s="1541" t="s">
        <v>1142</v>
      </c>
      <c r="F18" s="1542" t="s">
        <v>1143</v>
      </c>
      <c r="G18" s="1543" t="s">
        <v>1144</v>
      </c>
      <c r="H18" s="978" t="s">
        <v>1145</v>
      </c>
      <c r="I18" s="1544" t="s">
        <v>1146</v>
      </c>
      <c r="J18" s="1069"/>
      <c r="K18" s="978" t="s">
        <v>1147</v>
      </c>
      <c r="L18" s="1545" t="s">
        <v>1148</v>
      </c>
      <c r="M18" s="800" t="s">
        <v>1149</v>
      </c>
      <c r="N18" s="978" t="s">
        <v>1147</v>
      </c>
      <c r="O18" s="1545" t="s">
        <v>1148</v>
      </c>
      <c r="P18" s="800" t="s">
        <v>1149</v>
      </c>
      <c r="R18" s="43" t="s">
        <v>1150</v>
      </c>
      <c r="S18" s="43" t="s">
        <v>1151</v>
      </c>
    </row>
    <row r="19" spans="1:19">
      <c r="A19" s="1546"/>
      <c r="B19" s="45" t="s">
        <v>1124</v>
      </c>
      <c r="C19" s="3113" t="s">
        <v>4297</v>
      </c>
      <c r="D19" s="43">
        <f>ROUND($D$3*E19/$E$3,2)</f>
        <v>15742.02</v>
      </c>
      <c r="E19" s="51">
        <f t="shared" ref="E19:E26" si="1">SUM(F19:G19)</f>
        <v>68049.77999999997</v>
      </c>
      <c r="F19" s="2555">
        <f>'数据-基础表'!I13</f>
        <v>44140.36</v>
      </c>
      <c r="G19" s="1240">
        <f>'数据-基础表'!K13+'数据-基础表'!M13</f>
        <v>23909.419999999969</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15742.02</v>
      </c>
      <c r="S19" s="51">
        <f t="shared" si="5"/>
        <v>68049.77999999997</v>
      </c>
    </row>
    <row r="20" spans="1:19">
      <c r="A20" s="1546"/>
      <c r="B20" s="45" t="s">
        <v>1152</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1152</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1152</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1152</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1152</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1152</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1152</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1153</v>
      </c>
      <c r="D27" s="1070">
        <f>SUM(D19:D26)</f>
        <v>15742.02</v>
      </c>
      <c r="E27" s="1071">
        <f>IF(SUM(E19:E26)='数据-基础表'!BA5,SUM(E19:E26),IF(F27="地上面积有误","面积有误","地下面积有误"))</f>
        <v>68049.77999999997</v>
      </c>
      <c r="F27" s="1070">
        <f>IF(SUM(F19:F26)=E8,SUM(F19:F26),"地上面积有误")</f>
        <v>44140.36</v>
      </c>
      <c r="G27" s="1072">
        <f>SUM(G19:G26)</f>
        <v>23909.419999999969</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15742.02</v>
      </c>
      <c r="S27" s="43">
        <f>IF(SUM(S19:S26)=$E$3,SUM(S19:S26),SUM(S19:S26)&amp;"误差"&amp;ROUND(SUM(S19:S26)-E3,2))</f>
        <v>68049.77999999997</v>
      </c>
    </row>
    <row r="28" spans="1:19">
      <c r="A28" s="1546"/>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1154</v>
      </c>
      <c r="C29" s="1552"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1153</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1157</v>
      </c>
      <c r="D31" s="641">
        <f>D27+D30</f>
        <v>15742.02</v>
      </c>
      <c r="E31" s="641">
        <f>E27+E30</f>
        <v>68049.77999999997</v>
      </c>
      <c r="F31" s="642">
        <f>F27+F30</f>
        <v>44140.36</v>
      </c>
      <c r="G31" s="643">
        <f>G27+G30</f>
        <v>23909.419999999969</v>
      </c>
      <c r="H31" s="2436"/>
      <c r="I31" s="2436"/>
      <c r="J31" s="2436"/>
      <c r="K31" s="2436"/>
      <c r="L31" s="2436"/>
      <c r="M31" s="2436"/>
      <c r="N31" s="2436"/>
      <c r="O31" s="2436"/>
      <c r="P31" s="2436"/>
    </row>
    <row r="32" spans="1:19">
      <c r="A32" s="1523"/>
      <c r="B32" s="1523" t="s">
        <v>1158</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4" workbookViewId="0">
      <selection activeCell="D20" sqref="D20:D21"/>
    </sheetView>
  </sheetViews>
  <sheetFormatPr defaultRowHeight="13.5"/>
  <cols>
    <col min="1" max="1" width="9.75" style="3142" customWidth="1"/>
    <col min="2" max="2" width="10.375" style="3142" customWidth="1"/>
    <col min="3" max="3" width="16" style="3142" customWidth="1"/>
    <col min="4" max="4" width="17.5" style="3142" customWidth="1"/>
    <col min="5" max="5" width="11" style="3142" customWidth="1"/>
    <col min="6" max="6" width="12" style="3142" customWidth="1"/>
    <col min="7" max="7" width="10.75" style="3142" customWidth="1"/>
    <col min="8" max="8" width="13" style="3142" customWidth="1"/>
    <col min="9" max="9" width="12.375" style="3142" customWidth="1"/>
    <col min="10" max="10" width="13" style="3142" customWidth="1"/>
    <col min="11" max="11" width="5.625" style="3142" customWidth="1"/>
    <col min="12" max="12" width="12.875" style="3142" customWidth="1"/>
    <col min="13" max="13" width="9.75" style="3142" customWidth="1"/>
    <col min="14" max="14" width="10" style="3142" customWidth="1"/>
    <col min="15" max="16384" width="9" style="3142"/>
  </cols>
  <sheetData>
    <row r="1" spans="1:14" ht="18.75" customHeight="1">
      <c r="B1" s="3142" t="s">
        <v>3396</v>
      </c>
      <c r="C1" s="3142" t="s">
        <v>3398</v>
      </c>
      <c r="D1" s="3142" t="s">
        <v>3400</v>
      </c>
      <c r="E1" s="3142" t="s">
        <v>3401</v>
      </c>
      <c r="F1" s="3142" t="s">
        <v>3403</v>
      </c>
      <c r="G1" s="3142" t="s">
        <v>3405</v>
      </c>
      <c r="H1" s="3142" t="s">
        <v>3407</v>
      </c>
      <c r="I1" s="3142" t="s">
        <v>3409</v>
      </c>
      <c r="J1" s="3142" t="s">
        <v>3411</v>
      </c>
      <c r="K1" s="3142" t="s">
        <v>3413</v>
      </c>
      <c r="L1" s="3142" t="s">
        <v>3415</v>
      </c>
      <c r="M1" s="3142" t="s">
        <v>3416</v>
      </c>
    </row>
    <row r="2" spans="1:14" ht="41.25" customHeight="1">
      <c r="A2" s="3142" t="s">
        <v>3417</v>
      </c>
      <c r="B2" s="3142">
        <v>2</v>
      </c>
      <c r="C2" s="3142" t="s">
        <v>3418</v>
      </c>
      <c r="D2" s="3142" t="s">
        <v>4293</v>
      </c>
      <c r="E2" s="3142" t="s">
        <v>3420</v>
      </c>
      <c r="F2" s="3142" t="s">
        <v>3421</v>
      </c>
      <c r="G2" s="3142" t="s">
        <v>3422</v>
      </c>
      <c r="H2" s="3142" t="s">
        <v>3423</v>
      </c>
      <c r="I2" s="3142">
        <v>42863.29</v>
      </c>
      <c r="J2" s="3155">
        <v>57339</v>
      </c>
      <c r="K2" s="3142" t="s">
        <v>3425</v>
      </c>
      <c r="L2" s="3142">
        <v>24641.279999999999</v>
      </c>
      <c r="M2" s="3142" t="s">
        <v>3426</v>
      </c>
    </row>
    <row r="3" spans="1:14" ht="51.75" customHeight="1">
      <c r="C3" s="3142" t="s">
        <v>3427</v>
      </c>
      <c r="D3" s="3142" t="s">
        <v>3428</v>
      </c>
      <c r="E3" s="3142" t="s">
        <v>3430</v>
      </c>
      <c r="F3" s="3142" t="s">
        <v>3431</v>
      </c>
      <c r="G3" s="3142" t="s">
        <v>3432</v>
      </c>
      <c r="I3" s="3142">
        <v>29130.28</v>
      </c>
      <c r="J3" s="3142" t="s">
        <v>4281</v>
      </c>
      <c r="K3" s="3142" t="s">
        <v>3434</v>
      </c>
      <c r="L3" s="3142">
        <v>24641.279999999999</v>
      </c>
      <c r="M3" s="3142" t="s">
        <v>3435</v>
      </c>
    </row>
    <row r="4" spans="1:14">
      <c r="C4" s="3145" t="s">
        <v>3437</v>
      </c>
      <c r="D4" s="3145" t="s">
        <v>3439</v>
      </c>
      <c r="E4" s="3145" t="s">
        <v>3441</v>
      </c>
      <c r="F4" s="3145" t="s">
        <v>3443</v>
      </c>
      <c r="H4" s="3145" t="s">
        <v>3444</v>
      </c>
      <c r="I4" s="3145" t="s">
        <v>3439</v>
      </c>
      <c r="J4" s="3145" t="s">
        <v>3443</v>
      </c>
    </row>
    <row r="5" spans="1:14">
      <c r="C5" s="3145" t="s">
        <v>3445</v>
      </c>
      <c r="D5" s="3145">
        <f>分摊土地!D426</f>
        <v>15639.329999999913</v>
      </c>
      <c r="E5" s="3146">
        <v>419</v>
      </c>
      <c r="F5" s="3145">
        <f>分摊土地!E426</f>
        <v>4795.1400000000076</v>
      </c>
      <c r="G5" s="3142" t="s">
        <v>3447</v>
      </c>
      <c r="H5" s="3143">
        <v>1</v>
      </c>
      <c r="I5" s="3143">
        <v>7558.56</v>
      </c>
      <c r="J5" s="3145"/>
    </row>
    <row r="6" spans="1:14">
      <c r="C6" s="3145" t="s">
        <v>3448</v>
      </c>
      <c r="D6" s="3145">
        <f>分摊土地!D423</f>
        <v>7514.68</v>
      </c>
      <c r="E6" s="3146">
        <v>1</v>
      </c>
      <c r="F6" s="3145">
        <f>分摊土地!E423</f>
        <v>2304.17</v>
      </c>
      <c r="H6" s="3143">
        <v>2</v>
      </c>
      <c r="I6" s="3143">
        <v>7882.5</v>
      </c>
      <c r="J6" s="3145"/>
    </row>
    <row r="7" spans="1:14">
      <c r="C7" s="3145"/>
      <c r="D7" s="3147">
        <f>SUM(D5:D6)</f>
        <v>23154.009999999915</v>
      </c>
      <c r="E7" s="3145">
        <f>SUM(E5:E6)</f>
        <v>420</v>
      </c>
      <c r="F7" s="3147">
        <f>SUM(F5:F6)</f>
        <v>7099.3100000000077</v>
      </c>
      <c r="H7" s="3143">
        <v>3</v>
      </c>
      <c r="I7" s="3143">
        <v>7825.72</v>
      </c>
      <c r="J7" s="3145"/>
    </row>
    <row r="8" spans="1:14">
      <c r="H8" s="3143">
        <v>4</v>
      </c>
      <c r="I8" s="3143">
        <v>7570.61</v>
      </c>
      <c r="J8" s="3145"/>
    </row>
    <row r="9" spans="1:14">
      <c r="D9" s="3142" t="s">
        <v>3449</v>
      </c>
      <c r="E9" s="3142" t="s">
        <v>3440</v>
      </c>
      <c r="H9" s="3143">
        <v>5</v>
      </c>
      <c r="I9" s="3143">
        <v>7472.25</v>
      </c>
      <c r="J9" s="3145"/>
    </row>
    <row r="10" spans="1:14">
      <c r="C10" s="3142" t="s">
        <v>4285</v>
      </c>
      <c r="D10" s="3142">
        <v>13490.95</v>
      </c>
      <c r="E10" s="3142">
        <v>8</v>
      </c>
      <c r="H10" s="3143">
        <v>6</v>
      </c>
      <c r="I10" s="3143">
        <v>4372.5</v>
      </c>
      <c r="J10" s="3145"/>
    </row>
    <row r="11" spans="1:14" ht="27">
      <c r="D11" s="3142">
        <f>D10-D6</f>
        <v>5976.27</v>
      </c>
      <c r="E11" s="3142">
        <v>7</v>
      </c>
      <c r="H11" s="3143" t="s">
        <v>3451</v>
      </c>
      <c r="I11" s="3143">
        <v>181.15</v>
      </c>
      <c r="J11" s="3145"/>
      <c r="M11" s="3142" t="s">
        <v>3452</v>
      </c>
      <c r="N11" s="3142" t="s">
        <v>3453</v>
      </c>
    </row>
    <row r="12" spans="1:14">
      <c r="H12" s="3145" t="s">
        <v>3454</v>
      </c>
      <c r="I12" s="3147">
        <f>SUM(I5:I11)</f>
        <v>42863.29</v>
      </c>
      <c r="J12" s="3147">
        <f>分摊土地!E3</f>
        <v>13142.83</v>
      </c>
      <c r="L12" s="3142" t="s">
        <v>4287</v>
      </c>
      <c r="M12" s="3142">
        <f>D7+I12</f>
        <v>66017.299999999916</v>
      </c>
      <c r="N12" s="3142">
        <f>F7+J12</f>
        <v>20242.140000000007</v>
      </c>
    </row>
    <row r="13" spans="1:14">
      <c r="C13" s="3142" t="s">
        <v>4286</v>
      </c>
      <c r="D13" s="3142">
        <v>15639.33</v>
      </c>
      <c r="E13" s="3142">
        <v>419</v>
      </c>
    </row>
    <row r="14" spans="1:14">
      <c r="D14" s="3142">
        <v>0</v>
      </c>
      <c r="E14" s="3142">
        <f>E13-E5</f>
        <v>0</v>
      </c>
    </row>
    <row r="16" spans="1:14">
      <c r="B16" s="3142" t="s">
        <v>3396</v>
      </c>
      <c r="C16" s="3142" t="s">
        <v>3397</v>
      </c>
      <c r="D16" s="3142" t="s">
        <v>3399</v>
      </c>
      <c r="E16" s="3142" t="s">
        <v>2540</v>
      </c>
      <c r="F16" s="3142" t="s">
        <v>3402</v>
      </c>
      <c r="G16" s="3142" t="s">
        <v>3404</v>
      </c>
      <c r="H16" s="3142" t="s">
        <v>3406</v>
      </c>
      <c r="I16" s="3142" t="s">
        <v>3408</v>
      </c>
      <c r="J16" s="3142" t="s">
        <v>3410</v>
      </c>
      <c r="K16" s="3142" t="s">
        <v>3412</v>
      </c>
      <c r="L16" s="3142" t="s">
        <v>3414</v>
      </c>
      <c r="M16" s="3142" t="s">
        <v>3416</v>
      </c>
    </row>
    <row r="17" spans="1:14" ht="40.5">
      <c r="A17" s="3142" t="s">
        <v>3455</v>
      </c>
      <c r="B17" s="3142">
        <v>2.5</v>
      </c>
      <c r="C17" s="3142" t="s">
        <v>3456</v>
      </c>
      <c r="D17" s="3142" t="s">
        <v>3457</v>
      </c>
      <c r="E17" s="3142" t="s">
        <v>3419</v>
      </c>
      <c r="F17" s="3142" t="s">
        <v>3458</v>
      </c>
      <c r="G17" s="3142" t="s">
        <v>3459</v>
      </c>
      <c r="H17" s="3142" t="s">
        <v>3460</v>
      </c>
      <c r="I17" s="3142">
        <v>44140.36</v>
      </c>
      <c r="J17" s="3142">
        <v>57339</v>
      </c>
      <c r="K17" s="3142" t="s">
        <v>3424</v>
      </c>
      <c r="L17" s="3142">
        <v>28098.68</v>
      </c>
      <c r="M17" s="3142" t="s">
        <v>4282</v>
      </c>
    </row>
    <row r="18" spans="1:14" ht="40.5">
      <c r="C18" s="3142" t="s">
        <v>3461</v>
      </c>
      <c r="D18" s="3142" t="s">
        <v>3462</v>
      </c>
      <c r="E18" s="3142" t="s">
        <v>3429</v>
      </c>
      <c r="F18" s="3142" t="s">
        <v>3463</v>
      </c>
      <c r="G18" s="3142" t="s">
        <v>3464</v>
      </c>
      <c r="I18" s="3142">
        <v>35507.85</v>
      </c>
      <c r="J18" s="3142" t="s">
        <v>3433</v>
      </c>
      <c r="K18" s="3142" t="s">
        <v>3424</v>
      </c>
      <c r="L18" s="3142">
        <v>28098.68</v>
      </c>
      <c r="M18" s="3142" t="s">
        <v>4282</v>
      </c>
    </row>
    <row r="19" spans="1:14">
      <c r="C19" s="3145" t="s">
        <v>3436</v>
      </c>
      <c r="D19" s="3145" t="s">
        <v>3438</v>
      </c>
      <c r="E19" s="3145" t="s">
        <v>3440</v>
      </c>
      <c r="F19" s="3145" t="s">
        <v>3442</v>
      </c>
      <c r="H19" s="3145" t="s">
        <v>3465</v>
      </c>
      <c r="I19" s="3145" t="s">
        <v>3452</v>
      </c>
      <c r="J19" s="3145" t="s">
        <v>3453</v>
      </c>
    </row>
    <row r="20" spans="1:14">
      <c r="C20" s="3145" t="s">
        <v>3466</v>
      </c>
      <c r="D20" s="3145">
        <f>分摊土地!L344</f>
        <v>14328.11999999997</v>
      </c>
      <c r="E20" s="3146">
        <v>337</v>
      </c>
      <c r="F20" s="3145">
        <f>分摊土地!M344</f>
        <v>3315.0000000000136</v>
      </c>
      <c r="G20" s="3142" t="s">
        <v>3446</v>
      </c>
      <c r="H20" s="3144">
        <v>1</v>
      </c>
      <c r="I20" s="3144">
        <v>8714.39</v>
      </c>
      <c r="J20" s="3145"/>
    </row>
    <row r="21" spans="1:14">
      <c r="C21" s="3145" t="s">
        <v>3467</v>
      </c>
      <c r="D21" s="3145">
        <f>分摊土地!L341</f>
        <v>9581.2999999999993</v>
      </c>
      <c r="E21" s="3146">
        <v>1</v>
      </c>
      <c r="F21" s="3145">
        <f>分摊土地!M341</f>
        <v>2216.37</v>
      </c>
      <c r="H21" s="3144">
        <v>2</v>
      </c>
      <c r="I21" s="3144">
        <v>8586.61</v>
      </c>
      <c r="J21" s="3145"/>
    </row>
    <row r="22" spans="1:14">
      <c r="C22" s="3145"/>
      <c r="D22" s="3147">
        <f>SUM(D20:D21)</f>
        <v>23909.419999999969</v>
      </c>
      <c r="E22" s="3145">
        <f>SUM(E20:E21)</f>
        <v>338</v>
      </c>
      <c r="F22" s="3147">
        <f>F20+F21</f>
        <v>5531.3700000000135</v>
      </c>
      <c r="H22" s="3144">
        <v>3</v>
      </c>
      <c r="I22" s="3144">
        <v>8708.4500000000007</v>
      </c>
      <c r="J22" s="3145"/>
    </row>
    <row r="23" spans="1:14">
      <c r="H23" s="3144">
        <v>4</v>
      </c>
      <c r="I23" s="3144">
        <v>8552.11</v>
      </c>
      <c r="J23" s="3145"/>
    </row>
    <row r="24" spans="1:14">
      <c r="D24" s="3142" t="s">
        <v>3468</v>
      </c>
      <c r="E24" s="3142" t="s">
        <v>3469</v>
      </c>
      <c r="H24" s="3144">
        <v>5</v>
      </c>
      <c r="I24" s="3144">
        <v>7982.25</v>
      </c>
      <c r="J24" s="3145"/>
    </row>
    <row r="25" spans="1:14">
      <c r="C25" s="3142" t="s">
        <v>3450</v>
      </c>
      <c r="D25" s="3142">
        <v>15260.73</v>
      </c>
      <c r="E25" s="3142">
        <v>9</v>
      </c>
      <c r="H25" s="3144">
        <v>6</v>
      </c>
      <c r="I25" s="3144">
        <v>1471.94</v>
      </c>
      <c r="J25" s="3145"/>
    </row>
    <row r="26" spans="1:14">
      <c r="D26" s="3142">
        <f>D25-D21</f>
        <v>5679.43</v>
      </c>
      <c r="E26" s="3142">
        <v>8</v>
      </c>
      <c r="H26" s="3144" t="s">
        <v>3470</v>
      </c>
      <c r="I26" s="3144">
        <v>32.93</v>
      </c>
      <c r="J26" s="3145"/>
    </row>
    <row r="27" spans="1:14" ht="27">
      <c r="H27" s="3144" t="s">
        <v>3451</v>
      </c>
      <c r="I27" s="3144">
        <v>91.68</v>
      </c>
      <c r="J27" s="3145"/>
      <c r="M27" s="3142" t="s">
        <v>3452</v>
      </c>
      <c r="N27" s="3142" t="s">
        <v>3453</v>
      </c>
    </row>
    <row r="28" spans="1:14">
      <c r="C28" s="3142" t="s">
        <v>3471</v>
      </c>
      <c r="D28" s="3142">
        <v>20247.12</v>
      </c>
      <c r="E28" s="3142">
        <v>475</v>
      </c>
      <c r="H28" s="3145" t="s">
        <v>3454</v>
      </c>
      <c r="I28" s="3147">
        <f>SUM(I20:I27)</f>
        <v>44140.36</v>
      </c>
      <c r="J28" s="3147">
        <f>分摊土地!M3</f>
        <v>10210.65</v>
      </c>
      <c r="L28" s="3142" t="s">
        <v>4289</v>
      </c>
      <c r="M28" s="3142">
        <f>D22+I28</f>
        <v>68049.77999999997</v>
      </c>
      <c r="N28" s="3142">
        <f>F22+J28</f>
        <v>15742.020000000013</v>
      </c>
    </row>
    <row r="29" spans="1:14">
      <c r="D29" s="3142">
        <f>D28-D20</f>
        <v>5919.0000000000291</v>
      </c>
      <c r="E29" s="3142">
        <f>E28-E20</f>
        <v>138</v>
      </c>
    </row>
    <row r="30" spans="1:14">
      <c r="L30" s="3142" t="s">
        <v>3472</v>
      </c>
      <c r="M30" s="3142">
        <f>M12+M28</f>
        <v>134067.0799999999</v>
      </c>
      <c r="N30" s="3142">
        <f>N12+N28</f>
        <v>35984.160000000018</v>
      </c>
    </row>
    <row r="32" spans="1:14">
      <c r="A32" s="3270" t="s">
        <v>3473</v>
      </c>
      <c r="B32" s="3270"/>
      <c r="C32" s="3270"/>
      <c r="D32" s="3270"/>
      <c r="E32" s="3270" t="s">
        <v>3474</v>
      </c>
      <c r="F32" s="3270"/>
      <c r="G32" s="3270"/>
      <c r="H32" s="3270"/>
    </row>
    <row r="33" spans="1:8">
      <c r="A33" s="3149" t="s">
        <v>3475</v>
      </c>
      <c r="B33" s="3149" t="s">
        <v>3476</v>
      </c>
      <c r="C33" s="3149" t="s">
        <v>3477</v>
      </c>
      <c r="D33" s="3149" t="s">
        <v>3478</v>
      </c>
      <c r="E33" s="3149" t="s">
        <v>3475</v>
      </c>
      <c r="F33" s="3149" t="s">
        <v>3476</v>
      </c>
      <c r="G33" s="3149" t="s">
        <v>3477</v>
      </c>
      <c r="H33" s="3149" t="s">
        <v>3478</v>
      </c>
    </row>
    <row r="34" spans="1:8">
      <c r="A34" s="3149" t="s">
        <v>3479</v>
      </c>
      <c r="B34" s="3149">
        <f>D5</f>
        <v>15639.329999999913</v>
      </c>
      <c r="C34" s="3149" t="s">
        <v>3480</v>
      </c>
      <c r="D34" s="3149" t="s">
        <v>3480</v>
      </c>
      <c r="E34" s="3149" t="s">
        <v>3481</v>
      </c>
      <c r="F34" s="3149">
        <f>D20</f>
        <v>14328.11999999997</v>
      </c>
      <c r="G34" s="3149" t="s">
        <v>3482</v>
      </c>
      <c r="H34" s="3149" t="s">
        <v>3482</v>
      </c>
    </row>
    <row r="35" spans="1:8" ht="27">
      <c r="A35" s="3149" t="s">
        <v>3484</v>
      </c>
      <c r="B35" s="3149">
        <f>D6</f>
        <v>7514.68</v>
      </c>
      <c r="C35" s="3149" t="s">
        <v>3419</v>
      </c>
      <c r="D35" s="3149" t="s">
        <v>3485</v>
      </c>
      <c r="E35" s="3149" t="s">
        <v>3483</v>
      </c>
      <c r="F35" s="3149">
        <f>D21</f>
        <v>9581.2999999999993</v>
      </c>
      <c r="G35" s="3149" t="s">
        <v>3486</v>
      </c>
      <c r="H35" s="3149" t="s">
        <v>3487</v>
      </c>
    </row>
    <row r="36" spans="1:8" ht="40.5">
      <c r="A36" s="3149">
        <v>1</v>
      </c>
      <c r="B36" s="3149">
        <f>I5</f>
        <v>7558.56</v>
      </c>
      <c r="C36" s="3149" t="s">
        <v>3488</v>
      </c>
      <c r="D36" s="3149" t="s">
        <v>3489</v>
      </c>
      <c r="E36" s="3149">
        <v>1</v>
      </c>
      <c r="F36" s="3149">
        <f>I20</f>
        <v>8714.39</v>
      </c>
      <c r="G36" s="3149" t="s">
        <v>3490</v>
      </c>
      <c r="H36" s="3149" t="s">
        <v>3491</v>
      </c>
    </row>
    <row r="37" spans="1:8" ht="27">
      <c r="A37" s="3149">
        <v>2</v>
      </c>
      <c r="B37" s="3149">
        <f t="shared" ref="B37:B40" si="0">I6</f>
        <v>7882.5</v>
      </c>
      <c r="C37" s="3149" t="s">
        <v>3492</v>
      </c>
      <c r="D37" s="3149" t="s">
        <v>3493</v>
      </c>
      <c r="E37" s="3149">
        <v>2</v>
      </c>
      <c r="F37" s="3149">
        <f t="shared" ref="F37:F43" si="1">I21</f>
        <v>8586.61</v>
      </c>
      <c r="G37" s="3149" t="s">
        <v>3494</v>
      </c>
      <c r="H37" s="3149" t="s">
        <v>3495</v>
      </c>
    </row>
    <row r="38" spans="1:8">
      <c r="A38" s="3149">
        <v>3</v>
      </c>
      <c r="B38" s="3149">
        <f t="shared" si="0"/>
        <v>7825.72</v>
      </c>
      <c r="C38" s="3149" t="s">
        <v>3494</v>
      </c>
      <c r="D38" s="3149" t="s">
        <v>3496</v>
      </c>
      <c r="E38" s="3149">
        <v>3</v>
      </c>
      <c r="F38" s="3149">
        <f t="shared" si="1"/>
        <v>8708.4500000000007</v>
      </c>
      <c r="G38" s="3149" t="s">
        <v>3494</v>
      </c>
      <c r="H38" s="3149" t="s">
        <v>3496</v>
      </c>
    </row>
    <row r="39" spans="1:8" ht="27">
      <c r="A39" s="3149">
        <v>4</v>
      </c>
      <c r="B39" s="3149">
        <f t="shared" si="0"/>
        <v>7570.61</v>
      </c>
      <c r="C39" s="3149" t="s">
        <v>3494</v>
      </c>
      <c r="D39" s="3149" t="s">
        <v>3497</v>
      </c>
      <c r="E39" s="3149">
        <v>4</v>
      </c>
      <c r="F39" s="3149">
        <f t="shared" si="1"/>
        <v>8552.11</v>
      </c>
      <c r="G39" s="3149" t="s">
        <v>3494</v>
      </c>
      <c r="H39" s="3149" t="s">
        <v>3498</v>
      </c>
    </row>
    <row r="40" spans="1:8" ht="27">
      <c r="A40" s="3149">
        <v>5</v>
      </c>
      <c r="B40" s="3149">
        <f t="shared" si="0"/>
        <v>7472.25</v>
      </c>
      <c r="C40" s="3149" t="s">
        <v>3494</v>
      </c>
      <c r="D40" s="3149" t="s">
        <v>3497</v>
      </c>
      <c r="E40" s="3149">
        <v>5</v>
      </c>
      <c r="F40" s="3149">
        <f t="shared" si="1"/>
        <v>7982.25</v>
      </c>
      <c r="G40" s="3149" t="s">
        <v>3494</v>
      </c>
      <c r="H40" s="3149" t="s">
        <v>3499</v>
      </c>
    </row>
    <row r="41" spans="1:8">
      <c r="A41" s="3149">
        <v>6</v>
      </c>
      <c r="B41" s="3149">
        <f>I10</f>
        <v>4372.5</v>
      </c>
      <c r="C41" s="3149" t="s">
        <v>3494</v>
      </c>
      <c r="D41" s="3149" t="s">
        <v>3497</v>
      </c>
      <c r="E41" s="3149">
        <v>6</v>
      </c>
      <c r="F41" s="3149">
        <f t="shared" si="1"/>
        <v>1471.94</v>
      </c>
      <c r="G41" s="3149" t="s">
        <v>3494</v>
      </c>
      <c r="H41" s="3149" t="s">
        <v>3500</v>
      </c>
    </row>
    <row r="42" spans="1:8">
      <c r="A42" s="3149" t="s">
        <v>3501</v>
      </c>
      <c r="B42" s="3149">
        <f>I11</f>
        <v>181.15</v>
      </c>
      <c r="C42" s="3149" t="s">
        <v>3502</v>
      </c>
      <c r="D42" s="3149"/>
      <c r="E42" s="3149" t="s">
        <v>3503</v>
      </c>
      <c r="F42" s="3149">
        <f t="shared" si="1"/>
        <v>32.93</v>
      </c>
      <c r="G42" s="3149" t="s">
        <v>3503</v>
      </c>
      <c r="H42" s="3149"/>
    </row>
    <row r="43" spans="1:8">
      <c r="A43" s="3149"/>
      <c r="B43" s="3149"/>
      <c r="C43" s="3149"/>
      <c r="D43" s="3149"/>
      <c r="E43" s="3149" t="s">
        <v>3502</v>
      </c>
      <c r="F43" s="3149">
        <f t="shared" si="1"/>
        <v>91.68</v>
      </c>
      <c r="G43" s="3149" t="s">
        <v>3502</v>
      </c>
      <c r="H43" s="3149"/>
    </row>
    <row r="44" spans="1:8">
      <c r="A44" s="3149" t="s">
        <v>3504</v>
      </c>
      <c r="B44" s="3149">
        <f>SUM(B34:B43)</f>
        <v>66017.299999999916</v>
      </c>
      <c r="C44" s="3149" t="s">
        <v>3505</v>
      </c>
      <c r="D44" s="3149" t="s">
        <v>3505</v>
      </c>
      <c r="E44" s="3149" t="s">
        <v>3504</v>
      </c>
      <c r="F44" s="3149">
        <f>SUM(F34:F43)</f>
        <v>68049.779999999955</v>
      </c>
      <c r="G44" s="3149" t="s">
        <v>3505</v>
      </c>
      <c r="H44" s="3149" t="s">
        <v>3505</v>
      </c>
    </row>
    <row r="46" spans="1:8">
      <c r="B46" s="3142">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31" activePane="bottomLeft" state="frozen"/>
      <selection pane="bottomLeft" activeCell="E431" sqref="E431"/>
    </sheetView>
  </sheetViews>
  <sheetFormatPr defaultColWidth="8.5" defaultRowHeight="13.5"/>
  <cols>
    <col min="1" max="1" width="8.5" style="3154"/>
    <col min="2" max="2" width="9.25" style="3154" customWidth="1"/>
    <col min="3" max="3" width="11.625" style="3154" customWidth="1"/>
    <col min="4" max="4" width="11.25" style="3154" customWidth="1"/>
    <col min="5" max="5" width="12.25" style="3154" customWidth="1"/>
    <col min="6" max="6" width="11.125" style="3154" customWidth="1"/>
    <col min="7" max="8" width="8.5" style="3154"/>
    <col min="9" max="9" width="9.625" style="3154" customWidth="1"/>
    <col min="10" max="10" width="10.625" style="3154" customWidth="1"/>
    <col min="11" max="11" width="11.75" style="3154" customWidth="1"/>
    <col min="12" max="12" width="12.625" style="3154" customWidth="1"/>
    <col min="13" max="13" width="12.75" style="3154" customWidth="1"/>
    <col min="14" max="16384" width="8.5" style="3154"/>
  </cols>
  <sheetData>
    <row r="1" spans="1:14">
      <c r="A1" s="3271" t="s">
        <v>4284</v>
      </c>
      <c r="B1" s="3271"/>
      <c r="C1" s="3271"/>
      <c r="D1" s="3271"/>
      <c r="E1" s="3271"/>
      <c r="F1" s="3271"/>
      <c r="I1" s="3272" t="s">
        <v>4283</v>
      </c>
      <c r="J1" s="3272"/>
      <c r="K1" s="3272"/>
      <c r="L1" s="3272"/>
      <c r="M1" s="3272"/>
      <c r="N1" s="3272"/>
    </row>
    <row r="2" spans="1:14">
      <c r="A2" s="3148" t="s">
        <v>3506</v>
      </c>
      <c r="B2" s="3152" t="s">
        <v>3507</v>
      </c>
      <c r="C2" s="3152" t="s">
        <v>3508</v>
      </c>
      <c r="D2" s="3152" t="s">
        <v>3509</v>
      </c>
      <c r="E2" s="3152" t="s">
        <v>3510</v>
      </c>
      <c r="F2" s="3148" t="s">
        <v>3511</v>
      </c>
      <c r="I2" s="3148" t="s">
        <v>3506</v>
      </c>
      <c r="J2" s="3152" t="s">
        <v>3507</v>
      </c>
      <c r="K2" s="3152" t="s">
        <v>3508</v>
      </c>
      <c r="L2" s="3152" t="s">
        <v>3509</v>
      </c>
      <c r="M2" s="3152" t="s">
        <v>3510</v>
      </c>
      <c r="N2" s="3148" t="s">
        <v>3511</v>
      </c>
    </row>
    <row r="3" spans="1:14">
      <c r="A3" s="3148">
        <v>1</v>
      </c>
      <c r="B3" s="3152" t="s">
        <v>3512</v>
      </c>
      <c r="C3" s="3152">
        <v>101</v>
      </c>
      <c r="D3" s="3152">
        <v>42863.29</v>
      </c>
      <c r="E3" s="3153">
        <v>13142.83</v>
      </c>
      <c r="F3" s="3148" t="s">
        <v>3513</v>
      </c>
      <c r="I3" s="3148">
        <v>1</v>
      </c>
      <c r="J3" s="3152" t="s">
        <v>3934</v>
      </c>
      <c r="K3" s="3152">
        <v>101</v>
      </c>
      <c r="L3" s="3152">
        <v>44140.36</v>
      </c>
      <c r="M3" s="3153">
        <v>10210.65</v>
      </c>
      <c r="N3" s="3148" t="s">
        <v>4274</v>
      </c>
    </row>
    <row r="4" spans="1:14">
      <c r="A4" s="3148">
        <v>2</v>
      </c>
      <c r="B4" s="3152" t="s">
        <v>3514</v>
      </c>
      <c r="C4" s="3152" t="s">
        <v>3515</v>
      </c>
      <c r="D4" s="3152">
        <v>36.56</v>
      </c>
      <c r="E4" s="3153">
        <v>11.21</v>
      </c>
      <c r="F4" s="3148" t="s">
        <v>4273</v>
      </c>
      <c r="I4" s="3148">
        <v>2</v>
      </c>
      <c r="J4" s="3152" t="s">
        <v>3935</v>
      </c>
      <c r="K4" s="3152" t="s">
        <v>3936</v>
      </c>
      <c r="L4" s="3152">
        <v>41.97</v>
      </c>
      <c r="M4" s="3153">
        <v>9.7100000000000009</v>
      </c>
      <c r="N4" s="3148" t="s">
        <v>4273</v>
      </c>
    </row>
    <row r="5" spans="1:14">
      <c r="A5" s="3148">
        <v>3</v>
      </c>
      <c r="B5" s="3152" t="s">
        <v>3514</v>
      </c>
      <c r="C5" s="3152" t="s">
        <v>3516</v>
      </c>
      <c r="D5" s="3152">
        <v>36.56</v>
      </c>
      <c r="E5" s="3153">
        <v>11.21</v>
      </c>
      <c r="F5" s="3148" t="s">
        <v>4273</v>
      </c>
      <c r="I5" s="3148">
        <v>3</v>
      </c>
      <c r="J5" s="3152" t="s">
        <v>3935</v>
      </c>
      <c r="K5" s="3152" t="s">
        <v>3937</v>
      </c>
      <c r="L5" s="3152">
        <v>43.78</v>
      </c>
      <c r="M5" s="3153">
        <v>10.130000000000001</v>
      </c>
      <c r="N5" s="3148" t="s">
        <v>4273</v>
      </c>
    </row>
    <row r="6" spans="1:14">
      <c r="A6" s="3148">
        <v>4</v>
      </c>
      <c r="B6" s="3152" t="s">
        <v>3514</v>
      </c>
      <c r="C6" s="3152" t="s">
        <v>3517</v>
      </c>
      <c r="D6" s="3152">
        <v>36.56</v>
      </c>
      <c r="E6" s="3153">
        <v>11.21</v>
      </c>
      <c r="F6" s="3148" t="s">
        <v>4273</v>
      </c>
      <c r="I6" s="3148">
        <v>4</v>
      </c>
      <c r="J6" s="3152" t="s">
        <v>3935</v>
      </c>
      <c r="K6" s="3152" t="s">
        <v>3938</v>
      </c>
      <c r="L6" s="3152">
        <v>41.97</v>
      </c>
      <c r="M6" s="3153">
        <v>9.7100000000000009</v>
      </c>
      <c r="N6" s="3148" t="s">
        <v>4273</v>
      </c>
    </row>
    <row r="7" spans="1:14">
      <c r="A7" s="3148">
        <v>5</v>
      </c>
      <c r="B7" s="3152" t="s">
        <v>3514</v>
      </c>
      <c r="C7" s="3152" t="s">
        <v>3518</v>
      </c>
      <c r="D7" s="3152">
        <v>38.130000000000003</v>
      </c>
      <c r="E7" s="3153">
        <v>11.69</v>
      </c>
      <c r="F7" s="3148" t="s">
        <v>4273</v>
      </c>
      <c r="I7" s="3148">
        <v>5</v>
      </c>
      <c r="J7" s="3152" t="s">
        <v>3935</v>
      </c>
      <c r="K7" s="3152" t="s">
        <v>3939</v>
      </c>
      <c r="L7" s="3152">
        <v>41.97</v>
      </c>
      <c r="M7" s="3153">
        <v>9.7100000000000009</v>
      </c>
      <c r="N7" s="3148" t="s">
        <v>4273</v>
      </c>
    </row>
    <row r="8" spans="1:14">
      <c r="A8" s="3148">
        <v>6</v>
      </c>
      <c r="B8" s="3152" t="s">
        <v>3514</v>
      </c>
      <c r="C8" s="3152" t="s">
        <v>3519</v>
      </c>
      <c r="D8" s="3152">
        <v>36.56</v>
      </c>
      <c r="E8" s="3153">
        <v>11.21</v>
      </c>
      <c r="F8" s="3148" t="s">
        <v>4273</v>
      </c>
      <c r="I8" s="3148">
        <v>6</v>
      </c>
      <c r="J8" s="3152" t="s">
        <v>3935</v>
      </c>
      <c r="K8" s="3152" t="s">
        <v>3940</v>
      </c>
      <c r="L8" s="3152">
        <v>41.97</v>
      </c>
      <c r="M8" s="3153">
        <v>9.7100000000000009</v>
      </c>
      <c r="N8" s="3148" t="s">
        <v>4273</v>
      </c>
    </row>
    <row r="9" spans="1:14">
      <c r="A9" s="3148">
        <v>7</v>
      </c>
      <c r="B9" s="3152" t="s">
        <v>3514</v>
      </c>
      <c r="C9" s="3152" t="s">
        <v>3520</v>
      </c>
      <c r="D9" s="3152">
        <v>36.56</v>
      </c>
      <c r="E9" s="3153">
        <v>11.21</v>
      </c>
      <c r="F9" s="3148" t="s">
        <v>4273</v>
      </c>
      <c r="I9" s="3148">
        <v>7</v>
      </c>
      <c r="J9" s="3152" t="s">
        <v>3935</v>
      </c>
      <c r="K9" s="3152" t="s">
        <v>3941</v>
      </c>
      <c r="L9" s="3152">
        <v>41.97</v>
      </c>
      <c r="M9" s="3153">
        <v>9.7100000000000009</v>
      </c>
      <c r="N9" s="3148" t="s">
        <v>4273</v>
      </c>
    </row>
    <row r="10" spans="1:14">
      <c r="A10" s="3148">
        <v>8</v>
      </c>
      <c r="B10" s="3152" t="s">
        <v>3514</v>
      </c>
      <c r="C10" s="3152" t="s">
        <v>3521</v>
      </c>
      <c r="D10" s="3152">
        <v>38.130000000000003</v>
      </c>
      <c r="E10" s="3153">
        <v>11.69</v>
      </c>
      <c r="F10" s="3148" t="s">
        <v>4273</v>
      </c>
      <c r="I10" s="3148">
        <v>8</v>
      </c>
      <c r="J10" s="3152" t="s">
        <v>3935</v>
      </c>
      <c r="K10" s="3152" t="s">
        <v>3942</v>
      </c>
      <c r="L10" s="3152">
        <v>43.78</v>
      </c>
      <c r="M10" s="3153">
        <v>10.130000000000001</v>
      </c>
      <c r="N10" s="3148" t="s">
        <v>4273</v>
      </c>
    </row>
    <row r="11" spans="1:14">
      <c r="A11" s="3148">
        <v>9</v>
      </c>
      <c r="B11" s="3152" t="s">
        <v>3514</v>
      </c>
      <c r="C11" s="3152" t="s">
        <v>3522</v>
      </c>
      <c r="D11" s="3152">
        <v>36.56</v>
      </c>
      <c r="E11" s="3153">
        <v>11.21</v>
      </c>
      <c r="F11" s="3148" t="s">
        <v>4273</v>
      </c>
      <c r="I11" s="3148">
        <v>9</v>
      </c>
      <c r="J11" s="3152" t="s">
        <v>3935</v>
      </c>
      <c r="K11" s="3152" t="s">
        <v>3943</v>
      </c>
      <c r="L11" s="3152">
        <v>41.97</v>
      </c>
      <c r="M11" s="3153">
        <v>9.7100000000000009</v>
      </c>
      <c r="N11" s="3148" t="s">
        <v>4273</v>
      </c>
    </row>
    <row r="12" spans="1:14">
      <c r="A12" s="3148">
        <v>10</v>
      </c>
      <c r="B12" s="3152" t="s">
        <v>3514</v>
      </c>
      <c r="C12" s="3152" t="s">
        <v>3523</v>
      </c>
      <c r="D12" s="3152">
        <v>36.56</v>
      </c>
      <c r="E12" s="3153">
        <v>11.21</v>
      </c>
      <c r="F12" s="3148" t="s">
        <v>4273</v>
      </c>
      <c r="I12" s="3148">
        <v>10</v>
      </c>
      <c r="J12" s="3152" t="s">
        <v>3935</v>
      </c>
      <c r="K12" s="3152" t="s">
        <v>3944</v>
      </c>
      <c r="L12" s="3152">
        <v>41.97</v>
      </c>
      <c r="M12" s="3153">
        <v>9.7100000000000009</v>
      </c>
      <c r="N12" s="3148" t="s">
        <v>4273</v>
      </c>
    </row>
    <row r="13" spans="1:14">
      <c r="A13" s="3148">
        <v>11</v>
      </c>
      <c r="B13" s="3152" t="s">
        <v>3514</v>
      </c>
      <c r="C13" s="3152" t="s">
        <v>3524</v>
      </c>
      <c r="D13" s="3152">
        <v>38.130000000000003</v>
      </c>
      <c r="E13" s="3153">
        <v>11.69</v>
      </c>
      <c r="F13" s="3148" t="s">
        <v>4273</v>
      </c>
      <c r="I13" s="3148">
        <v>11</v>
      </c>
      <c r="J13" s="3152" t="s">
        <v>3935</v>
      </c>
      <c r="K13" s="3152" t="s">
        <v>3945</v>
      </c>
      <c r="L13" s="3152">
        <v>43.78</v>
      </c>
      <c r="M13" s="3153">
        <v>10.130000000000001</v>
      </c>
      <c r="N13" s="3148" t="s">
        <v>4273</v>
      </c>
    </row>
    <row r="14" spans="1:14">
      <c r="A14" s="3148">
        <v>12</v>
      </c>
      <c r="B14" s="3152" t="s">
        <v>3514</v>
      </c>
      <c r="C14" s="3152" t="s">
        <v>3525</v>
      </c>
      <c r="D14" s="3152">
        <v>36.56</v>
      </c>
      <c r="E14" s="3153">
        <v>11.21</v>
      </c>
      <c r="F14" s="3148" t="s">
        <v>4273</v>
      </c>
      <c r="I14" s="3148">
        <v>12</v>
      </c>
      <c r="J14" s="3152" t="s">
        <v>3935</v>
      </c>
      <c r="K14" s="3152" t="s">
        <v>3946</v>
      </c>
      <c r="L14" s="3152">
        <v>41.97</v>
      </c>
      <c r="M14" s="3153">
        <v>9.7100000000000009</v>
      </c>
      <c r="N14" s="3148" t="s">
        <v>4273</v>
      </c>
    </row>
    <row r="15" spans="1:14">
      <c r="A15" s="3148">
        <v>13</v>
      </c>
      <c r="B15" s="3152" t="s">
        <v>3514</v>
      </c>
      <c r="C15" s="3152" t="s">
        <v>3526</v>
      </c>
      <c r="D15" s="3152">
        <v>36.56</v>
      </c>
      <c r="E15" s="3153">
        <v>11.21</v>
      </c>
      <c r="F15" s="3148" t="s">
        <v>4273</v>
      </c>
      <c r="I15" s="3148">
        <v>13</v>
      </c>
      <c r="J15" s="3152" t="s">
        <v>3935</v>
      </c>
      <c r="K15" s="3152" t="s">
        <v>3947</v>
      </c>
      <c r="L15" s="3152">
        <v>41.97</v>
      </c>
      <c r="M15" s="3153">
        <v>9.7100000000000009</v>
      </c>
      <c r="N15" s="3148" t="s">
        <v>4273</v>
      </c>
    </row>
    <row r="16" spans="1:14">
      <c r="A16" s="3148">
        <v>14</v>
      </c>
      <c r="B16" s="3152" t="s">
        <v>3514</v>
      </c>
      <c r="C16" s="3152" t="s">
        <v>3527</v>
      </c>
      <c r="D16" s="3152">
        <v>38.130000000000003</v>
      </c>
      <c r="E16" s="3153">
        <v>11.69</v>
      </c>
      <c r="F16" s="3148" t="s">
        <v>4273</v>
      </c>
      <c r="I16" s="3148">
        <v>14</v>
      </c>
      <c r="J16" s="3152" t="s">
        <v>3935</v>
      </c>
      <c r="K16" s="3152" t="s">
        <v>3948</v>
      </c>
      <c r="L16" s="3152">
        <v>41.97</v>
      </c>
      <c r="M16" s="3153">
        <v>9.7100000000000009</v>
      </c>
      <c r="N16" s="3148" t="s">
        <v>4273</v>
      </c>
    </row>
    <row r="17" spans="1:14">
      <c r="A17" s="3148">
        <v>15</v>
      </c>
      <c r="B17" s="3152" t="s">
        <v>3514</v>
      </c>
      <c r="C17" s="3152" t="s">
        <v>3528</v>
      </c>
      <c r="D17" s="3152">
        <v>36.56</v>
      </c>
      <c r="E17" s="3153">
        <v>11.21</v>
      </c>
      <c r="F17" s="3148" t="s">
        <v>4273</v>
      </c>
      <c r="I17" s="3148">
        <v>15</v>
      </c>
      <c r="J17" s="3152" t="s">
        <v>3935</v>
      </c>
      <c r="K17" s="3152" t="s">
        <v>3949</v>
      </c>
      <c r="L17" s="3152">
        <v>41.97</v>
      </c>
      <c r="M17" s="3153">
        <v>9.7100000000000009</v>
      </c>
      <c r="N17" s="3148" t="s">
        <v>4273</v>
      </c>
    </row>
    <row r="18" spans="1:14">
      <c r="A18" s="3148">
        <v>16</v>
      </c>
      <c r="B18" s="3152" t="s">
        <v>3514</v>
      </c>
      <c r="C18" s="3152" t="s">
        <v>3529</v>
      </c>
      <c r="D18" s="3152">
        <v>38.130000000000003</v>
      </c>
      <c r="E18" s="3153">
        <v>11.69</v>
      </c>
      <c r="F18" s="3148" t="s">
        <v>4273</v>
      </c>
      <c r="I18" s="3148">
        <v>16</v>
      </c>
      <c r="J18" s="3152" t="s">
        <v>3935</v>
      </c>
      <c r="K18" s="3152" t="s">
        <v>3950</v>
      </c>
      <c r="L18" s="3152">
        <v>41.97</v>
      </c>
      <c r="M18" s="3153">
        <v>9.7100000000000009</v>
      </c>
      <c r="N18" s="3148" t="s">
        <v>4273</v>
      </c>
    </row>
    <row r="19" spans="1:14">
      <c r="A19" s="3148">
        <v>17</v>
      </c>
      <c r="B19" s="3152" t="s">
        <v>3514</v>
      </c>
      <c r="C19" s="3152" t="s">
        <v>3530</v>
      </c>
      <c r="D19" s="3152">
        <v>36.56</v>
      </c>
      <c r="E19" s="3153">
        <v>11.21</v>
      </c>
      <c r="F19" s="3148" t="s">
        <v>4273</v>
      </c>
      <c r="I19" s="3148">
        <v>17</v>
      </c>
      <c r="J19" s="3152" t="s">
        <v>3935</v>
      </c>
      <c r="K19" s="3152" t="s">
        <v>3951</v>
      </c>
      <c r="L19" s="3152">
        <v>34.21</v>
      </c>
      <c r="M19" s="3153">
        <v>7.91</v>
      </c>
      <c r="N19" s="3148" t="s">
        <v>4273</v>
      </c>
    </row>
    <row r="20" spans="1:14">
      <c r="A20" s="3148">
        <v>18</v>
      </c>
      <c r="B20" s="3152" t="s">
        <v>3514</v>
      </c>
      <c r="C20" s="3152" t="s">
        <v>3531</v>
      </c>
      <c r="D20" s="3152">
        <v>38.130000000000003</v>
      </c>
      <c r="E20" s="3153">
        <v>11.69</v>
      </c>
      <c r="F20" s="3148" t="s">
        <v>4273</v>
      </c>
      <c r="I20" s="3148">
        <v>18</v>
      </c>
      <c r="J20" s="3152" t="s">
        <v>3935</v>
      </c>
      <c r="K20" s="3152" t="s">
        <v>3952</v>
      </c>
      <c r="L20" s="3152">
        <v>43.78</v>
      </c>
      <c r="M20" s="3153">
        <v>10.130000000000001</v>
      </c>
      <c r="N20" s="3148" t="s">
        <v>4273</v>
      </c>
    </row>
    <row r="21" spans="1:14">
      <c r="A21" s="3148">
        <v>19</v>
      </c>
      <c r="B21" s="3152" t="s">
        <v>3514</v>
      </c>
      <c r="C21" s="3152" t="s">
        <v>3532</v>
      </c>
      <c r="D21" s="3152">
        <v>36.56</v>
      </c>
      <c r="E21" s="3153">
        <v>11.21</v>
      </c>
      <c r="F21" s="3148" t="s">
        <v>4273</v>
      </c>
      <c r="I21" s="3148">
        <v>19</v>
      </c>
      <c r="J21" s="3152" t="s">
        <v>3935</v>
      </c>
      <c r="K21" s="3152" t="s">
        <v>3953</v>
      </c>
      <c r="L21" s="3152">
        <v>41.97</v>
      </c>
      <c r="M21" s="3153">
        <v>9.7100000000000009</v>
      </c>
      <c r="N21" s="3148" t="s">
        <v>4273</v>
      </c>
    </row>
    <row r="22" spans="1:14">
      <c r="A22" s="3148">
        <v>20</v>
      </c>
      <c r="B22" s="3152" t="s">
        <v>3514</v>
      </c>
      <c r="C22" s="3152" t="s">
        <v>3533</v>
      </c>
      <c r="D22" s="3152">
        <v>36.56</v>
      </c>
      <c r="E22" s="3153">
        <v>11.21</v>
      </c>
      <c r="F22" s="3148" t="s">
        <v>4273</v>
      </c>
      <c r="I22" s="3148">
        <v>20</v>
      </c>
      <c r="J22" s="3152" t="s">
        <v>3935</v>
      </c>
      <c r="K22" s="3152" t="s">
        <v>3954</v>
      </c>
      <c r="L22" s="3152">
        <v>41.97</v>
      </c>
      <c r="M22" s="3153">
        <v>9.7100000000000009</v>
      </c>
      <c r="N22" s="3148" t="s">
        <v>4273</v>
      </c>
    </row>
    <row r="23" spans="1:14">
      <c r="A23" s="3148">
        <v>21</v>
      </c>
      <c r="B23" s="3152" t="s">
        <v>3514</v>
      </c>
      <c r="C23" s="3152" t="s">
        <v>3534</v>
      </c>
      <c r="D23" s="3152">
        <v>38.130000000000003</v>
      </c>
      <c r="E23" s="3153">
        <v>11.69</v>
      </c>
      <c r="F23" s="3148" t="s">
        <v>4273</v>
      </c>
      <c r="I23" s="3148">
        <v>21</v>
      </c>
      <c r="J23" s="3152" t="s">
        <v>3935</v>
      </c>
      <c r="K23" s="3152" t="s">
        <v>3955</v>
      </c>
      <c r="L23" s="3152">
        <v>43.78</v>
      </c>
      <c r="M23" s="3153">
        <v>10.130000000000001</v>
      </c>
      <c r="N23" s="3148" t="s">
        <v>4273</v>
      </c>
    </row>
    <row r="24" spans="1:14">
      <c r="A24" s="3148">
        <v>22</v>
      </c>
      <c r="B24" s="3152" t="s">
        <v>3514</v>
      </c>
      <c r="C24" s="3152" t="s">
        <v>3535</v>
      </c>
      <c r="D24" s="3152">
        <v>36.56</v>
      </c>
      <c r="E24" s="3153">
        <v>11.21</v>
      </c>
      <c r="F24" s="3148" t="s">
        <v>4273</v>
      </c>
      <c r="I24" s="3148">
        <v>22</v>
      </c>
      <c r="J24" s="3152" t="s">
        <v>3935</v>
      </c>
      <c r="K24" s="3152" t="s">
        <v>3956</v>
      </c>
      <c r="L24" s="3152">
        <v>41.97</v>
      </c>
      <c r="M24" s="3153">
        <v>9.7100000000000009</v>
      </c>
      <c r="N24" s="3148" t="s">
        <v>4273</v>
      </c>
    </row>
    <row r="25" spans="1:14">
      <c r="A25" s="3148">
        <v>23</v>
      </c>
      <c r="B25" s="3152" t="s">
        <v>3514</v>
      </c>
      <c r="C25" s="3152" t="s">
        <v>3536</v>
      </c>
      <c r="D25" s="3152">
        <v>47.66</v>
      </c>
      <c r="E25" s="3153">
        <v>14.61</v>
      </c>
      <c r="F25" s="3148" t="s">
        <v>4273</v>
      </c>
      <c r="I25" s="3148">
        <v>23</v>
      </c>
      <c r="J25" s="3152" t="s">
        <v>3935</v>
      </c>
      <c r="K25" s="3152" t="s">
        <v>3957</v>
      </c>
      <c r="L25" s="3152">
        <v>41.97</v>
      </c>
      <c r="M25" s="3153">
        <v>9.7100000000000009</v>
      </c>
      <c r="N25" s="3148" t="s">
        <v>4273</v>
      </c>
    </row>
    <row r="26" spans="1:14">
      <c r="A26" s="3148">
        <v>24</v>
      </c>
      <c r="B26" s="3152" t="s">
        <v>3514</v>
      </c>
      <c r="C26" s="3152" t="s">
        <v>3537</v>
      </c>
      <c r="D26" s="3152">
        <v>50.84</v>
      </c>
      <c r="E26" s="3153">
        <v>15.59</v>
      </c>
      <c r="F26" s="3148" t="s">
        <v>4273</v>
      </c>
      <c r="I26" s="3148">
        <v>24</v>
      </c>
      <c r="J26" s="3152" t="s">
        <v>3935</v>
      </c>
      <c r="K26" s="3152" t="s">
        <v>3958</v>
      </c>
      <c r="L26" s="3152">
        <v>43.78</v>
      </c>
      <c r="M26" s="3153">
        <v>10.130000000000001</v>
      </c>
      <c r="N26" s="3148" t="s">
        <v>4273</v>
      </c>
    </row>
    <row r="27" spans="1:14">
      <c r="A27" s="3148">
        <v>25</v>
      </c>
      <c r="B27" s="3152" t="s">
        <v>3514</v>
      </c>
      <c r="C27" s="3152" t="s">
        <v>3538</v>
      </c>
      <c r="D27" s="3152">
        <v>50.84</v>
      </c>
      <c r="E27" s="3153">
        <v>15.59</v>
      </c>
      <c r="F27" s="3148" t="s">
        <v>4273</v>
      </c>
      <c r="I27" s="3148">
        <v>25</v>
      </c>
      <c r="J27" s="3152" t="s">
        <v>3935</v>
      </c>
      <c r="K27" s="3152" t="s">
        <v>3959</v>
      </c>
      <c r="L27" s="3152">
        <v>41.97</v>
      </c>
      <c r="M27" s="3153">
        <v>9.7100000000000009</v>
      </c>
      <c r="N27" s="3148" t="s">
        <v>4273</v>
      </c>
    </row>
    <row r="28" spans="1:14">
      <c r="A28" s="3148">
        <v>26</v>
      </c>
      <c r="B28" s="3152" t="s">
        <v>3514</v>
      </c>
      <c r="C28" s="3152" t="s">
        <v>3539</v>
      </c>
      <c r="D28" s="3152">
        <v>47.66</v>
      </c>
      <c r="E28" s="3153">
        <v>14.61</v>
      </c>
      <c r="F28" s="3148" t="s">
        <v>4273</v>
      </c>
      <c r="I28" s="3148">
        <v>26</v>
      </c>
      <c r="J28" s="3152" t="s">
        <v>3935</v>
      </c>
      <c r="K28" s="3152" t="s">
        <v>3960</v>
      </c>
      <c r="L28" s="3152">
        <v>41.97</v>
      </c>
      <c r="M28" s="3153">
        <v>9.7100000000000009</v>
      </c>
      <c r="N28" s="3148" t="s">
        <v>4273</v>
      </c>
    </row>
    <row r="29" spans="1:14">
      <c r="A29" s="3148">
        <v>27</v>
      </c>
      <c r="B29" s="3152" t="s">
        <v>3514</v>
      </c>
      <c r="C29" s="3152" t="s">
        <v>3540</v>
      </c>
      <c r="D29" s="3152">
        <v>38.130000000000003</v>
      </c>
      <c r="E29" s="3153">
        <v>11.69</v>
      </c>
      <c r="F29" s="3148" t="s">
        <v>4273</v>
      </c>
      <c r="I29" s="3148">
        <v>27</v>
      </c>
      <c r="J29" s="3152" t="s">
        <v>3935</v>
      </c>
      <c r="K29" s="3152" t="s">
        <v>3961</v>
      </c>
      <c r="L29" s="3152">
        <v>41.97</v>
      </c>
      <c r="M29" s="3153">
        <v>9.7100000000000009</v>
      </c>
      <c r="N29" s="3148" t="s">
        <v>4273</v>
      </c>
    </row>
    <row r="30" spans="1:14">
      <c r="A30" s="3148">
        <v>28</v>
      </c>
      <c r="B30" s="3152" t="s">
        <v>3514</v>
      </c>
      <c r="C30" s="3152" t="s">
        <v>3541</v>
      </c>
      <c r="D30" s="3152">
        <v>34.06</v>
      </c>
      <c r="E30" s="3153">
        <v>10.44</v>
      </c>
      <c r="F30" s="3148" t="s">
        <v>4273</v>
      </c>
      <c r="I30" s="3148">
        <v>28</v>
      </c>
      <c r="J30" s="3152" t="s">
        <v>3935</v>
      </c>
      <c r="K30" s="3152" t="s">
        <v>3962</v>
      </c>
      <c r="L30" s="3152">
        <v>41.97</v>
      </c>
      <c r="M30" s="3153">
        <v>9.7100000000000009</v>
      </c>
      <c r="N30" s="3148" t="s">
        <v>4273</v>
      </c>
    </row>
    <row r="31" spans="1:14">
      <c r="A31" s="3148">
        <v>29</v>
      </c>
      <c r="B31" s="3152" t="s">
        <v>3514</v>
      </c>
      <c r="C31" s="3152" t="s">
        <v>3542</v>
      </c>
      <c r="D31" s="3152">
        <v>35.54</v>
      </c>
      <c r="E31" s="3153">
        <v>10.9</v>
      </c>
      <c r="F31" s="3148" t="s">
        <v>4273</v>
      </c>
      <c r="I31" s="3148">
        <v>29</v>
      </c>
      <c r="J31" s="3152" t="s">
        <v>3935</v>
      </c>
      <c r="K31" s="3152" t="s">
        <v>3963</v>
      </c>
      <c r="L31" s="3152">
        <v>41.97</v>
      </c>
      <c r="M31" s="3153">
        <v>9.7100000000000009</v>
      </c>
      <c r="N31" s="3148" t="s">
        <v>4273</v>
      </c>
    </row>
    <row r="32" spans="1:14">
      <c r="A32" s="3148">
        <v>30</v>
      </c>
      <c r="B32" s="3152" t="s">
        <v>3514</v>
      </c>
      <c r="C32" s="3152" t="s">
        <v>3543</v>
      </c>
      <c r="D32" s="3152">
        <v>34.06</v>
      </c>
      <c r="E32" s="3153">
        <v>10.44</v>
      </c>
      <c r="F32" s="3148" t="s">
        <v>4273</v>
      </c>
      <c r="I32" s="3148">
        <v>30</v>
      </c>
      <c r="J32" s="3152" t="s">
        <v>3935</v>
      </c>
      <c r="K32" s="3152" t="s">
        <v>3964</v>
      </c>
      <c r="L32" s="3152">
        <v>43.78</v>
      </c>
      <c r="M32" s="3153">
        <v>10.130000000000001</v>
      </c>
      <c r="N32" s="3148" t="s">
        <v>4273</v>
      </c>
    </row>
    <row r="33" spans="1:14">
      <c r="A33" s="3148">
        <v>31</v>
      </c>
      <c r="B33" s="3152" t="s">
        <v>3514</v>
      </c>
      <c r="C33" s="3152" t="s">
        <v>3544</v>
      </c>
      <c r="D33" s="3152">
        <v>34.06</v>
      </c>
      <c r="E33" s="3153">
        <v>10.44</v>
      </c>
      <c r="F33" s="3148" t="s">
        <v>4273</v>
      </c>
      <c r="I33" s="3148">
        <v>31</v>
      </c>
      <c r="J33" s="3152" t="s">
        <v>3935</v>
      </c>
      <c r="K33" s="3152" t="s">
        <v>3965</v>
      </c>
      <c r="L33" s="3152">
        <v>41.97</v>
      </c>
      <c r="M33" s="3153">
        <v>9.7100000000000009</v>
      </c>
      <c r="N33" s="3148" t="s">
        <v>4273</v>
      </c>
    </row>
    <row r="34" spans="1:14">
      <c r="A34" s="3148">
        <v>32</v>
      </c>
      <c r="B34" s="3152" t="s">
        <v>3514</v>
      </c>
      <c r="C34" s="3152" t="s">
        <v>3545</v>
      </c>
      <c r="D34" s="3152">
        <v>35.54</v>
      </c>
      <c r="E34" s="3153">
        <v>10.9</v>
      </c>
      <c r="F34" s="3148" t="s">
        <v>4273</v>
      </c>
      <c r="I34" s="3148">
        <v>32</v>
      </c>
      <c r="J34" s="3152" t="s">
        <v>3935</v>
      </c>
      <c r="K34" s="3152" t="s">
        <v>3966</v>
      </c>
      <c r="L34" s="3152">
        <v>41.97</v>
      </c>
      <c r="M34" s="3153">
        <v>9.7100000000000009</v>
      </c>
      <c r="N34" s="3148" t="s">
        <v>4273</v>
      </c>
    </row>
    <row r="35" spans="1:14">
      <c r="A35" s="3148">
        <v>33</v>
      </c>
      <c r="B35" s="3152" t="s">
        <v>3514</v>
      </c>
      <c r="C35" s="3152" t="s">
        <v>3546</v>
      </c>
      <c r="D35" s="3152">
        <v>34.06</v>
      </c>
      <c r="E35" s="3153">
        <v>10.44</v>
      </c>
      <c r="F35" s="3148" t="s">
        <v>4273</v>
      </c>
      <c r="I35" s="3148">
        <v>33</v>
      </c>
      <c r="J35" s="3152" t="s">
        <v>3935</v>
      </c>
      <c r="K35" s="3152" t="s">
        <v>3967</v>
      </c>
      <c r="L35" s="3152">
        <v>41.97</v>
      </c>
      <c r="M35" s="3153">
        <v>9.7100000000000009</v>
      </c>
      <c r="N35" s="3148" t="s">
        <v>4273</v>
      </c>
    </row>
    <row r="36" spans="1:14">
      <c r="A36" s="3148">
        <v>34</v>
      </c>
      <c r="B36" s="3152" t="s">
        <v>3514</v>
      </c>
      <c r="C36" s="3152" t="s">
        <v>3547</v>
      </c>
      <c r="D36" s="3152">
        <v>36.56</v>
      </c>
      <c r="E36" s="3153">
        <v>11.21</v>
      </c>
      <c r="F36" s="3148" t="s">
        <v>4273</v>
      </c>
      <c r="I36" s="3148">
        <v>34</v>
      </c>
      <c r="J36" s="3152" t="s">
        <v>3935</v>
      </c>
      <c r="K36" s="3152" t="s">
        <v>3968</v>
      </c>
      <c r="L36" s="3152">
        <v>41.97</v>
      </c>
      <c r="M36" s="3153">
        <v>9.7100000000000009</v>
      </c>
      <c r="N36" s="3148" t="s">
        <v>4273</v>
      </c>
    </row>
    <row r="37" spans="1:14">
      <c r="A37" s="3148">
        <v>35</v>
      </c>
      <c r="B37" s="3152" t="s">
        <v>3514</v>
      </c>
      <c r="C37" s="3152" t="s">
        <v>3548</v>
      </c>
      <c r="D37" s="3152">
        <v>38.130000000000003</v>
      </c>
      <c r="E37" s="3153">
        <v>11.69</v>
      </c>
      <c r="F37" s="3148" t="s">
        <v>4273</v>
      </c>
      <c r="I37" s="3148">
        <v>35</v>
      </c>
      <c r="J37" s="3152" t="s">
        <v>3935</v>
      </c>
      <c r="K37" s="3152" t="s">
        <v>3969</v>
      </c>
      <c r="L37" s="3152">
        <v>43.78</v>
      </c>
      <c r="M37" s="3153">
        <v>10.130000000000001</v>
      </c>
      <c r="N37" s="3148" t="s">
        <v>4273</v>
      </c>
    </row>
    <row r="38" spans="1:14">
      <c r="A38" s="3148">
        <v>36</v>
      </c>
      <c r="B38" s="3152" t="s">
        <v>3514</v>
      </c>
      <c r="C38" s="3152" t="s">
        <v>3549</v>
      </c>
      <c r="D38" s="3152">
        <v>38.130000000000003</v>
      </c>
      <c r="E38" s="3153">
        <v>11.69</v>
      </c>
      <c r="F38" s="3148" t="s">
        <v>4273</v>
      </c>
      <c r="I38" s="3148">
        <v>36</v>
      </c>
      <c r="J38" s="3152" t="s">
        <v>3935</v>
      </c>
      <c r="K38" s="3152" t="s">
        <v>3970</v>
      </c>
      <c r="L38" s="3152">
        <v>41.97</v>
      </c>
      <c r="M38" s="3153">
        <v>9.7100000000000009</v>
      </c>
      <c r="N38" s="3148" t="s">
        <v>4273</v>
      </c>
    </row>
    <row r="39" spans="1:14">
      <c r="A39" s="3148">
        <v>37</v>
      </c>
      <c r="B39" s="3152" t="s">
        <v>3514</v>
      </c>
      <c r="C39" s="3152" t="s">
        <v>3550</v>
      </c>
      <c r="D39" s="3152">
        <v>36.56</v>
      </c>
      <c r="E39" s="3153">
        <v>11.21</v>
      </c>
      <c r="F39" s="3148" t="s">
        <v>4273</v>
      </c>
      <c r="I39" s="3148">
        <v>37</v>
      </c>
      <c r="J39" s="3152" t="s">
        <v>3935</v>
      </c>
      <c r="K39" s="3152" t="s">
        <v>3971</v>
      </c>
      <c r="L39" s="3152">
        <v>41.97</v>
      </c>
      <c r="M39" s="3153">
        <v>9.7100000000000009</v>
      </c>
      <c r="N39" s="3148" t="s">
        <v>4273</v>
      </c>
    </row>
    <row r="40" spans="1:14">
      <c r="A40" s="3148">
        <v>38</v>
      </c>
      <c r="B40" s="3152" t="s">
        <v>3514</v>
      </c>
      <c r="C40" s="3152" t="s">
        <v>3551</v>
      </c>
      <c r="D40" s="3152">
        <v>50.84</v>
      </c>
      <c r="E40" s="3153">
        <v>15.59</v>
      </c>
      <c r="F40" s="3148" t="s">
        <v>4273</v>
      </c>
      <c r="I40" s="3148">
        <v>38</v>
      </c>
      <c r="J40" s="3152" t="s">
        <v>3935</v>
      </c>
      <c r="K40" s="3152" t="s">
        <v>3972</v>
      </c>
      <c r="L40" s="3152">
        <v>43.78</v>
      </c>
      <c r="M40" s="3153">
        <v>10.130000000000001</v>
      </c>
      <c r="N40" s="3148" t="s">
        <v>4273</v>
      </c>
    </row>
    <row r="41" spans="1:14">
      <c r="A41" s="3148">
        <v>39</v>
      </c>
      <c r="B41" s="3152" t="s">
        <v>3514</v>
      </c>
      <c r="C41" s="3152" t="s">
        <v>3552</v>
      </c>
      <c r="D41" s="3152">
        <v>50.84</v>
      </c>
      <c r="E41" s="3153">
        <v>15.59</v>
      </c>
      <c r="F41" s="3148" t="s">
        <v>4273</v>
      </c>
      <c r="I41" s="3148">
        <v>39</v>
      </c>
      <c r="J41" s="3152" t="s">
        <v>3935</v>
      </c>
      <c r="K41" s="3152" t="s">
        <v>3973</v>
      </c>
      <c r="L41" s="3152">
        <v>41.97</v>
      </c>
      <c r="M41" s="3153">
        <v>9.7100000000000009</v>
      </c>
      <c r="N41" s="3148" t="s">
        <v>4273</v>
      </c>
    </row>
    <row r="42" spans="1:14">
      <c r="A42" s="3148">
        <v>40</v>
      </c>
      <c r="B42" s="3152" t="s">
        <v>3514</v>
      </c>
      <c r="C42" s="3152" t="s">
        <v>3553</v>
      </c>
      <c r="D42" s="3152">
        <v>36.56</v>
      </c>
      <c r="E42" s="3153">
        <v>11.21</v>
      </c>
      <c r="F42" s="3148" t="s">
        <v>4273</v>
      </c>
      <c r="I42" s="3148">
        <v>40</v>
      </c>
      <c r="J42" s="3152" t="s">
        <v>3935</v>
      </c>
      <c r="K42" s="3152" t="s">
        <v>3974</v>
      </c>
      <c r="L42" s="3152">
        <v>41.97</v>
      </c>
      <c r="M42" s="3153">
        <v>9.7100000000000009</v>
      </c>
      <c r="N42" s="3148" t="s">
        <v>4273</v>
      </c>
    </row>
    <row r="43" spans="1:14">
      <c r="A43" s="3148">
        <v>41</v>
      </c>
      <c r="B43" s="3152" t="s">
        <v>3514</v>
      </c>
      <c r="C43" s="3152" t="s">
        <v>3554</v>
      </c>
      <c r="D43" s="3152">
        <v>38.130000000000003</v>
      </c>
      <c r="E43" s="3153">
        <v>11.69</v>
      </c>
      <c r="F43" s="3148" t="s">
        <v>4273</v>
      </c>
      <c r="I43" s="3148">
        <v>41</v>
      </c>
      <c r="J43" s="3152" t="s">
        <v>3935</v>
      </c>
      <c r="K43" s="3152" t="s">
        <v>3975</v>
      </c>
      <c r="L43" s="3152">
        <v>43.78</v>
      </c>
      <c r="M43" s="3153">
        <v>10.130000000000001</v>
      </c>
      <c r="N43" s="3148" t="s">
        <v>4273</v>
      </c>
    </row>
    <row r="44" spans="1:14">
      <c r="A44" s="3148">
        <v>42</v>
      </c>
      <c r="B44" s="3152" t="s">
        <v>3514</v>
      </c>
      <c r="C44" s="3152" t="s">
        <v>3555</v>
      </c>
      <c r="D44" s="3152">
        <v>36.56</v>
      </c>
      <c r="E44" s="3153">
        <v>11.21</v>
      </c>
      <c r="F44" s="3148" t="s">
        <v>4273</v>
      </c>
      <c r="I44" s="3148">
        <v>42</v>
      </c>
      <c r="J44" s="3152" t="s">
        <v>3935</v>
      </c>
      <c r="K44" s="3152" t="s">
        <v>3976</v>
      </c>
      <c r="L44" s="3152">
        <v>41.97</v>
      </c>
      <c r="M44" s="3153">
        <v>9.7100000000000009</v>
      </c>
      <c r="N44" s="3148" t="s">
        <v>4273</v>
      </c>
    </row>
    <row r="45" spans="1:14">
      <c r="A45" s="3148">
        <v>43</v>
      </c>
      <c r="B45" s="3152" t="s">
        <v>3514</v>
      </c>
      <c r="C45" s="3152" t="s">
        <v>3556</v>
      </c>
      <c r="D45" s="3152">
        <v>36.56</v>
      </c>
      <c r="E45" s="3153">
        <v>11.21</v>
      </c>
      <c r="F45" s="3148" t="s">
        <v>4273</v>
      </c>
      <c r="I45" s="3148">
        <v>43</v>
      </c>
      <c r="J45" s="3152" t="s">
        <v>3935</v>
      </c>
      <c r="K45" s="3152" t="s">
        <v>3977</v>
      </c>
      <c r="L45" s="3152">
        <v>41.97</v>
      </c>
      <c r="M45" s="3153">
        <v>9.7100000000000009</v>
      </c>
      <c r="N45" s="3148" t="s">
        <v>4273</v>
      </c>
    </row>
    <row r="46" spans="1:14">
      <c r="A46" s="3148">
        <v>44</v>
      </c>
      <c r="B46" s="3152" t="s">
        <v>3514</v>
      </c>
      <c r="C46" s="3152" t="s">
        <v>3557</v>
      </c>
      <c r="D46" s="3152">
        <v>38.130000000000003</v>
      </c>
      <c r="E46" s="3153">
        <v>11.69</v>
      </c>
      <c r="F46" s="3148" t="s">
        <v>4273</v>
      </c>
      <c r="I46" s="3148">
        <v>44</v>
      </c>
      <c r="J46" s="3152" t="s">
        <v>3935</v>
      </c>
      <c r="K46" s="3152" t="s">
        <v>3978</v>
      </c>
      <c r="L46" s="3152">
        <v>43.78</v>
      </c>
      <c r="M46" s="3153">
        <v>10.130000000000001</v>
      </c>
      <c r="N46" s="3148" t="s">
        <v>4273</v>
      </c>
    </row>
    <row r="47" spans="1:14">
      <c r="A47" s="3148">
        <v>45</v>
      </c>
      <c r="B47" s="3152" t="s">
        <v>3514</v>
      </c>
      <c r="C47" s="3152" t="s">
        <v>3558</v>
      </c>
      <c r="D47" s="3152">
        <v>36.56</v>
      </c>
      <c r="E47" s="3153">
        <v>11.21</v>
      </c>
      <c r="F47" s="3148" t="s">
        <v>4273</v>
      </c>
      <c r="I47" s="3148">
        <v>45</v>
      </c>
      <c r="J47" s="3152" t="s">
        <v>3935</v>
      </c>
      <c r="K47" s="3152" t="s">
        <v>3979</v>
      </c>
      <c r="L47" s="3152">
        <v>41.97</v>
      </c>
      <c r="M47" s="3153">
        <v>9.7100000000000009</v>
      </c>
      <c r="N47" s="3148" t="s">
        <v>4273</v>
      </c>
    </row>
    <row r="48" spans="1:14">
      <c r="A48" s="3148">
        <v>46</v>
      </c>
      <c r="B48" s="3152" t="s">
        <v>3514</v>
      </c>
      <c r="C48" s="3152" t="s">
        <v>3559</v>
      </c>
      <c r="D48" s="3152">
        <v>36.56</v>
      </c>
      <c r="E48" s="3153">
        <v>11.21</v>
      </c>
      <c r="F48" s="3148" t="s">
        <v>4273</v>
      </c>
      <c r="I48" s="3148">
        <v>46</v>
      </c>
      <c r="J48" s="3152" t="s">
        <v>3935</v>
      </c>
      <c r="K48" s="3152" t="s">
        <v>3980</v>
      </c>
      <c r="L48" s="3152">
        <v>41.97</v>
      </c>
      <c r="M48" s="3153">
        <v>9.7100000000000009</v>
      </c>
      <c r="N48" s="3148" t="s">
        <v>4273</v>
      </c>
    </row>
    <row r="49" spans="1:14">
      <c r="A49" s="3148">
        <v>47</v>
      </c>
      <c r="B49" s="3152" t="s">
        <v>3514</v>
      </c>
      <c r="C49" s="3152" t="s">
        <v>3560</v>
      </c>
      <c r="D49" s="3152">
        <v>38.130000000000003</v>
      </c>
      <c r="E49" s="3153">
        <v>11.69</v>
      </c>
      <c r="F49" s="3148" t="s">
        <v>4273</v>
      </c>
      <c r="I49" s="3148">
        <v>47</v>
      </c>
      <c r="J49" s="3152" t="s">
        <v>3935</v>
      </c>
      <c r="K49" s="3152" t="s">
        <v>3981</v>
      </c>
      <c r="L49" s="3152">
        <v>43.78</v>
      </c>
      <c r="M49" s="3153">
        <v>10.130000000000001</v>
      </c>
      <c r="N49" s="3148" t="s">
        <v>4273</v>
      </c>
    </row>
    <row r="50" spans="1:14">
      <c r="A50" s="3148">
        <v>48</v>
      </c>
      <c r="B50" s="3152" t="s">
        <v>3514</v>
      </c>
      <c r="C50" s="3152" t="s">
        <v>3561</v>
      </c>
      <c r="D50" s="3152">
        <v>36.56</v>
      </c>
      <c r="E50" s="3153">
        <v>11.21</v>
      </c>
      <c r="F50" s="3148" t="s">
        <v>4273</v>
      </c>
      <c r="I50" s="3148">
        <v>48</v>
      </c>
      <c r="J50" s="3152" t="s">
        <v>3935</v>
      </c>
      <c r="K50" s="3152" t="s">
        <v>3982</v>
      </c>
      <c r="L50" s="3152">
        <v>41.97</v>
      </c>
      <c r="M50" s="3153">
        <v>9.7100000000000009</v>
      </c>
      <c r="N50" s="3148" t="s">
        <v>4273</v>
      </c>
    </row>
    <row r="51" spans="1:14">
      <c r="A51" s="3148">
        <v>49</v>
      </c>
      <c r="B51" s="3152" t="s">
        <v>3514</v>
      </c>
      <c r="C51" s="3152" t="s">
        <v>3562</v>
      </c>
      <c r="D51" s="3152">
        <v>36.56</v>
      </c>
      <c r="E51" s="3153">
        <v>11.21</v>
      </c>
      <c r="F51" s="3148" t="s">
        <v>4273</v>
      </c>
      <c r="I51" s="3148">
        <v>49</v>
      </c>
      <c r="J51" s="3152" t="s">
        <v>3935</v>
      </c>
      <c r="K51" s="3152" t="s">
        <v>3983</v>
      </c>
      <c r="L51" s="3152">
        <v>41.97</v>
      </c>
      <c r="M51" s="3153">
        <v>9.7100000000000009</v>
      </c>
      <c r="N51" s="3148" t="s">
        <v>4273</v>
      </c>
    </row>
    <row r="52" spans="1:14">
      <c r="A52" s="3148">
        <v>50</v>
      </c>
      <c r="B52" s="3152" t="s">
        <v>3514</v>
      </c>
      <c r="C52" s="3152" t="s">
        <v>3563</v>
      </c>
      <c r="D52" s="3152">
        <v>36.56</v>
      </c>
      <c r="E52" s="3153">
        <v>11.21</v>
      </c>
      <c r="F52" s="3148" t="s">
        <v>4273</v>
      </c>
      <c r="I52" s="3148">
        <v>50</v>
      </c>
      <c r="J52" s="3152" t="s">
        <v>3935</v>
      </c>
      <c r="K52" s="3152" t="s">
        <v>3984</v>
      </c>
      <c r="L52" s="3152">
        <v>43.78</v>
      </c>
      <c r="M52" s="3153">
        <v>10.130000000000001</v>
      </c>
      <c r="N52" s="3148" t="s">
        <v>4273</v>
      </c>
    </row>
    <row r="53" spans="1:14">
      <c r="A53" s="3148">
        <v>51</v>
      </c>
      <c r="B53" s="3152" t="s">
        <v>3514</v>
      </c>
      <c r="C53" s="3152" t="s">
        <v>3564</v>
      </c>
      <c r="D53" s="3152">
        <v>36.56</v>
      </c>
      <c r="E53" s="3153">
        <v>11.21</v>
      </c>
      <c r="F53" s="3148" t="s">
        <v>4273</v>
      </c>
      <c r="I53" s="3148">
        <v>51</v>
      </c>
      <c r="J53" s="3152" t="s">
        <v>3935</v>
      </c>
      <c r="K53" s="3152" t="s">
        <v>3985</v>
      </c>
      <c r="L53" s="3152">
        <v>41.97</v>
      </c>
      <c r="M53" s="3153">
        <v>9.7100000000000009</v>
      </c>
      <c r="N53" s="3148" t="s">
        <v>4273</v>
      </c>
    </row>
    <row r="54" spans="1:14">
      <c r="A54" s="3148">
        <v>52</v>
      </c>
      <c r="B54" s="3152" t="s">
        <v>3514</v>
      </c>
      <c r="C54" s="3152" t="s">
        <v>3565</v>
      </c>
      <c r="D54" s="3152">
        <v>38.130000000000003</v>
      </c>
      <c r="E54" s="3153">
        <v>11.69</v>
      </c>
      <c r="F54" s="3148" t="s">
        <v>4273</v>
      </c>
      <c r="I54" s="3148">
        <v>52</v>
      </c>
      <c r="J54" s="3152" t="s">
        <v>3935</v>
      </c>
      <c r="K54" s="3152" t="s">
        <v>3986</v>
      </c>
      <c r="L54" s="3152">
        <v>41.97</v>
      </c>
      <c r="M54" s="3153">
        <v>9.7100000000000009</v>
      </c>
      <c r="N54" s="3148" t="s">
        <v>4273</v>
      </c>
    </row>
    <row r="55" spans="1:14">
      <c r="A55" s="3148">
        <v>53</v>
      </c>
      <c r="B55" s="3152" t="s">
        <v>3514</v>
      </c>
      <c r="C55" s="3152" t="s">
        <v>3566</v>
      </c>
      <c r="D55" s="3152">
        <v>36.56</v>
      </c>
      <c r="E55" s="3153">
        <v>11.21</v>
      </c>
      <c r="F55" s="3148" t="s">
        <v>4273</v>
      </c>
      <c r="I55" s="3148">
        <v>53</v>
      </c>
      <c r="J55" s="3152" t="s">
        <v>3935</v>
      </c>
      <c r="K55" s="3152" t="s">
        <v>3987</v>
      </c>
      <c r="L55" s="3152">
        <v>43.78</v>
      </c>
      <c r="M55" s="3153">
        <v>10.130000000000001</v>
      </c>
      <c r="N55" s="3148" t="s">
        <v>4273</v>
      </c>
    </row>
    <row r="56" spans="1:14">
      <c r="A56" s="3148">
        <v>54</v>
      </c>
      <c r="B56" s="3152" t="s">
        <v>3514</v>
      </c>
      <c r="C56" s="3152" t="s">
        <v>3567</v>
      </c>
      <c r="D56" s="3152">
        <v>36.56</v>
      </c>
      <c r="E56" s="3153">
        <v>11.21</v>
      </c>
      <c r="F56" s="3148" t="s">
        <v>4273</v>
      </c>
      <c r="I56" s="3148">
        <v>54</v>
      </c>
      <c r="J56" s="3152" t="s">
        <v>3935</v>
      </c>
      <c r="K56" s="3152" t="s">
        <v>3988</v>
      </c>
      <c r="L56" s="3152">
        <v>41.97</v>
      </c>
      <c r="M56" s="3153">
        <v>9.7100000000000009</v>
      </c>
      <c r="N56" s="3148" t="s">
        <v>4273</v>
      </c>
    </row>
    <row r="57" spans="1:14">
      <c r="A57" s="3148">
        <v>55</v>
      </c>
      <c r="B57" s="3152" t="s">
        <v>3514</v>
      </c>
      <c r="C57" s="3152" t="s">
        <v>3568</v>
      </c>
      <c r="D57" s="3152">
        <v>38.130000000000003</v>
      </c>
      <c r="E57" s="3153">
        <v>11.69</v>
      </c>
      <c r="F57" s="3148" t="s">
        <v>4273</v>
      </c>
      <c r="I57" s="3148">
        <v>55</v>
      </c>
      <c r="J57" s="3152" t="s">
        <v>3935</v>
      </c>
      <c r="K57" s="3152" t="s">
        <v>3989</v>
      </c>
      <c r="L57" s="3152">
        <v>41.97</v>
      </c>
      <c r="M57" s="3153">
        <v>9.7100000000000009</v>
      </c>
      <c r="N57" s="3148" t="s">
        <v>4273</v>
      </c>
    </row>
    <row r="58" spans="1:14">
      <c r="A58" s="3148">
        <v>56</v>
      </c>
      <c r="B58" s="3152" t="s">
        <v>3514</v>
      </c>
      <c r="C58" s="3152" t="s">
        <v>3569</v>
      </c>
      <c r="D58" s="3152">
        <v>36.56</v>
      </c>
      <c r="E58" s="3153">
        <v>11.21</v>
      </c>
      <c r="F58" s="3148" t="s">
        <v>4273</v>
      </c>
      <c r="I58" s="3148">
        <v>56</v>
      </c>
      <c r="J58" s="3152" t="s">
        <v>3935</v>
      </c>
      <c r="K58" s="3152" t="s">
        <v>3990</v>
      </c>
      <c r="L58" s="3152">
        <v>43.78</v>
      </c>
      <c r="M58" s="3153">
        <v>10.130000000000001</v>
      </c>
      <c r="N58" s="3148" t="s">
        <v>4273</v>
      </c>
    </row>
    <row r="59" spans="1:14">
      <c r="A59" s="3148">
        <v>57</v>
      </c>
      <c r="B59" s="3152" t="s">
        <v>3514</v>
      </c>
      <c r="C59" s="3152" t="s">
        <v>3570</v>
      </c>
      <c r="D59" s="3152">
        <v>36.56</v>
      </c>
      <c r="E59" s="3153">
        <v>11.21</v>
      </c>
      <c r="F59" s="3148" t="s">
        <v>4273</v>
      </c>
      <c r="I59" s="3148">
        <v>57</v>
      </c>
      <c r="J59" s="3152" t="s">
        <v>3935</v>
      </c>
      <c r="K59" s="3152" t="s">
        <v>3991</v>
      </c>
      <c r="L59" s="3152">
        <v>41.97</v>
      </c>
      <c r="M59" s="3153">
        <v>9.7100000000000009</v>
      </c>
      <c r="N59" s="3148" t="s">
        <v>4273</v>
      </c>
    </row>
    <row r="60" spans="1:14">
      <c r="A60" s="3148">
        <v>58</v>
      </c>
      <c r="B60" s="3152" t="s">
        <v>3514</v>
      </c>
      <c r="C60" s="3152" t="s">
        <v>3571</v>
      </c>
      <c r="D60" s="3152">
        <v>36.56</v>
      </c>
      <c r="E60" s="3153">
        <v>11.21</v>
      </c>
      <c r="F60" s="3148" t="s">
        <v>4273</v>
      </c>
      <c r="I60" s="3148">
        <v>58</v>
      </c>
      <c r="J60" s="3152" t="s">
        <v>3935</v>
      </c>
      <c r="K60" s="3152" t="s">
        <v>3992</v>
      </c>
      <c r="L60" s="3152">
        <v>41.97</v>
      </c>
      <c r="M60" s="3153">
        <v>9.7100000000000009</v>
      </c>
      <c r="N60" s="3148" t="s">
        <v>4273</v>
      </c>
    </row>
    <row r="61" spans="1:14">
      <c r="A61" s="3148">
        <v>59</v>
      </c>
      <c r="B61" s="3152" t="s">
        <v>3514</v>
      </c>
      <c r="C61" s="3152" t="s">
        <v>3572</v>
      </c>
      <c r="D61" s="3152">
        <v>36.56</v>
      </c>
      <c r="E61" s="3153">
        <v>11.21</v>
      </c>
      <c r="F61" s="3148" t="s">
        <v>4273</v>
      </c>
      <c r="I61" s="3148">
        <v>59</v>
      </c>
      <c r="J61" s="3152" t="s">
        <v>3935</v>
      </c>
      <c r="K61" s="3152" t="s">
        <v>3993</v>
      </c>
      <c r="L61" s="3152">
        <v>41.97</v>
      </c>
      <c r="M61" s="3153">
        <v>9.7100000000000009</v>
      </c>
      <c r="N61" s="3148" t="s">
        <v>4273</v>
      </c>
    </row>
    <row r="62" spans="1:14">
      <c r="A62" s="3148">
        <v>60</v>
      </c>
      <c r="B62" s="3152" t="s">
        <v>3514</v>
      </c>
      <c r="C62" s="3152" t="s">
        <v>3573</v>
      </c>
      <c r="D62" s="3152">
        <v>38.130000000000003</v>
      </c>
      <c r="E62" s="3153">
        <v>11.69</v>
      </c>
      <c r="F62" s="3148" t="s">
        <v>4273</v>
      </c>
      <c r="I62" s="3148">
        <v>60</v>
      </c>
      <c r="J62" s="3152" t="s">
        <v>3935</v>
      </c>
      <c r="K62" s="3152" t="s">
        <v>3994</v>
      </c>
      <c r="L62" s="3152">
        <v>41.97</v>
      </c>
      <c r="M62" s="3153">
        <v>9.7100000000000009</v>
      </c>
      <c r="N62" s="3148" t="s">
        <v>4273</v>
      </c>
    </row>
    <row r="63" spans="1:14">
      <c r="A63" s="3148">
        <v>61</v>
      </c>
      <c r="B63" s="3152" t="s">
        <v>3514</v>
      </c>
      <c r="C63" s="3152" t="s">
        <v>3574</v>
      </c>
      <c r="D63" s="3152">
        <v>38.130000000000003</v>
      </c>
      <c r="E63" s="3153">
        <v>11.69</v>
      </c>
      <c r="F63" s="3148" t="s">
        <v>4273</v>
      </c>
      <c r="I63" s="3148">
        <v>61</v>
      </c>
      <c r="J63" s="3152" t="s">
        <v>3935</v>
      </c>
      <c r="K63" s="3152" t="s">
        <v>3995</v>
      </c>
      <c r="L63" s="3152">
        <v>43.78</v>
      </c>
      <c r="M63" s="3153">
        <v>10.130000000000001</v>
      </c>
      <c r="N63" s="3148" t="s">
        <v>4273</v>
      </c>
    </row>
    <row r="64" spans="1:14">
      <c r="A64" s="3148">
        <v>62</v>
      </c>
      <c r="B64" s="3152" t="s">
        <v>3514</v>
      </c>
      <c r="C64" s="3152" t="s">
        <v>3575</v>
      </c>
      <c r="D64" s="3152">
        <v>36.56</v>
      </c>
      <c r="E64" s="3153">
        <v>11.21</v>
      </c>
      <c r="F64" s="3148" t="s">
        <v>4273</v>
      </c>
      <c r="I64" s="3148">
        <v>62</v>
      </c>
      <c r="J64" s="3152" t="s">
        <v>3935</v>
      </c>
      <c r="K64" s="3152" t="s">
        <v>3996</v>
      </c>
      <c r="L64" s="3152">
        <v>41.97</v>
      </c>
      <c r="M64" s="3153">
        <v>9.7100000000000009</v>
      </c>
      <c r="N64" s="3148" t="s">
        <v>4273</v>
      </c>
    </row>
    <row r="65" spans="1:14">
      <c r="A65" s="3148">
        <v>63</v>
      </c>
      <c r="B65" s="3152" t="s">
        <v>3514</v>
      </c>
      <c r="C65" s="3152" t="s">
        <v>3576</v>
      </c>
      <c r="D65" s="3152">
        <v>36.56</v>
      </c>
      <c r="E65" s="3153">
        <v>11.21</v>
      </c>
      <c r="F65" s="3148" t="s">
        <v>4273</v>
      </c>
      <c r="I65" s="3148">
        <v>63</v>
      </c>
      <c r="J65" s="3152" t="s">
        <v>3935</v>
      </c>
      <c r="K65" s="3152" t="s">
        <v>3997</v>
      </c>
      <c r="L65" s="3152">
        <v>41.97</v>
      </c>
      <c r="M65" s="3153">
        <v>9.7100000000000009</v>
      </c>
      <c r="N65" s="3148" t="s">
        <v>4273</v>
      </c>
    </row>
    <row r="66" spans="1:14">
      <c r="A66" s="3148">
        <v>64</v>
      </c>
      <c r="B66" s="3152" t="s">
        <v>3514</v>
      </c>
      <c r="C66" s="3152" t="s">
        <v>3577</v>
      </c>
      <c r="D66" s="3152">
        <v>38.130000000000003</v>
      </c>
      <c r="E66" s="3153">
        <v>11.69</v>
      </c>
      <c r="F66" s="3148" t="s">
        <v>4273</v>
      </c>
      <c r="I66" s="3148">
        <v>64</v>
      </c>
      <c r="J66" s="3152" t="s">
        <v>3935</v>
      </c>
      <c r="K66" s="3152" t="s">
        <v>3998</v>
      </c>
      <c r="L66" s="3152">
        <v>43.78</v>
      </c>
      <c r="M66" s="3153">
        <v>10.130000000000001</v>
      </c>
      <c r="N66" s="3148" t="s">
        <v>4273</v>
      </c>
    </row>
    <row r="67" spans="1:14">
      <c r="A67" s="3148">
        <v>65</v>
      </c>
      <c r="B67" s="3152" t="s">
        <v>3514</v>
      </c>
      <c r="C67" s="3152" t="s">
        <v>3578</v>
      </c>
      <c r="D67" s="3152">
        <v>36.56</v>
      </c>
      <c r="E67" s="3153">
        <v>11.21</v>
      </c>
      <c r="F67" s="3148" t="s">
        <v>4273</v>
      </c>
      <c r="I67" s="3148">
        <v>65</v>
      </c>
      <c r="J67" s="3152" t="s">
        <v>3935</v>
      </c>
      <c r="K67" s="3152" t="s">
        <v>3999</v>
      </c>
      <c r="L67" s="3152">
        <v>41.97</v>
      </c>
      <c r="M67" s="3153">
        <v>9.7100000000000009</v>
      </c>
      <c r="N67" s="3148" t="s">
        <v>4273</v>
      </c>
    </row>
    <row r="68" spans="1:14">
      <c r="A68" s="3148">
        <v>66</v>
      </c>
      <c r="B68" s="3152" t="s">
        <v>3514</v>
      </c>
      <c r="C68" s="3152" t="s">
        <v>3579</v>
      </c>
      <c r="D68" s="3152">
        <v>36.56</v>
      </c>
      <c r="E68" s="3153">
        <v>11.21</v>
      </c>
      <c r="F68" s="3148" t="s">
        <v>4273</v>
      </c>
      <c r="I68" s="3148">
        <v>66</v>
      </c>
      <c r="J68" s="3152" t="s">
        <v>3935</v>
      </c>
      <c r="K68" s="3152" t="s">
        <v>4000</v>
      </c>
      <c r="L68" s="3152">
        <v>41.97</v>
      </c>
      <c r="M68" s="3153">
        <v>9.7100000000000009</v>
      </c>
      <c r="N68" s="3148" t="s">
        <v>4273</v>
      </c>
    </row>
    <row r="69" spans="1:14">
      <c r="A69" s="3148">
        <v>67</v>
      </c>
      <c r="B69" s="3152" t="s">
        <v>3514</v>
      </c>
      <c r="C69" s="3152" t="s">
        <v>3580</v>
      </c>
      <c r="D69" s="3152">
        <v>38.130000000000003</v>
      </c>
      <c r="E69" s="3153">
        <v>11.69</v>
      </c>
      <c r="F69" s="3148" t="s">
        <v>4273</v>
      </c>
      <c r="I69" s="3148">
        <v>67</v>
      </c>
      <c r="J69" s="3152" t="s">
        <v>3935</v>
      </c>
      <c r="K69" s="3152" t="s">
        <v>4001</v>
      </c>
      <c r="L69" s="3152">
        <v>43.78</v>
      </c>
      <c r="M69" s="3153">
        <v>10.130000000000001</v>
      </c>
      <c r="N69" s="3148" t="s">
        <v>4273</v>
      </c>
    </row>
    <row r="70" spans="1:14">
      <c r="A70" s="3148">
        <v>68</v>
      </c>
      <c r="B70" s="3152" t="s">
        <v>3514</v>
      </c>
      <c r="C70" s="3152" t="s">
        <v>3581</v>
      </c>
      <c r="D70" s="3152">
        <v>36.56</v>
      </c>
      <c r="E70" s="3153">
        <v>11.21</v>
      </c>
      <c r="F70" s="3148" t="s">
        <v>4273</v>
      </c>
      <c r="I70" s="3148">
        <v>68</v>
      </c>
      <c r="J70" s="3152" t="s">
        <v>3935</v>
      </c>
      <c r="K70" s="3152" t="s">
        <v>4002</v>
      </c>
      <c r="L70" s="3152">
        <v>41.97</v>
      </c>
      <c r="M70" s="3153">
        <v>9.7100000000000009</v>
      </c>
      <c r="N70" s="3148" t="s">
        <v>4273</v>
      </c>
    </row>
    <row r="71" spans="1:14">
      <c r="A71" s="3148">
        <v>69</v>
      </c>
      <c r="B71" s="3152" t="s">
        <v>3514</v>
      </c>
      <c r="C71" s="3152" t="s">
        <v>3582</v>
      </c>
      <c r="D71" s="3152">
        <v>36.56</v>
      </c>
      <c r="E71" s="3153">
        <v>11.21</v>
      </c>
      <c r="F71" s="3148" t="s">
        <v>4273</v>
      </c>
      <c r="I71" s="3148">
        <v>69</v>
      </c>
      <c r="J71" s="3152" t="s">
        <v>3935</v>
      </c>
      <c r="K71" s="3152" t="s">
        <v>4003</v>
      </c>
      <c r="L71" s="3152">
        <v>41.97</v>
      </c>
      <c r="M71" s="3153">
        <v>9.7100000000000009</v>
      </c>
      <c r="N71" s="3148" t="s">
        <v>4273</v>
      </c>
    </row>
    <row r="72" spans="1:14">
      <c r="A72" s="3148">
        <v>70</v>
      </c>
      <c r="B72" s="3152" t="s">
        <v>3514</v>
      </c>
      <c r="C72" s="3152" t="s">
        <v>3583</v>
      </c>
      <c r="D72" s="3152">
        <v>38.130000000000003</v>
      </c>
      <c r="E72" s="3153">
        <v>11.69</v>
      </c>
      <c r="F72" s="3148" t="s">
        <v>4273</v>
      </c>
      <c r="I72" s="3148">
        <v>70</v>
      </c>
      <c r="J72" s="3152" t="s">
        <v>3935</v>
      </c>
      <c r="K72" s="3152" t="s">
        <v>4004</v>
      </c>
      <c r="L72" s="3152">
        <v>41.97</v>
      </c>
      <c r="M72" s="3153">
        <v>9.7100000000000009</v>
      </c>
      <c r="N72" s="3148" t="s">
        <v>4273</v>
      </c>
    </row>
    <row r="73" spans="1:14">
      <c r="A73" s="3148">
        <v>71</v>
      </c>
      <c r="B73" s="3152" t="s">
        <v>3514</v>
      </c>
      <c r="C73" s="3152" t="s">
        <v>3584</v>
      </c>
      <c r="D73" s="3152">
        <v>36.56</v>
      </c>
      <c r="E73" s="3153">
        <v>11.21</v>
      </c>
      <c r="F73" s="3148" t="s">
        <v>4273</v>
      </c>
      <c r="I73" s="3148">
        <v>71</v>
      </c>
      <c r="J73" s="3152" t="s">
        <v>3935</v>
      </c>
      <c r="K73" s="3152" t="s">
        <v>4005</v>
      </c>
      <c r="L73" s="3152">
        <v>43.78</v>
      </c>
      <c r="M73" s="3153">
        <v>10.130000000000001</v>
      </c>
      <c r="N73" s="3148" t="s">
        <v>4273</v>
      </c>
    </row>
    <row r="74" spans="1:14">
      <c r="A74" s="3148">
        <v>72</v>
      </c>
      <c r="B74" s="3152" t="s">
        <v>3514</v>
      </c>
      <c r="C74" s="3152" t="s">
        <v>3585</v>
      </c>
      <c r="D74" s="3152">
        <v>36.56</v>
      </c>
      <c r="E74" s="3153">
        <v>11.21</v>
      </c>
      <c r="F74" s="3148" t="s">
        <v>4273</v>
      </c>
      <c r="I74" s="3148">
        <v>72</v>
      </c>
      <c r="J74" s="3152" t="s">
        <v>3935</v>
      </c>
      <c r="K74" s="3152" t="s">
        <v>4006</v>
      </c>
      <c r="L74" s="3152">
        <v>41.97</v>
      </c>
      <c r="M74" s="3153">
        <v>9.7100000000000009</v>
      </c>
      <c r="N74" s="3148" t="s">
        <v>4273</v>
      </c>
    </row>
    <row r="75" spans="1:14">
      <c r="A75" s="3148">
        <v>73</v>
      </c>
      <c r="B75" s="3152" t="s">
        <v>3514</v>
      </c>
      <c r="C75" s="3152" t="s">
        <v>3586</v>
      </c>
      <c r="D75" s="3152">
        <v>38.130000000000003</v>
      </c>
      <c r="E75" s="3153">
        <v>11.69</v>
      </c>
      <c r="F75" s="3148" t="s">
        <v>4273</v>
      </c>
      <c r="I75" s="3148">
        <v>73</v>
      </c>
      <c r="J75" s="3152" t="s">
        <v>3935</v>
      </c>
      <c r="K75" s="3152" t="s">
        <v>4007</v>
      </c>
      <c r="L75" s="3152">
        <v>41.97</v>
      </c>
      <c r="M75" s="3153">
        <v>9.7100000000000009</v>
      </c>
      <c r="N75" s="3148" t="s">
        <v>4273</v>
      </c>
    </row>
    <row r="76" spans="1:14">
      <c r="A76" s="3148">
        <v>74</v>
      </c>
      <c r="B76" s="3152" t="s">
        <v>3514</v>
      </c>
      <c r="C76" s="3152" t="s">
        <v>3587</v>
      </c>
      <c r="D76" s="3152">
        <v>36.56</v>
      </c>
      <c r="E76" s="3153">
        <v>11.21</v>
      </c>
      <c r="F76" s="3148" t="s">
        <v>4273</v>
      </c>
      <c r="I76" s="3148">
        <v>74</v>
      </c>
      <c r="J76" s="3152" t="s">
        <v>3935</v>
      </c>
      <c r="K76" s="3152" t="s">
        <v>4008</v>
      </c>
      <c r="L76" s="3152">
        <v>43.78</v>
      </c>
      <c r="M76" s="3153">
        <v>10.130000000000001</v>
      </c>
      <c r="N76" s="3148" t="s">
        <v>4273</v>
      </c>
    </row>
    <row r="77" spans="1:14">
      <c r="A77" s="3148">
        <v>75</v>
      </c>
      <c r="B77" s="3152" t="s">
        <v>3514</v>
      </c>
      <c r="C77" s="3152" t="s">
        <v>3588</v>
      </c>
      <c r="D77" s="3152">
        <v>36.56</v>
      </c>
      <c r="E77" s="3153">
        <v>11.21</v>
      </c>
      <c r="F77" s="3148" t="s">
        <v>4273</v>
      </c>
      <c r="I77" s="3148">
        <v>75</v>
      </c>
      <c r="J77" s="3152" t="s">
        <v>3935</v>
      </c>
      <c r="K77" s="3152" t="s">
        <v>4009</v>
      </c>
      <c r="L77" s="3152">
        <v>41.97</v>
      </c>
      <c r="M77" s="3153">
        <v>9.7100000000000009</v>
      </c>
      <c r="N77" s="3148" t="s">
        <v>4273</v>
      </c>
    </row>
    <row r="78" spans="1:14">
      <c r="A78" s="3148">
        <v>76</v>
      </c>
      <c r="B78" s="3152" t="s">
        <v>3514</v>
      </c>
      <c r="C78" s="3152" t="s">
        <v>3589</v>
      </c>
      <c r="D78" s="3152">
        <v>38.130000000000003</v>
      </c>
      <c r="E78" s="3153">
        <v>11.69</v>
      </c>
      <c r="F78" s="3148" t="s">
        <v>4273</v>
      </c>
      <c r="I78" s="3148">
        <v>76</v>
      </c>
      <c r="J78" s="3152" t="s">
        <v>3935</v>
      </c>
      <c r="K78" s="3152" t="s">
        <v>4010</v>
      </c>
      <c r="L78" s="3152">
        <v>41.97</v>
      </c>
      <c r="M78" s="3153">
        <v>9.7100000000000009</v>
      </c>
      <c r="N78" s="3148" t="s">
        <v>4273</v>
      </c>
    </row>
    <row r="79" spans="1:14">
      <c r="A79" s="3148">
        <v>77</v>
      </c>
      <c r="B79" s="3152" t="s">
        <v>3514</v>
      </c>
      <c r="C79" s="3152" t="s">
        <v>3590</v>
      </c>
      <c r="D79" s="3152">
        <v>36.56</v>
      </c>
      <c r="E79" s="3153">
        <v>11.21</v>
      </c>
      <c r="F79" s="3148" t="s">
        <v>4273</v>
      </c>
      <c r="I79" s="3148">
        <v>77</v>
      </c>
      <c r="J79" s="3152" t="s">
        <v>3935</v>
      </c>
      <c r="K79" s="3152" t="s">
        <v>4011</v>
      </c>
      <c r="L79" s="3152">
        <v>43.78</v>
      </c>
      <c r="M79" s="3153">
        <v>10.130000000000001</v>
      </c>
      <c r="N79" s="3148" t="s">
        <v>4273</v>
      </c>
    </row>
    <row r="80" spans="1:14">
      <c r="A80" s="3148">
        <v>78</v>
      </c>
      <c r="B80" s="3152" t="s">
        <v>3514</v>
      </c>
      <c r="C80" s="3152" t="s">
        <v>3591</v>
      </c>
      <c r="D80" s="3152">
        <v>36.56</v>
      </c>
      <c r="E80" s="3153">
        <v>11.21</v>
      </c>
      <c r="F80" s="3148" t="s">
        <v>4273</v>
      </c>
      <c r="I80" s="3148">
        <v>78</v>
      </c>
      <c r="J80" s="3152" t="s">
        <v>3935</v>
      </c>
      <c r="K80" s="3152" t="s">
        <v>4012</v>
      </c>
      <c r="L80" s="3152">
        <v>41.97</v>
      </c>
      <c r="M80" s="3153">
        <v>9.7100000000000009</v>
      </c>
      <c r="N80" s="3148" t="s">
        <v>4273</v>
      </c>
    </row>
    <row r="81" spans="1:14">
      <c r="A81" s="3148">
        <v>79</v>
      </c>
      <c r="B81" s="3152" t="s">
        <v>3514</v>
      </c>
      <c r="C81" s="3152" t="s">
        <v>3592</v>
      </c>
      <c r="D81" s="3152">
        <v>38.130000000000003</v>
      </c>
      <c r="E81" s="3153">
        <v>11.69</v>
      </c>
      <c r="F81" s="3148" t="s">
        <v>4273</v>
      </c>
      <c r="I81" s="3148">
        <v>79</v>
      </c>
      <c r="J81" s="3152" t="s">
        <v>3935</v>
      </c>
      <c r="K81" s="3152" t="s">
        <v>4013</v>
      </c>
      <c r="L81" s="3152">
        <v>41.97</v>
      </c>
      <c r="M81" s="3153">
        <v>9.7100000000000009</v>
      </c>
      <c r="N81" s="3148" t="s">
        <v>4273</v>
      </c>
    </row>
    <row r="82" spans="1:14">
      <c r="A82" s="3148">
        <v>80</v>
      </c>
      <c r="B82" s="3152" t="s">
        <v>3514</v>
      </c>
      <c r="C82" s="3152" t="s">
        <v>3593</v>
      </c>
      <c r="D82" s="3152">
        <v>36.56</v>
      </c>
      <c r="E82" s="3153">
        <v>11.21</v>
      </c>
      <c r="F82" s="3148" t="s">
        <v>4273</v>
      </c>
      <c r="I82" s="3148">
        <v>80</v>
      </c>
      <c r="J82" s="3152" t="s">
        <v>3935</v>
      </c>
      <c r="K82" s="3152" t="s">
        <v>4014</v>
      </c>
      <c r="L82" s="3152">
        <v>43.78</v>
      </c>
      <c r="M82" s="3153">
        <v>10.130000000000001</v>
      </c>
      <c r="N82" s="3148" t="s">
        <v>4273</v>
      </c>
    </row>
    <row r="83" spans="1:14">
      <c r="A83" s="3148">
        <v>81</v>
      </c>
      <c r="B83" s="3152" t="s">
        <v>3514</v>
      </c>
      <c r="C83" s="3152" t="s">
        <v>3594</v>
      </c>
      <c r="D83" s="3152">
        <v>36.56</v>
      </c>
      <c r="E83" s="3153">
        <v>11.21</v>
      </c>
      <c r="F83" s="3148" t="s">
        <v>4273</v>
      </c>
      <c r="I83" s="3148">
        <v>81</v>
      </c>
      <c r="J83" s="3152" t="s">
        <v>3935</v>
      </c>
      <c r="K83" s="3152" t="s">
        <v>4015</v>
      </c>
      <c r="L83" s="3152">
        <v>41.97</v>
      </c>
      <c r="M83" s="3153">
        <v>9.7100000000000009</v>
      </c>
      <c r="N83" s="3148" t="s">
        <v>4273</v>
      </c>
    </row>
    <row r="84" spans="1:14">
      <c r="A84" s="3148">
        <v>82</v>
      </c>
      <c r="B84" s="3152" t="s">
        <v>3514</v>
      </c>
      <c r="C84" s="3152" t="s">
        <v>3595</v>
      </c>
      <c r="D84" s="3152">
        <v>38.130000000000003</v>
      </c>
      <c r="E84" s="3153">
        <v>11.69</v>
      </c>
      <c r="F84" s="3148" t="s">
        <v>4273</v>
      </c>
      <c r="I84" s="3148">
        <v>82</v>
      </c>
      <c r="J84" s="3152" t="s">
        <v>3935</v>
      </c>
      <c r="K84" s="3152" t="s">
        <v>4016</v>
      </c>
      <c r="L84" s="3152">
        <v>41.97</v>
      </c>
      <c r="M84" s="3153">
        <v>9.7100000000000009</v>
      </c>
      <c r="N84" s="3148" t="s">
        <v>4273</v>
      </c>
    </row>
    <row r="85" spans="1:14">
      <c r="A85" s="3148">
        <v>83</v>
      </c>
      <c r="B85" s="3152" t="s">
        <v>3514</v>
      </c>
      <c r="C85" s="3152" t="s">
        <v>3596</v>
      </c>
      <c r="D85" s="3152">
        <v>36.56</v>
      </c>
      <c r="E85" s="3153">
        <v>11.21</v>
      </c>
      <c r="F85" s="3148" t="s">
        <v>4273</v>
      </c>
      <c r="I85" s="3148">
        <v>83</v>
      </c>
      <c r="J85" s="3152" t="s">
        <v>3935</v>
      </c>
      <c r="K85" s="3152" t="s">
        <v>4017</v>
      </c>
      <c r="L85" s="3152">
        <v>43.78</v>
      </c>
      <c r="M85" s="3153">
        <v>10.130000000000001</v>
      </c>
      <c r="N85" s="3148" t="s">
        <v>4273</v>
      </c>
    </row>
    <row r="86" spans="1:14">
      <c r="A86" s="3148">
        <v>84</v>
      </c>
      <c r="B86" s="3152" t="s">
        <v>3514</v>
      </c>
      <c r="C86" s="3152" t="s">
        <v>3597</v>
      </c>
      <c r="D86" s="3152">
        <v>36.56</v>
      </c>
      <c r="E86" s="3153">
        <v>11.21</v>
      </c>
      <c r="F86" s="3148" t="s">
        <v>4273</v>
      </c>
      <c r="I86" s="3148">
        <v>84</v>
      </c>
      <c r="J86" s="3152" t="s">
        <v>3935</v>
      </c>
      <c r="K86" s="3152" t="s">
        <v>4018</v>
      </c>
      <c r="L86" s="3152">
        <v>41.97</v>
      </c>
      <c r="M86" s="3153">
        <v>9.7100000000000009</v>
      </c>
      <c r="N86" s="3148" t="s">
        <v>4273</v>
      </c>
    </row>
    <row r="87" spans="1:14">
      <c r="A87" s="3148">
        <v>85</v>
      </c>
      <c r="B87" s="3152" t="s">
        <v>3514</v>
      </c>
      <c r="C87" s="3152" t="s">
        <v>3598</v>
      </c>
      <c r="D87" s="3152">
        <v>38.130000000000003</v>
      </c>
      <c r="E87" s="3153">
        <v>11.69</v>
      </c>
      <c r="F87" s="3148" t="s">
        <v>4273</v>
      </c>
      <c r="I87" s="3148">
        <v>85</v>
      </c>
      <c r="J87" s="3152" t="s">
        <v>3935</v>
      </c>
      <c r="K87" s="3152" t="s">
        <v>4019</v>
      </c>
      <c r="L87" s="3152">
        <v>41.97</v>
      </c>
      <c r="M87" s="3153">
        <v>9.7100000000000009</v>
      </c>
      <c r="N87" s="3148" t="s">
        <v>4273</v>
      </c>
    </row>
    <row r="88" spans="1:14">
      <c r="A88" s="3148">
        <v>86</v>
      </c>
      <c r="B88" s="3152" t="s">
        <v>3514</v>
      </c>
      <c r="C88" s="3152" t="s">
        <v>3599</v>
      </c>
      <c r="D88" s="3152">
        <v>36.56</v>
      </c>
      <c r="E88" s="3153">
        <v>11.21</v>
      </c>
      <c r="F88" s="3148" t="s">
        <v>4273</v>
      </c>
      <c r="I88" s="3148">
        <v>86</v>
      </c>
      <c r="J88" s="3152" t="s">
        <v>3935</v>
      </c>
      <c r="K88" s="3152" t="s">
        <v>4020</v>
      </c>
      <c r="L88" s="3152">
        <v>43.78</v>
      </c>
      <c r="M88" s="3153">
        <v>10.130000000000001</v>
      </c>
      <c r="N88" s="3148" t="s">
        <v>4273</v>
      </c>
    </row>
    <row r="89" spans="1:14">
      <c r="A89" s="3148">
        <v>87</v>
      </c>
      <c r="B89" s="3152" t="s">
        <v>3514</v>
      </c>
      <c r="C89" s="3152" t="s">
        <v>3600</v>
      </c>
      <c r="D89" s="3152">
        <v>36.56</v>
      </c>
      <c r="E89" s="3153">
        <v>11.21</v>
      </c>
      <c r="F89" s="3148" t="s">
        <v>4273</v>
      </c>
      <c r="I89" s="3148">
        <v>87</v>
      </c>
      <c r="J89" s="3152" t="s">
        <v>3935</v>
      </c>
      <c r="K89" s="3152" t="s">
        <v>4021</v>
      </c>
      <c r="L89" s="3152">
        <v>41.97</v>
      </c>
      <c r="M89" s="3153">
        <v>9.7100000000000009</v>
      </c>
      <c r="N89" s="3148" t="s">
        <v>4273</v>
      </c>
    </row>
    <row r="90" spans="1:14">
      <c r="A90" s="3148">
        <v>88</v>
      </c>
      <c r="B90" s="3152" t="s">
        <v>3514</v>
      </c>
      <c r="C90" s="3152" t="s">
        <v>3601</v>
      </c>
      <c r="D90" s="3152">
        <v>38.130000000000003</v>
      </c>
      <c r="E90" s="3153">
        <v>11.69</v>
      </c>
      <c r="F90" s="3148" t="s">
        <v>4273</v>
      </c>
      <c r="I90" s="3148">
        <v>88</v>
      </c>
      <c r="J90" s="3152" t="s">
        <v>3935</v>
      </c>
      <c r="K90" s="3152" t="s">
        <v>4022</v>
      </c>
      <c r="L90" s="3152">
        <v>41.97</v>
      </c>
      <c r="M90" s="3153">
        <v>9.7100000000000009</v>
      </c>
      <c r="N90" s="3148" t="s">
        <v>4273</v>
      </c>
    </row>
    <row r="91" spans="1:14">
      <c r="A91" s="3148">
        <v>89</v>
      </c>
      <c r="B91" s="3152" t="s">
        <v>3514</v>
      </c>
      <c r="C91" s="3152" t="s">
        <v>3602</v>
      </c>
      <c r="D91" s="3152">
        <v>36.56</v>
      </c>
      <c r="E91" s="3153">
        <v>11.21</v>
      </c>
      <c r="F91" s="3148" t="s">
        <v>4273</v>
      </c>
      <c r="I91" s="3148">
        <v>89</v>
      </c>
      <c r="J91" s="3152" t="s">
        <v>3935</v>
      </c>
      <c r="K91" s="3152" t="s">
        <v>4023</v>
      </c>
      <c r="L91" s="3152">
        <v>43.78</v>
      </c>
      <c r="M91" s="3153">
        <v>10.130000000000001</v>
      </c>
      <c r="N91" s="3148" t="s">
        <v>4273</v>
      </c>
    </row>
    <row r="92" spans="1:14">
      <c r="A92" s="3148">
        <v>90</v>
      </c>
      <c r="B92" s="3152" t="s">
        <v>3514</v>
      </c>
      <c r="C92" s="3152" t="s">
        <v>3603</v>
      </c>
      <c r="D92" s="3152">
        <v>36.56</v>
      </c>
      <c r="E92" s="3153">
        <v>11.21</v>
      </c>
      <c r="F92" s="3148" t="s">
        <v>4273</v>
      </c>
      <c r="I92" s="3148">
        <v>90</v>
      </c>
      <c r="J92" s="3152" t="s">
        <v>3935</v>
      </c>
      <c r="K92" s="3152" t="s">
        <v>4024</v>
      </c>
      <c r="L92" s="3152">
        <v>41.97</v>
      </c>
      <c r="M92" s="3153">
        <v>9.7100000000000009</v>
      </c>
      <c r="N92" s="3148" t="s">
        <v>4273</v>
      </c>
    </row>
    <row r="93" spans="1:14">
      <c r="A93" s="3148">
        <v>91</v>
      </c>
      <c r="B93" s="3152" t="s">
        <v>3514</v>
      </c>
      <c r="C93" s="3152" t="s">
        <v>3604</v>
      </c>
      <c r="D93" s="3152">
        <v>38.130000000000003</v>
      </c>
      <c r="E93" s="3153">
        <v>11.69</v>
      </c>
      <c r="F93" s="3148" t="s">
        <v>4273</v>
      </c>
      <c r="I93" s="3148">
        <v>91</v>
      </c>
      <c r="J93" s="3152" t="s">
        <v>3935</v>
      </c>
      <c r="K93" s="3152" t="s">
        <v>4025</v>
      </c>
      <c r="L93" s="3152">
        <v>41.97</v>
      </c>
      <c r="M93" s="3153">
        <v>9.7100000000000009</v>
      </c>
      <c r="N93" s="3148" t="s">
        <v>4273</v>
      </c>
    </row>
    <row r="94" spans="1:14">
      <c r="A94" s="3148">
        <v>92</v>
      </c>
      <c r="B94" s="3152" t="s">
        <v>3514</v>
      </c>
      <c r="C94" s="3152" t="s">
        <v>3605</v>
      </c>
      <c r="D94" s="3152">
        <v>36.56</v>
      </c>
      <c r="E94" s="3153">
        <v>11.21</v>
      </c>
      <c r="F94" s="3148" t="s">
        <v>4273</v>
      </c>
      <c r="I94" s="3148">
        <v>92</v>
      </c>
      <c r="J94" s="3152" t="s">
        <v>3935</v>
      </c>
      <c r="K94" s="3152" t="s">
        <v>4026</v>
      </c>
      <c r="L94" s="3152">
        <v>43.78</v>
      </c>
      <c r="M94" s="3153">
        <v>10.130000000000001</v>
      </c>
      <c r="N94" s="3148" t="s">
        <v>4273</v>
      </c>
    </row>
    <row r="95" spans="1:14">
      <c r="A95" s="3148">
        <v>93</v>
      </c>
      <c r="B95" s="3152" t="s">
        <v>3514</v>
      </c>
      <c r="C95" s="3152" t="s">
        <v>3606</v>
      </c>
      <c r="D95" s="3152">
        <v>36.56</v>
      </c>
      <c r="E95" s="3153">
        <v>11.21</v>
      </c>
      <c r="F95" s="3148" t="s">
        <v>4273</v>
      </c>
      <c r="I95" s="3148">
        <v>93</v>
      </c>
      <c r="J95" s="3152" t="s">
        <v>3935</v>
      </c>
      <c r="K95" s="3152" t="s">
        <v>4027</v>
      </c>
      <c r="L95" s="3152">
        <v>41.97</v>
      </c>
      <c r="M95" s="3153">
        <v>9.7100000000000009</v>
      </c>
      <c r="N95" s="3148" t="s">
        <v>4273</v>
      </c>
    </row>
    <row r="96" spans="1:14">
      <c r="A96" s="3148">
        <v>94</v>
      </c>
      <c r="B96" s="3152" t="s">
        <v>3514</v>
      </c>
      <c r="C96" s="3152" t="s">
        <v>3607</v>
      </c>
      <c r="D96" s="3152">
        <v>38.130000000000003</v>
      </c>
      <c r="E96" s="3153">
        <v>11.69</v>
      </c>
      <c r="F96" s="3148" t="s">
        <v>4273</v>
      </c>
      <c r="I96" s="3148">
        <v>94</v>
      </c>
      <c r="J96" s="3152" t="s">
        <v>3935</v>
      </c>
      <c r="K96" s="3152" t="s">
        <v>4028</v>
      </c>
      <c r="L96" s="3152">
        <v>41.97</v>
      </c>
      <c r="M96" s="3153">
        <v>9.7100000000000009</v>
      </c>
      <c r="N96" s="3148" t="s">
        <v>4273</v>
      </c>
    </row>
    <row r="97" spans="1:14">
      <c r="A97" s="3148">
        <v>95</v>
      </c>
      <c r="B97" s="3152" t="s">
        <v>3514</v>
      </c>
      <c r="C97" s="3152" t="s">
        <v>3608</v>
      </c>
      <c r="D97" s="3152">
        <v>36.56</v>
      </c>
      <c r="E97" s="3153">
        <v>11.21</v>
      </c>
      <c r="F97" s="3148" t="s">
        <v>4273</v>
      </c>
      <c r="I97" s="3148">
        <v>95</v>
      </c>
      <c r="J97" s="3152" t="s">
        <v>3935</v>
      </c>
      <c r="K97" s="3152" t="s">
        <v>4029</v>
      </c>
      <c r="L97" s="3152">
        <v>43.78</v>
      </c>
      <c r="M97" s="3153">
        <v>10.130000000000001</v>
      </c>
      <c r="N97" s="3148" t="s">
        <v>4273</v>
      </c>
    </row>
    <row r="98" spans="1:14">
      <c r="A98" s="3148">
        <v>96</v>
      </c>
      <c r="B98" s="3152" t="s">
        <v>3514</v>
      </c>
      <c r="C98" s="3152" t="s">
        <v>3609</v>
      </c>
      <c r="D98" s="3152">
        <v>36.56</v>
      </c>
      <c r="E98" s="3153">
        <v>11.21</v>
      </c>
      <c r="F98" s="3148" t="s">
        <v>4273</v>
      </c>
      <c r="I98" s="3148">
        <v>96</v>
      </c>
      <c r="J98" s="3152" t="s">
        <v>3935</v>
      </c>
      <c r="K98" s="3152" t="s">
        <v>4030</v>
      </c>
      <c r="L98" s="3152">
        <v>41.97</v>
      </c>
      <c r="M98" s="3153">
        <v>9.7100000000000009</v>
      </c>
      <c r="N98" s="3148" t="s">
        <v>4273</v>
      </c>
    </row>
    <row r="99" spans="1:14">
      <c r="A99" s="3148">
        <v>97</v>
      </c>
      <c r="B99" s="3152" t="s">
        <v>3514</v>
      </c>
      <c r="C99" s="3152" t="s">
        <v>3610</v>
      </c>
      <c r="D99" s="3152">
        <v>38.130000000000003</v>
      </c>
      <c r="E99" s="3153">
        <v>11.69</v>
      </c>
      <c r="F99" s="3148" t="s">
        <v>4273</v>
      </c>
      <c r="I99" s="3148">
        <v>97</v>
      </c>
      <c r="J99" s="3152" t="s">
        <v>3935</v>
      </c>
      <c r="K99" s="3152" t="s">
        <v>4031</v>
      </c>
      <c r="L99" s="3152">
        <v>41.97</v>
      </c>
      <c r="M99" s="3153">
        <v>9.7100000000000009</v>
      </c>
      <c r="N99" s="3148" t="s">
        <v>4273</v>
      </c>
    </row>
    <row r="100" spans="1:14">
      <c r="A100" s="3148">
        <v>98</v>
      </c>
      <c r="B100" s="3152" t="s">
        <v>3514</v>
      </c>
      <c r="C100" s="3152" t="s">
        <v>3611</v>
      </c>
      <c r="D100" s="3152">
        <v>36.56</v>
      </c>
      <c r="E100" s="3153">
        <v>11.21</v>
      </c>
      <c r="F100" s="3148" t="s">
        <v>4273</v>
      </c>
      <c r="I100" s="3148">
        <v>98</v>
      </c>
      <c r="J100" s="3152" t="s">
        <v>3935</v>
      </c>
      <c r="K100" s="3152" t="s">
        <v>4032</v>
      </c>
      <c r="L100" s="3152">
        <v>41.97</v>
      </c>
      <c r="M100" s="3153">
        <v>9.7100000000000009</v>
      </c>
      <c r="N100" s="3148" t="s">
        <v>4273</v>
      </c>
    </row>
    <row r="101" spans="1:14">
      <c r="A101" s="3148">
        <v>99</v>
      </c>
      <c r="B101" s="3152" t="s">
        <v>3514</v>
      </c>
      <c r="C101" s="3152" t="s">
        <v>3612</v>
      </c>
      <c r="D101" s="3152">
        <v>36.56</v>
      </c>
      <c r="E101" s="3153">
        <v>11.21</v>
      </c>
      <c r="F101" s="3148" t="s">
        <v>4273</v>
      </c>
      <c r="I101" s="3148">
        <v>99</v>
      </c>
      <c r="J101" s="3152" t="s">
        <v>3935</v>
      </c>
      <c r="K101" s="3152" t="s">
        <v>4033</v>
      </c>
      <c r="L101" s="3152">
        <v>41.97</v>
      </c>
      <c r="M101" s="3153">
        <v>9.7100000000000009</v>
      </c>
      <c r="N101" s="3148" t="s">
        <v>4273</v>
      </c>
    </row>
    <row r="102" spans="1:14">
      <c r="A102" s="3148">
        <v>100</v>
      </c>
      <c r="B102" s="3152" t="s">
        <v>3514</v>
      </c>
      <c r="C102" s="3152" t="s">
        <v>3613</v>
      </c>
      <c r="D102" s="3152">
        <v>38.130000000000003</v>
      </c>
      <c r="E102" s="3153">
        <v>11.69</v>
      </c>
      <c r="F102" s="3148" t="s">
        <v>4273</v>
      </c>
      <c r="I102" s="3148">
        <v>100</v>
      </c>
      <c r="J102" s="3152" t="s">
        <v>3935</v>
      </c>
      <c r="K102" s="3152" t="s">
        <v>4034</v>
      </c>
      <c r="L102" s="3152">
        <v>41.97</v>
      </c>
      <c r="M102" s="3153">
        <v>9.7100000000000009</v>
      </c>
      <c r="N102" s="3148" t="s">
        <v>4273</v>
      </c>
    </row>
    <row r="103" spans="1:14">
      <c r="A103" s="3148">
        <v>101</v>
      </c>
      <c r="B103" s="3152" t="s">
        <v>3514</v>
      </c>
      <c r="C103" s="3152" t="s">
        <v>3614</v>
      </c>
      <c r="D103" s="3152">
        <v>38.130000000000003</v>
      </c>
      <c r="E103" s="3153">
        <v>11.69</v>
      </c>
      <c r="F103" s="3148" t="s">
        <v>4273</v>
      </c>
      <c r="I103" s="3148">
        <v>101</v>
      </c>
      <c r="J103" s="3152" t="s">
        <v>3935</v>
      </c>
      <c r="K103" s="3152" t="s">
        <v>4035</v>
      </c>
      <c r="L103" s="3152">
        <v>41.97</v>
      </c>
      <c r="M103" s="3153">
        <v>9.7100000000000009</v>
      </c>
      <c r="N103" s="3148" t="s">
        <v>4273</v>
      </c>
    </row>
    <row r="104" spans="1:14">
      <c r="A104" s="3148">
        <v>102</v>
      </c>
      <c r="B104" s="3152" t="s">
        <v>3514</v>
      </c>
      <c r="C104" s="3152" t="s">
        <v>3615</v>
      </c>
      <c r="D104" s="3152">
        <v>36.56</v>
      </c>
      <c r="E104" s="3153">
        <v>11.21</v>
      </c>
      <c r="F104" s="3148" t="s">
        <v>4273</v>
      </c>
      <c r="I104" s="3148">
        <v>102</v>
      </c>
      <c r="J104" s="3152" t="s">
        <v>3935</v>
      </c>
      <c r="K104" s="3152" t="s">
        <v>4036</v>
      </c>
      <c r="L104" s="3152">
        <v>43.78</v>
      </c>
      <c r="M104" s="3153">
        <v>10.130000000000001</v>
      </c>
      <c r="N104" s="3148" t="s">
        <v>4273</v>
      </c>
    </row>
    <row r="105" spans="1:14">
      <c r="A105" s="3148">
        <v>103</v>
      </c>
      <c r="B105" s="3152" t="s">
        <v>3514</v>
      </c>
      <c r="C105" s="3152" t="s">
        <v>3616</v>
      </c>
      <c r="D105" s="3152">
        <v>36.56</v>
      </c>
      <c r="E105" s="3153">
        <v>11.21</v>
      </c>
      <c r="F105" s="3148" t="s">
        <v>4273</v>
      </c>
      <c r="I105" s="3148">
        <v>103</v>
      </c>
      <c r="J105" s="3152" t="s">
        <v>3935</v>
      </c>
      <c r="K105" s="3152" t="s">
        <v>4037</v>
      </c>
      <c r="L105" s="3152">
        <v>41.97</v>
      </c>
      <c r="M105" s="3153">
        <v>9.7100000000000009</v>
      </c>
      <c r="N105" s="3148" t="s">
        <v>4273</v>
      </c>
    </row>
    <row r="106" spans="1:14">
      <c r="A106" s="3148">
        <v>104</v>
      </c>
      <c r="B106" s="3152" t="s">
        <v>3514</v>
      </c>
      <c r="C106" s="3152" t="s">
        <v>3617</v>
      </c>
      <c r="D106" s="3152">
        <v>36.56</v>
      </c>
      <c r="E106" s="3153">
        <v>11.21</v>
      </c>
      <c r="F106" s="3148" t="s">
        <v>4273</v>
      </c>
      <c r="I106" s="3148">
        <v>104</v>
      </c>
      <c r="J106" s="3152" t="s">
        <v>3935</v>
      </c>
      <c r="K106" s="3152" t="s">
        <v>4038</v>
      </c>
      <c r="L106" s="3152">
        <v>41.97</v>
      </c>
      <c r="M106" s="3153">
        <v>9.7100000000000009</v>
      </c>
      <c r="N106" s="3148" t="s">
        <v>4273</v>
      </c>
    </row>
    <row r="107" spans="1:14">
      <c r="A107" s="3148">
        <v>105</v>
      </c>
      <c r="B107" s="3152" t="s">
        <v>3514</v>
      </c>
      <c r="C107" s="3152" t="s">
        <v>3618</v>
      </c>
      <c r="D107" s="3152">
        <v>36.56</v>
      </c>
      <c r="E107" s="3153">
        <v>11.21</v>
      </c>
      <c r="F107" s="3148" t="s">
        <v>4273</v>
      </c>
      <c r="I107" s="3148">
        <v>105</v>
      </c>
      <c r="J107" s="3152" t="s">
        <v>3935</v>
      </c>
      <c r="K107" s="3152" t="s">
        <v>4039</v>
      </c>
      <c r="L107" s="3152">
        <v>43.78</v>
      </c>
      <c r="M107" s="3153">
        <v>10.130000000000001</v>
      </c>
      <c r="N107" s="3148" t="s">
        <v>4273</v>
      </c>
    </row>
    <row r="108" spans="1:14">
      <c r="A108" s="3148">
        <v>106</v>
      </c>
      <c r="B108" s="3152" t="s">
        <v>3514</v>
      </c>
      <c r="C108" s="3152" t="s">
        <v>3619</v>
      </c>
      <c r="D108" s="3152">
        <v>38.130000000000003</v>
      </c>
      <c r="E108" s="3153">
        <v>11.69</v>
      </c>
      <c r="F108" s="3148" t="s">
        <v>4273</v>
      </c>
      <c r="I108" s="3148">
        <v>106</v>
      </c>
      <c r="J108" s="3152" t="s">
        <v>3935</v>
      </c>
      <c r="K108" s="3152" t="s">
        <v>4040</v>
      </c>
      <c r="L108" s="3152">
        <v>41.97</v>
      </c>
      <c r="M108" s="3153">
        <v>9.7100000000000009</v>
      </c>
      <c r="N108" s="3148" t="s">
        <v>4273</v>
      </c>
    </row>
    <row r="109" spans="1:14">
      <c r="A109" s="3148">
        <v>107</v>
      </c>
      <c r="B109" s="3152" t="s">
        <v>3514</v>
      </c>
      <c r="C109" s="3152" t="s">
        <v>3620</v>
      </c>
      <c r="D109" s="3152">
        <v>36.56</v>
      </c>
      <c r="E109" s="3153">
        <v>11.21</v>
      </c>
      <c r="F109" s="3148" t="s">
        <v>4273</v>
      </c>
      <c r="I109" s="3148">
        <v>107</v>
      </c>
      <c r="J109" s="3152" t="s">
        <v>3935</v>
      </c>
      <c r="K109" s="3152" t="s">
        <v>4041</v>
      </c>
      <c r="L109" s="3152">
        <v>41.97</v>
      </c>
      <c r="M109" s="3153">
        <v>9.7100000000000009</v>
      </c>
      <c r="N109" s="3148" t="s">
        <v>4273</v>
      </c>
    </row>
    <row r="110" spans="1:14">
      <c r="A110" s="3148">
        <v>108</v>
      </c>
      <c r="B110" s="3152" t="s">
        <v>3514</v>
      </c>
      <c r="C110" s="3152" t="s">
        <v>3621</v>
      </c>
      <c r="D110" s="3152">
        <v>36.56</v>
      </c>
      <c r="E110" s="3153">
        <v>11.21</v>
      </c>
      <c r="F110" s="3148" t="s">
        <v>4273</v>
      </c>
      <c r="I110" s="3148">
        <v>108</v>
      </c>
      <c r="J110" s="3152" t="s">
        <v>3935</v>
      </c>
      <c r="K110" s="3152" t="s">
        <v>4042</v>
      </c>
      <c r="L110" s="3152">
        <v>41.97</v>
      </c>
      <c r="M110" s="3153">
        <v>9.7100000000000009</v>
      </c>
      <c r="N110" s="3148" t="s">
        <v>4273</v>
      </c>
    </row>
    <row r="111" spans="1:14">
      <c r="A111" s="3148">
        <v>109</v>
      </c>
      <c r="B111" s="3152" t="s">
        <v>3514</v>
      </c>
      <c r="C111" s="3152" t="s">
        <v>3622</v>
      </c>
      <c r="D111" s="3152">
        <v>38.130000000000003</v>
      </c>
      <c r="E111" s="3153">
        <v>11.69</v>
      </c>
      <c r="F111" s="3148" t="s">
        <v>4273</v>
      </c>
      <c r="I111" s="3148">
        <v>109</v>
      </c>
      <c r="J111" s="3152" t="s">
        <v>3935</v>
      </c>
      <c r="K111" s="3152" t="s">
        <v>4043</v>
      </c>
      <c r="L111" s="3152">
        <v>41.97</v>
      </c>
      <c r="M111" s="3153">
        <v>9.7100000000000009</v>
      </c>
      <c r="N111" s="3148" t="s">
        <v>4273</v>
      </c>
    </row>
    <row r="112" spans="1:14">
      <c r="A112" s="3148">
        <v>110</v>
      </c>
      <c r="B112" s="3152" t="s">
        <v>3514</v>
      </c>
      <c r="C112" s="3152" t="s">
        <v>3623</v>
      </c>
      <c r="D112" s="3152">
        <v>36.56</v>
      </c>
      <c r="E112" s="3153">
        <v>11.21</v>
      </c>
      <c r="F112" s="3148" t="s">
        <v>4273</v>
      </c>
      <c r="I112" s="3148">
        <v>110</v>
      </c>
      <c r="J112" s="3152" t="s">
        <v>3935</v>
      </c>
      <c r="K112" s="3152" t="s">
        <v>4044</v>
      </c>
      <c r="L112" s="3152">
        <v>41.97</v>
      </c>
      <c r="M112" s="3153">
        <v>9.7100000000000009</v>
      </c>
      <c r="N112" s="3148" t="s">
        <v>4273</v>
      </c>
    </row>
    <row r="113" spans="1:14">
      <c r="A113" s="3148">
        <v>111</v>
      </c>
      <c r="B113" s="3152" t="s">
        <v>3514</v>
      </c>
      <c r="C113" s="3152" t="s">
        <v>3624</v>
      </c>
      <c r="D113" s="3152">
        <v>36.56</v>
      </c>
      <c r="E113" s="3153">
        <v>11.21</v>
      </c>
      <c r="F113" s="3148" t="s">
        <v>4273</v>
      </c>
      <c r="I113" s="3148">
        <v>111</v>
      </c>
      <c r="J113" s="3152" t="s">
        <v>3935</v>
      </c>
      <c r="K113" s="3152" t="s">
        <v>4045</v>
      </c>
      <c r="L113" s="3152">
        <v>41.97</v>
      </c>
      <c r="M113" s="3153">
        <v>9.7100000000000009</v>
      </c>
      <c r="N113" s="3148" t="s">
        <v>4273</v>
      </c>
    </row>
    <row r="114" spans="1:14">
      <c r="A114" s="3148">
        <v>112</v>
      </c>
      <c r="B114" s="3152" t="s">
        <v>3514</v>
      </c>
      <c r="C114" s="3152" t="s">
        <v>3625</v>
      </c>
      <c r="D114" s="3152">
        <v>38.130000000000003</v>
      </c>
      <c r="E114" s="3153">
        <v>11.69</v>
      </c>
      <c r="F114" s="3148" t="s">
        <v>4273</v>
      </c>
      <c r="I114" s="3148">
        <v>112</v>
      </c>
      <c r="J114" s="3152" t="s">
        <v>3935</v>
      </c>
      <c r="K114" s="3152" t="s">
        <v>4046</v>
      </c>
      <c r="L114" s="3152">
        <v>41.97</v>
      </c>
      <c r="M114" s="3153">
        <v>9.7100000000000009</v>
      </c>
      <c r="N114" s="3148" t="s">
        <v>4273</v>
      </c>
    </row>
    <row r="115" spans="1:14">
      <c r="A115" s="3148">
        <v>113</v>
      </c>
      <c r="B115" s="3152" t="s">
        <v>3514</v>
      </c>
      <c r="C115" s="3152" t="s">
        <v>3626</v>
      </c>
      <c r="D115" s="3152">
        <v>36.56</v>
      </c>
      <c r="E115" s="3153">
        <v>11.21</v>
      </c>
      <c r="F115" s="3148" t="s">
        <v>4273</v>
      </c>
      <c r="I115" s="3148">
        <v>113</v>
      </c>
      <c r="J115" s="3152" t="s">
        <v>3935</v>
      </c>
      <c r="K115" s="3152" t="s">
        <v>4047</v>
      </c>
      <c r="L115" s="3152">
        <v>41.97</v>
      </c>
      <c r="M115" s="3153">
        <v>9.7100000000000009</v>
      </c>
      <c r="N115" s="3148" t="s">
        <v>4273</v>
      </c>
    </row>
    <row r="116" spans="1:14">
      <c r="A116" s="3148">
        <v>114</v>
      </c>
      <c r="B116" s="3152" t="s">
        <v>3514</v>
      </c>
      <c r="C116" s="3152" t="s">
        <v>3627</v>
      </c>
      <c r="D116" s="3152">
        <v>50.84</v>
      </c>
      <c r="E116" s="3153">
        <v>15.59</v>
      </c>
      <c r="F116" s="3148" t="s">
        <v>4273</v>
      </c>
      <c r="I116" s="3148">
        <v>114</v>
      </c>
      <c r="J116" s="3152" t="s">
        <v>3935</v>
      </c>
      <c r="K116" s="3152" t="s">
        <v>4048</v>
      </c>
      <c r="L116" s="3152">
        <v>43.78</v>
      </c>
      <c r="M116" s="3153">
        <v>10.130000000000001</v>
      </c>
      <c r="N116" s="3148" t="s">
        <v>4273</v>
      </c>
    </row>
    <row r="117" spans="1:14">
      <c r="A117" s="3148">
        <v>115</v>
      </c>
      <c r="B117" s="3152" t="s">
        <v>3514</v>
      </c>
      <c r="C117" s="3152" t="s">
        <v>3628</v>
      </c>
      <c r="D117" s="3152">
        <v>50.84</v>
      </c>
      <c r="E117" s="3153">
        <v>15.59</v>
      </c>
      <c r="F117" s="3148" t="s">
        <v>4273</v>
      </c>
      <c r="I117" s="3148">
        <v>115</v>
      </c>
      <c r="J117" s="3152" t="s">
        <v>3935</v>
      </c>
      <c r="K117" s="3152" t="s">
        <v>4049</v>
      </c>
      <c r="L117" s="3152">
        <v>41.97</v>
      </c>
      <c r="M117" s="3153">
        <v>9.7100000000000009</v>
      </c>
      <c r="N117" s="3148" t="s">
        <v>4273</v>
      </c>
    </row>
    <row r="118" spans="1:14">
      <c r="A118" s="3148">
        <v>116</v>
      </c>
      <c r="B118" s="3152" t="s">
        <v>3514</v>
      </c>
      <c r="C118" s="3152" t="s">
        <v>3629</v>
      </c>
      <c r="D118" s="3152">
        <v>36.56</v>
      </c>
      <c r="E118" s="3153">
        <v>11.21</v>
      </c>
      <c r="F118" s="3148" t="s">
        <v>4273</v>
      </c>
      <c r="I118" s="3148">
        <v>116</v>
      </c>
      <c r="J118" s="3152" t="s">
        <v>3935</v>
      </c>
      <c r="K118" s="3152" t="s">
        <v>4050</v>
      </c>
      <c r="L118" s="3152">
        <v>41.97</v>
      </c>
      <c r="M118" s="3153">
        <v>9.7100000000000009</v>
      </c>
      <c r="N118" s="3148" t="s">
        <v>4273</v>
      </c>
    </row>
    <row r="119" spans="1:14">
      <c r="A119" s="3148">
        <v>117</v>
      </c>
      <c r="B119" s="3152" t="s">
        <v>3514</v>
      </c>
      <c r="C119" s="3152" t="s">
        <v>3630</v>
      </c>
      <c r="D119" s="3152">
        <v>38.130000000000003</v>
      </c>
      <c r="E119" s="3153">
        <v>11.69</v>
      </c>
      <c r="F119" s="3148" t="s">
        <v>4273</v>
      </c>
      <c r="I119" s="3148">
        <v>117</v>
      </c>
      <c r="J119" s="3152" t="s">
        <v>3935</v>
      </c>
      <c r="K119" s="3152" t="s">
        <v>4051</v>
      </c>
      <c r="L119" s="3152">
        <v>41.97</v>
      </c>
      <c r="M119" s="3153">
        <v>9.7100000000000009</v>
      </c>
      <c r="N119" s="3148" t="s">
        <v>4273</v>
      </c>
    </row>
    <row r="120" spans="1:14">
      <c r="A120" s="3148">
        <v>118</v>
      </c>
      <c r="B120" s="3152" t="s">
        <v>3514</v>
      </c>
      <c r="C120" s="3152" t="s">
        <v>3631</v>
      </c>
      <c r="D120" s="3152">
        <v>36.56</v>
      </c>
      <c r="E120" s="3153">
        <v>11.21</v>
      </c>
      <c r="F120" s="3148" t="s">
        <v>4273</v>
      </c>
      <c r="I120" s="3148">
        <v>118</v>
      </c>
      <c r="J120" s="3152" t="s">
        <v>3935</v>
      </c>
      <c r="K120" s="3152" t="s">
        <v>4052</v>
      </c>
      <c r="L120" s="3152">
        <v>43.78</v>
      </c>
      <c r="M120" s="3153">
        <v>10.130000000000001</v>
      </c>
      <c r="N120" s="3148" t="s">
        <v>4273</v>
      </c>
    </row>
    <row r="121" spans="1:14">
      <c r="A121" s="3148">
        <v>119</v>
      </c>
      <c r="B121" s="3152" t="s">
        <v>3514</v>
      </c>
      <c r="C121" s="3152" t="s">
        <v>3632</v>
      </c>
      <c r="D121" s="3152">
        <v>36.56</v>
      </c>
      <c r="E121" s="3153">
        <v>11.21</v>
      </c>
      <c r="F121" s="3148" t="s">
        <v>4273</v>
      </c>
      <c r="I121" s="3148">
        <v>119</v>
      </c>
      <c r="J121" s="3152" t="s">
        <v>3935</v>
      </c>
      <c r="K121" s="3152" t="s">
        <v>4053</v>
      </c>
      <c r="L121" s="3152">
        <v>41.97</v>
      </c>
      <c r="M121" s="3153">
        <v>9.7100000000000009</v>
      </c>
      <c r="N121" s="3148" t="s">
        <v>4273</v>
      </c>
    </row>
    <row r="122" spans="1:14">
      <c r="A122" s="3148">
        <v>120</v>
      </c>
      <c r="B122" s="3152" t="s">
        <v>3514</v>
      </c>
      <c r="C122" s="3152" t="s">
        <v>3633</v>
      </c>
      <c r="D122" s="3152">
        <v>38.130000000000003</v>
      </c>
      <c r="E122" s="3153">
        <v>11.69</v>
      </c>
      <c r="F122" s="3148" t="s">
        <v>4273</v>
      </c>
      <c r="I122" s="3148">
        <v>120</v>
      </c>
      <c r="J122" s="3152" t="s">
        <v>3935</v>
      </c>
      <c r="K122" s="3152" t="s">
        <v>4054</v>
      </c>
      <c r="L122" s="3152">
        <v>41.97</v>
      </c>
      <c r="M122" s="3153">
        <v>9.7100000000000009</v>
      </c>
      <c r="N122" s="3148" t="s">
        <v>4273</v>
      </c>
    </row>
    <row r="123" spans="1:14">
      <c r="A123" s="3148">
        <v>121</v>
      </c>
      <c r="B123" s="3152" t="s">
        <v>3514</v>
      </c>
      <c r="C123" s="3152" t="s">
        <v>3634</v>
      </c>
      <c r="D123" s="3152">
        <v>36.56</v>
      </c>
      <c r="E123" s="3153">
        <v>11.21</v>
      </c>
      <c r="F123" s="3148" t="s">
        <v>4273</v>
      </c>
      <c r="I123" s="3148">
        <v>121</v>
      </c>
      <c r="J123" s="3152" t="s">
        <v>3935</v>
      </c>
      <c r="K123" s="3152" t="s">
        <v>4055</v>
      </c>
      <c r="L123" s="3152">
        <v>43.78</v>
      </c>
      <c r="M123" s="3153">
        <v>10.130000000000001</v>
      </c>
      <c r="N123" s="3148" t="s">
        <v>4273</v>
      </c>
    </row>
    <row r="124" spans="1:14">
      <c r="A124" s="3148">
        <v>122</v>
      </c>
      <c r="B124" s="3152" t="s">
        <v>3514</v>
      </c>
      <c r="C124" s="3152" t="s">
        <v>3635</v>
      </c>
      <c r="D124" s="3152">
        <v>36.56</v>
      </c>
      <c r="E124" s="3153">
        <v>11.21</v>
      </c>
      <c r="F124" s="3148" t="s">
        <v>4273</v>
      </c>
      <c r="I124" s="3148">
        <v>122</v>
      </c>
      <c r="J124" s="3152" t="s">
        <v>3935</v>
      </c>
      <c r="K124" s="3152" t="s">
        <v>4056</v>
      </c>
      <c r="L124" s="3152">
        <v>41.97</v>
      </c>
      <c r="M124" s="3153">
        <v>9.7100000000000009</v>
      </c>
      <c r="N124" s="3148" t="s">
        <v>4273</v>
      </c>
    </row>
    <row r="125" spans="1:14">
      <c r="A125" s="3148">
        <v>123</v>
      </c>
      <c r="B125" s="3152" t="s">
        <v>3514</v>
      </c>
      <c r="C125" s="3152" t="s">
        <v>3636</v>
      </c>
      <c r="D125" s="3152">
        <v>38.130000000000003</v>
      </c>
      <c r="E125" s="3153">
        <v>11.69</v>
      </c>
      <c r="F125" s="3148" t="s">
        <v>4273</v>
      </c>
      <c r="I125" s="3148">
        <v>123</v>
      </c>
      <c r="J125" s="3152" t="s">
        <v>3935</v>
      </c>
      <c r="K125" s="3152" t="s">
        <v>4057</v>
      </c>
      <c r="L125" s="3152">
        <v>41.97</v>
      </c>
      <c r="M125" s="3153">
        <v>9.7100000000000009</v>
      </c>
      <c r="N125" s="3148" t="s">
        <v>4273</v>
      </c>
    </row>
    <row r="126" spans="1:14">
      <c r="A126" s="3148">
        <v>124</v>
      </c>
      <c r="B126" s="3152" t="s">
        <v>3514</v>
      </c>
      <c r="C126" s="3152" t="s">
        <v>3637</v>
      </c>
      <c r="D126" s="3152">
        <v>36.56</v>
      </c>
      <c r="E126" s="3153">
        <v>11.21</v>
      </c>
      <c r="F126" s="3148" t="s">
        <v>4273</v>
      </c>
      <c r="I126" s="3148">
        <v>124</v>
      </c>
      <c r="J126" s="3152" t="s">
        <v>3935</v>
      </c>
      <c r="K126" s="3152" t="s">
        <v>4058</v>
      </c>
      <c r="L126" s="3152">
        <v>41.97</v>
      </c>
      <c r="M126" s="3153">
        <v>9.7100000000000009</v>
      </c>
      <c r="N126" s="3148" t="s">
        <v>4273</v>
      </c>
    </row>
    <row r="127" spans="1:14">
      <c r="A127" s="3148">
        <v>125</v>
      </c>
      <c r="B127" s="3152" t="s">
        <v>3514</v>
      </c>
      <c r="C127" s="3152" t="s">
        <v>3638</v>
      </c>
      <c r="D127" s="3152">
        <v>36.56</v>
      </c>
      <c r="E127" s="3153">
        <v>11.21</v>
      </c>
      <c r="F127" s="3148" t="s">
        <v>4273</v>
      </c>
      <c r="I127" s="3148">
        <v>125</v>
      </c>
      <c r="J127" s="3152" t="s">
        <v>3935</v>
      </c>
      <c r="K127" s="3152" t="s">
        <v>4059</v>
      </c>
      <c r="L127" s="3152">
        <v>41.97</v>
      </c>
      <c r="M127" s="3153">
        <v>9.7100000000000009</v>
      </c>
      <c r="N127" s="3148" t="s">
        <v>4273</v>
      </c>
    </row>
    <row r="128" spans="1:14">
      <c r="A128" s="3148">
        <v>126</v>
      </c>
      <c r="B128" s="3152" t="s">
        <v>3514</v>
      </c>
      <c r="C128" s="3152" t="s">
        <v>3639</v>
      </c>
      <c r="D128" s="3152">
        <v>38.130000000000003</v>
      </c>
      <c r="E128" s="3153">
        <v>11.69</v>
      </c>
      <c r="F128" s="3148" t="s">
        <v>4273</v>
      </c>
      <c r="I128" s="3148">
        <v>126</v>
      </c>
      <c r="J128" s="3152" t="s">
        <v>3935</v>
      </c>
      <c r="K128" s="3152" t="s">
        <v>4060</v>
      </c>
      <c r="L128" s="3152">
        <v>43.78</v>
      </c>
      <c r="M128" s="3153">
        <v>10.130000000000001</v>
      </c>
      <c r="N128" s="3148" t="s">
        <v>4273</v>
      </c>
    </row>
    <row r="129" spans="1:14">
      <c r="A129" s="3148">
        <v>127</v>
      </c>
      <c r="B129" s="3152" t="s">
        <v>3514</v>
      </c>
      <c r="C129" s="3152" t="s">
        <v>3640</v>
      </c>
      <c r="D129" s="3152">
        <v>36.56</v>
      </c>
      <c r="E129" s="3153">
        <v>11.21</v>
      </c>
      <c r="F129" s="3148" t="s">
        <v>4273</v>
      </c>
      <c r="I129" s="3148">
        <v>127</v>
      </c>
      <c r="J129" s="3152" t="s">
        <v>3935</v>
      </c>
      <c r="K129" s="3152" t="s">
        <v>4061</v>
      </c>
      <c r="L129" s="3152">
        <v>41.97</v>
      </c>
      <c r="M129" s="3153">
        <v>9.7100000000000009</v>
      </c>
      <c r="N129" s="3148" t="s">
        <v>4273</v>
      </c>
    </row>
    <row r="130" spans="1:14">
      <c r="A130" s="3148">
        <v>128</v>
      </c>
      <c r="B130" s="3152" t="s">
        <v>3514</v>
      </c>
      <c r="C130" s="3152" t="s">
        <v>3641</v>
      </c>
      <c r="D130" s="3152">
        <v>36.56</v>
      </c>
      <c r="E130" s="3153">
        <v>11.21</v>
      </c>
      <c r="F130" s="3148" t="s">
        <v>4273</v>
      </c>
      <c r="I130" s="3148">
        <v>128</v>
      </c>
      <c r="J130" s="3152" t="s">
        <v>3935</v>
      </c>
      <c r="K130" s="3152" t="s">
        <v>4062</v>
      </c>
      <c r="L130" s="3152">
        <v>41.97</v>
      </c>
      <c r="M130" s="3153">
        <v>9.7100000000000009</v>
      </c>
      <c r="N130" s="3148" t="s">
        <v>4273</v>
      </c>
    </row>
    <row r="131" spans="1:14">
      <c r="A131" s="3148">
        <v>129</v>
      </c>
      <c r="B131" s="3152" t="s">
        <v>3514</v>
      </c>
      <c r="C131" s="3152" t="s">
        <v>3642</v>
      </c>
      <c r="D131" s="3152">
        <v>36.56</v>
      </c>
      <c r="E131" s="3153">
        <v>11.21</v>
      </c>
      <c r="F131" s="3148" t="s">
        <v>4273</v>
      </c>
      <c r="I131" s="3148">
        <v>129</v>
      </c>
      <c r="J131" s="3152" t="s">
        <v>3935</v>
      </c>
      <c r="K131" s="3152" t="s">
        <v>4063</v>
      </c>
      <c r="L131" s="3152">
        <v>41.97</v>
      </c>
      <c r="M131" s="3153">
        <v>9.7100000000000009</v>
      </c>
      <c r="N131" s="3148" t="s">
        <v>4273</v>
      </c>
    </row>
    <row r="132" spans="1:14">
      <c r="A132" s="3148">
        <v>130</v>
      </c>
      <c r="B132" s="3152" t="s">
        <v>3514</v>
      </c>
      <c r="C132" s="3152" t="s">
        <v>3643</v>
      </c>
      <c r="D132" s="3152">
        <v>36.56</v>
      </c>
      <c r="E132" s="3153">
        <v>11.21</v>
      </c>
      <c r="F132" s="3148" t="s">
        <v>4273</v>
      </c>
      <c r="I132" s="3148">
        <v>130</v>
      </c>
      <c r="J132" s="3152" t="s">
        <v>3935</v>
      </c>
      <c r="K132" s="3152" t="s">
        <v>4064</v>
      </c>
      <c r="L132" s="3152">
        <v>43.78</v>
      </c>
      <c r="M132" s="3153">
        <v>10.130000000000001</v>
      </c>
      <c r="N132" s="3148" t="s">
        <v>4273</v>
      </c>
    </row>
    <row r="133" spans="1:14">
      <c r="A133" s="3148">
        <v>131</v>
      </c>
      <c r="B133" s="3152" t="s">
        <v>3514</v>
      </c>
      <c r="C133" s="3152" t="s">
        <v>3644</v>
      </c>
      <c r="D133" s="3152">
        <v>38.130000000000003</v>
      </c>
      <c r="E133" s="3153">
        <v>11.69</v>
      </c>
      <c r="F133" s="3148" t="s">
        <v>4273</v>
      </c>
      <c r="I133" s="3148">
        <v>131</v>
      </c>
      <c r="J133" s="3152" t="s">
        <v>3935</v>
      </c>
      <c r="K133" s="3152" t="s">
        <v>4065</v>
      </c>
      <c r="L133" s="3152">
        <v>41.97</v>
      </c>
      <c r="M133" s="3153">
        <v>9.7100000000000009</v>
      </c>
      <c r="N133" s="3148" t="s">
        <v>4273</v>
      </c>
    </row>
    <row r="134" spans="1:14">
      <c r="A134" s="3148">
        <v>132</v>
      </c>
      <c r="B134" s="3152" t="s">
        <v>3514</v>
      </c>
      <c r="C134" s="3152" t="s">
        <v>3645</v>
      </c>
      <c r="D134" s="3152">
        <v>38.130000000000003</v>
      </c>
      <c r="E134" s="3153">
        <v>11.69</v>
      </c>
      <c r="F134" s="3148" t="s">
        <v>4273</v>
      </c>
      <c r="I134" s="3148">
        <v>132</v>
      </c>
      <c r="J134" s="3152" t="s">
        <v>3935</v>
      </c>
      <c r="K134" s="3152" t="s">
        <v>4066</v>
      </c>
      <c r="L134" s="3152">
        <v>41.97</v>
      </c>
      <c r="M134" s="3153">
        <v>9.7100000000000009</v>
      </c>
      <c r="N134" s="3148" t="s">
        <v>4273</v>
      </c>
    </row>
    <row r="135" spans="1:14">
      <c r="A135" s="3148">
        <v>133</v>
      </c>
      <c r="B135" s="3152" t="s">
        <v>3514</v>
      </c>
      <c r="C135" s="3152" t="s">
        <v>3646</v>
      </c>
      <c r="D135" s="3152">
        <v>36.56</v>
      </c>
      <c r="E135" s="3153">
        <v>11.21</v>
      </c>
      <c r="F135" s="3148" t="s">
        <v>4273</v>
      </c>
      <c r="I135" s="3148">
        <v>133</v>
      </c>
      <c r="J135" s="3152" t="s">
        <v>3935</v>
      </c>
      <c r="K135" s="3152" t="s">
        <v>4067</v>
      </c>
      <c r="L135" s="3152">
        <v>43.78</v>
      </c>
      <c r="M135" s="3153">
        <v>10.130000000000001</v>
      </c>
      <c r="N135" s="3148" t="s">
        <v>4273</v>
      </c>
    </row>
    <row r="136" spans="1:14">
      <c r="A136" s="3148">
        <v>134</v>
      </c>
      <c r="B136" s="3152" t="s">
        <v>3514</v>
      </c>
      <c r="C136" s="3152" t="s">
        <v>3647</v>
      </c>
      <c r="D136" s="3152">
        <v>36.56</v>
      </c>
      <c r="E136" s="3153">
        <v>11.21</v>
      </c>
      <c r="F136" s="3148" t="s">
        <v>4273</v>
      </c>
      <c r="I136" s="3148">
        <v>134</v>
      </c>
      <c r="J136" s="3152" t="s">
        <v>3935</v>
      </c>
      <c r="K136" s="3152" t="s">
        <v>4068</v>
      </c>
      <c r="L136" s="3152">
        <v>41.97</v>
      </c>
      <c r="M136" s="3153">
        <v>9.7100000000000009</v>
      </c>
      <c r="N136" s="3148" t="s">
        <v>4273</v>
      </c>
    </row>
    <row r="137" spans="1:14">
      <c r="A137" s="3148">
        <v>135</v>
      </c>
      <c r="B137" s="3152" t="s">
        <v>3514</v>
      </c>
      <c r="C137" s="3152" t="s">
        <v>3648</v>
      </c>
      <c r="D137" s="3152">
        <v>38.130000000000003</v>
      </c>
      <c r="E137" s="3153">
        <v>11.69</v>
      </c>
      <c r="F137" s="3148" t="s">
        <v>4273</v>
      </c>
      <c r="I137" s="3148">
        <v>135</v>
      </c>
      <c r="J137" s="3152" t="s">
        <v>3935</v>
      </c>
      <c r="K137" s="3152" t="s">
        <v>4069</v>
      </c>
      <c r="L137" s="3152">
        <v>41.97</v>
      </c>
      <c r="M137" s="3153">
        <v>9.7100000000000009</v>
      </c>
      <c r="N137" s="3148" t="s">
        <v>4273</v>
      </c>
    </row>
    <row r="138" spans="1:14">
      <c r="A138" s="3148">
        <v>136</v>
      </c>
      <c r="B138" s="3152" t="s">
        <v>3514</v>
      </c>
      <c r="C138" s="3152" t="s">
        <v>3649</v>
      </c>
      <c r="D138" s="3152">
        <v>36.56</v>
      </c>
      <c r="E138" s="3153">
        <v>11.21</v>
      </c>
      <c r="F138" s="3148" t="s">
        <v>4273</v>
      </c>
      <c r="I138" s="3148">
        <v>136</v>
      </c>
      <c r="J138" s="3152" t="s">
        <v>3935</v>
      </c>
      <c r="K138" s="3152" t="s">
        <v>4070</v>
      </c>
      <c r="L138" s="3152">
        <v>43.78</v>
      </c>
      <c r="M138" s="3153">
        <v>10.130000000000001</v>
      </c>
      <c r="N138" s="3148" t="s">
        <v>4273</v>
      </c>
    </row>
    <row r="139" spans="1:14">
      <c r="A139" s="3148">
        <v>137</v>
      </c>
      <c r="B139" s="3152" t="s">
        <v>3514</v>
      </c>
      <c r="C139" s="3152" t="s">
        <v>3650</v>
      </c>
      <c r="D139" s="3152">
        <v>36.56</v>
      </c>
      <c r="E139" s="3153">
        <v>11.21</v>
      </c>
      <c r="F139" s="3148" t="s">
        <v>4273</v>
      </c>
      <c r="I139" s="3148">
        <v>137</v>
      </c>
      <c r="J139" s="3152" t="s">
        <v>3935</v>
      </c>
      <c r="K139" s="3152" t="s">
        <v>4071</v>
      </c>
      <c r="L139" s="3152">
        <v>41.97</v>
      </c>
      <c r="M139" s="3153">
        <v>9.7100000000000009</v>
      </c>
      <c r="N139" s="3148" t="s">
        <v>4273</v>
      </c>
    </row>
    <row r="140" spans="1:14">
      <c r="A140" s="3148">
        <v>138</v>
      </c>
      <c r="B140" s="3152" t="s">
        <v>3514</v>
      </c>
      <c r="C140" s="3152" t="s">
        <v>3651</v>
      </c>
      <c r="D140" s="3152">
        <v>38.130000000000003</v>
      </c>
      <c r="E140" s="3153">
        <v>11.69</v>
      </c>
      <c r="F140" s="3148" t="s">
        <v>4273</v>
      </c>
      <c r="I140" s="3148">
        <v>138</v>
      </c>
      <c r="J140" s="3152" t="s">
        <v>3935</v>
      </c>
      <c r="K140" s="3152" t="s">
        <v>4072</v>
      </c>
      <c r="L140" s="3152">
        <v>41.97</v>
      </c>
      <c r="M140" s="3153">
        <v>9.7100000000000009</v>
      </c>
      <c r="N140" s="3148" t="s">
        <v>4273</v>
      </c>
    </row>
    <row r="141" spans="1:14">
      <c r="A141" s="3148">
        <v>139</v>
      </c>
      <c r="B141" s="3152" t="s">
        <v>3514</v>
      </c>
      <c r="C141" s="3152" t="s">
        <v>3652</v>
      </c>
      <c r="D141" s="3152">
        <v>36.56</v>
      </c>
      <c r="E141" s="3153">
        <v>11.21</v>
      </c>
      <c r="F141" s="3148" t="s">
        <v>4273</v>
      </c>
      <c r="I141" s="3148">
        <v>139</v>
      </c>
      <c r="J141" s="3152" t="s">
        <v>3935</v>
      </c>
      <c r="K141" s="3152" t="s">
        <v>4073</v>
      </c>
      <c r="L141" s="3152">
        <v>41.97</v>
      </c>
      <c r="M141" s="3153">
        <v>9.7100000000000009</v>
      </c>
      <c r="N141" s="3148" t="s">
        <v>4273</v>
      </c>
    </row>
    <row r="142" spans="1:14">
      <c r="A142" s="3148">
        <v>140</v>
      </c>
      <c r="B142" s="3152" t="s">
        <v>3514</v>
      </c>
      <c r="C142" s="3152" t="s">
        <v>3653</v>
      </c>
      <c r="D142" s="3152">
        <v>36.56</v>
      </c>
      <c r="E142" s="3153">
        <v>11.21</v>
      </c>
      <c r="F142" s="3148" t="s">
        <v>4273</v>
      </c>
      <c r="I142" s="3148">
        <v>140</v>
      </c>
      <c r="J142" s="3152" t="s">
        <v>3935</v>
      </c>
      <c r="K142" s="3152" t="s">
        <v>4074</v>
      </c>
      <c r="L142" s="3152">
        <v>41.97</v>
      </c>
      <c r="M142" s="3153">
        <v>9.7100000000000009</v>
      </c>
      <c r="N142" s="3148" t="s">
        <v>4273</v>
      </c>
    </row>
    <row r="143" spans="1:14">
      <c r="A143" s="3148">
        <v>141</v>
      </c>
      <c r="B143" s="3152" t="s">
        <v>3514</v>
      </c>
      <c r="C143" s="3152" t="s">
        <v>3654</v>
      </c>
      <c r="D143" s="3152">
        <v>38.130000000000003</v>
      </c>
      <c r="E143" s="3153">
        <v>11.69</v>
      </c>
      <c r="F143" s="3148" t="s">
        <v>4273</v>
      </c>
      <c r="I143" s="3148">
        <v>141</v>
      </c>
      <c r="J143" s="3152" t="s">
        <v>3935</v>
      </c>
      <c r="K143" s="3152" t="s">
        <v>4075</v>
      </c>
      <c r="L143" s="3152">
        <v>41.97</v>
      </c>
      <c r="M143" s="3153">
        <v>9.7100000000000009</v>
      </c>
      <c r="N143" s="3148" t="s">
        <v>4273</v>
      </c>
    </row>
    <row r="144" spans="1:14">
      <c r="A144" s="3148">
        <v>142</v>
      </c>
      <c r="B144" s="3152" t="s">
        <v>3514</v>
      </c>
      <c r="C144" s="3152" t="s">
        <v>3655</v>
      </c>
      <c r="D144" s="3152">
        <v>36.56</v>
      </c>
      <c r="E144" s="3153">
        <v>11.21</v>
      </c>
      <c r="F144" s="3148" t="s">
        <v>4273</v>
      </c>
      <c r="I144" s="3148">
        <v>142</v>
      </c>
      <c r="J144" s="3152" t="s">
        <v>3935</v>
      </c>
      <c r="K144" s="3152" t="s">
        <v>4076</v>
      </c>
      <c r="L144" s="3152">
        <v>41.97</v>
      </c>
      <c r="M144" s="3153">
        <v>9.7100000000000009</v>
      </c>
      <c r="N144" s="3148" t="s">
        <v>4273</v>
      </c>
    </row>
    <row r="145" spans="1:14">
      <c r="A145" s="3148">
        <v>143</v>
      </c>
      <c r="B145" s="3152" t="s">
        <v>3514</v>
      </c>
      <c r="C145" s="3152" t="s">
        <v>3656</v>
      </c>
      <c r="D145" s="3152">
        <v>36.56</v>
      </c>
      <c r="E145" s="3153">
        <v>11.21</v>
      </c>
      <c r="F145" s="3148" t="s">
        <v>4273</v>
      </c>
      <c r="I145" s="3148">
        <v>143</v>
      </c>
      <c r="J145" s="3152" t="s">
        <v>3935</v>
      </c>
      <c r="K145" s="3152" t="s">
        <v>4077</v>
      </c>
      <c r="L145" s="3152">
        <v>43.78</v>
      </c>
      <c r="M145" s="3153">
        <v>10.130000000000001</v>
      </c>
      <c r="N145" s="3148" t="s">
        <v>4273</v>
      </c>
    </row>
    <row r="146" spans="1:14">
      <c r="A146" s="3148">
        <v>144</v>
      </c>
      <c r="B146" s="3152" t="s">
        <v>3514</v>
      </c>
      <c r="C146" s="3152" t="s">
        <v>3657</v>
      </c>
      <c r="D146" s="3152">
        <v>38.130000000000003</v>
      </c>
      <c r="E146" s="3153">
        <v>11.69</v>
      </c>
      <c r="F146" s="3148" t="s">
        <v>4273</v>
      </c>
      <c r="I146" s="3148">
        <v>144</v>
      </c>
      <c r="J146" s="3152" t="s">
        <v>3935</v>
      </c>
      <c r="K146" s="3152" t="s">
        <v>4078</v>
      </c>
      <c r="L146" s="3152">
        <v>41.97</v>
      </c>
      <c r="M146" s="3153">
        <v>9.7100000000000009</v>
      </c>
      <c r="N146" s="3148" t="s">
        <v>4273</v>
      </c>
    </row>
    <row r="147" spans="1:14">
      <c r="A147" s="3148">
        <v>145</v>
      </c>
      <c r="B147" s="3152" t="s">
        <v>3514</v>
      </c>
      <c r="C147" s="3152" t="s">
        <v>3658</v>
      </c>
      <c r="D147" s="3152">
        <v>36.56</v>
      </c>
      <c r="E147" s="3153">
        <v>11.21</v>
      </c>
      <c r="F147" s="3148" t="s">
        <v>4273</v>
      </c>
      <c r="I147" s="3148">
        <v>145</v>
      </c>
      <c r="J147" s="3152" t="s">
        <v>3935</v>
      </c>
      <c r="K147" s="3152" t="s">
        <v>4079</v>
      </c>
      <c r="L147" s="3152">
        <v>41.97</v>
      </c>
      <c r="M147" s="3153">
        <v>9.7100000000000009</v>
      </c>
      <c r="N147" s="3148" t="s">
        <v>4273</v>
      </c>
    </row>
    <row r="148" spans="1:14">
      <c r="A148" s="3148">
        <v>146</v>
      </c>
      <c r="B148" s="3152" t="s">
        <v>3514</v>
      </c>
      <c r="C148" s="3152" t="s">
        <v>3659</v>
      </c>
      <c r="D148" s="3152">
        <v>36.56</v>
      </c>
      <c r="E148" s="3153">
        <v>11.21</v>
      </c>
      <c r="F148" s="3148" t="s">
        <v>4273</v>
      </c>
      <c r="I148" s="3148">
        <v>146</v>
      </c>
      <c r="J148" s="3152" t="s">
        <v>3935</v>
      </c>
      <c r="K148" s="3152" t="s">
        <v>4080</v>
      </c>
      <c r="L148" s="3152">
        <v>41.97</v>
      </c>
      <c r="M148" s="3153">
        <v>9.7100000000000009</v>
      </c>
      <c r="N148" s="3148" t="s">
        <v>4273</v>
      </c>
    </row>
    <row r="149" spans="1:14">
      <c r="A149" s="3148">
        <v>147</v>
      </c>
      <c r="B149" s="3152" t="s">
        <v>3514</v>
      </c>
      <c r="C149" s="3152" t="s">
        <v>3660</v>
      </c>
      <c r="D149" s="3152">
        <v>38.130000000000003</v>
      </c>
      <c r="E149" s="3153">
        <v>11.69</v>
      </c>
      <c r="F149" s="3148" t="s">
        <v>4273</v>
      </c>
      <c r="I149" s="3148">
        <v>147</v>
      </c>
      <c r="J149" s="3152" t="s">
        <v>3935</v>
      </c>
      <c r="K149" s="3152" t="s">
        <v>4081</v>
      </c>
      <c r="L149" s="3152">
        <v>41.97</v>
      </c>
      <c r="M149" s="3153">
        <v>9.7100000000000009</v>
      </c>
      <c r="N149" s="3148" t="s">
        <v>4273</v>
      </c>
    </row>
    <row r="150" spans="1:14">
      <c r="A150" s="3148">
        <v>148</v>
      </c>
      <c r="B150" s="3152" t="s">
        <v>3514</v>
      </c>
      <c r="C150" s="3152" t="s">
        <v>3661</v>
      </c>
      <c r="D150" s="3152">
        <v>36.56</v>
      </c>
      <c r="E150" s="3153">
        <v>11.21</v>
      </c>
      <c r="F150" s="3148" t="s">
        <v>4273</v>
      </c>
      <c r="I150" s="3148">
        <v>148</v>
      </c>
      <c r="J150" s="3152" t="s">
        <v>3935</v>
      </c>
      <c r="K150" s="3152" t="s">
        <v>4082</v>
      </c>
      <c r="L150" s="3152">
        <v>41.97</v>
      </c>
      <c r="M150" s="3153">
        <v>9.7100000000000009</v>
      </c>
      <c r="N150" s="3148" t="s">
        <v>4273</v>
      </c>
    </row>
    <row r="151" spans="1:14">
      <c r="A151" s="3148">
        <v>149</v>
      </c>
      <c r="B151" s="3152" t="s">
        <v>3514</v>
      </c>
      <c r="C151" s="3152" t="s">
        <v>3662</v>
      </c>
      <c r="D151" s="3152">
        <v>36.56</v>
      </c>
      <c r="E151" s="3153">
        <v>11.21</v>
      </c>
      <c r="F151" s="3148" t="s">
        <v>4273</v>
      </c>
      <c r="I151" s="3148">
        <v>149</v>
      </c>
      <c r="J151" s="3152" t="s">
        <v>3935</v>
      </c>
      <c r="K151" s="3152" t="s">
        <v>4083</v>
      </c>
      <c r="L151" s="3152">
        <v>41.97</v>
      </c>
      <c r="M151" s="3153">
        <v>9.7100000000000009</v>
      </c>
      <c r="N151" s="3148" t="s">
        <v>4273</v>
      </c>
    </row>
    <row r="152" spans="1:14">
      <c r="A152" s="3148">
        <v>150</v>
      </c>
      <c r="B152" s="3152" t="s">
        <v>3514</v>
      </c>
      <c r="C152" s="3152" t="s">
        <v>3663</v>
      </c>
      <c r="D152" s="3152">
        <v>38.130000000000003</v>
      </c>
      <c r="E152" s="3153">
        <v>11.69</v>
      </c>
      <c r="F152" s="3148" t="s">
        <v>4273</v>
      </c>
      <c r="I152" s="3148">
        <v>150</v>
      </c>
      <c r="J152" s="3152" t="s">
        <v>3935</v>
      </c>
      <c r="K152" s="3152" t="s">
        <v>4084</v>
      </c>
      <c r="L152" s="3152">
        <v>41.97</v>
      </c>
      <c r="M152" s="3153">
        <v>9.7100000000000009</v>
      </c>
      <c r="N152" s="3148" t="s">
        <v>4273</v>
      </c>
    </row>
    <row r="153" spans="1:14">
      <c r="A153" s="3148">
        <v>151</v>
      </c>
      <c r="B153" s="3152" t="s">
        <v>3514</v>
      </c>
      <c r="C153" s="3152" t="s">
        <v>3664</v>
      </c>
      <c r="D153" s="3152">
        <v>36.56</v>
      </c>
      <c r="E153" s="3153">
        <v>11.21</v>
      </c>
      <c r="F153" s="3148" t="s">
        <v>4273</v>
      </c>
      <c r="I153" s="3148">
        <v>151</v>
      </c>
      <c r="J153" s="3152" t="s">
        <v>3935</v>
      </c>
      <c r="K153" s="3152" t="s">
        <v>4085</v>
      </c>
      <c r="L153" s="3152">
        <v>41.97</v>
      </c>
      <c r="M153" s="3153">
        <v>9.7100000000000009</v>
      </c>
      <c r="N153" s="3148" t="s">
        <v>4273</v>
      </c>
    </row>
    <row r="154" spans="1:14">
      <c r="A154" s="3148">
        <v>152</v>
      </c>
      <c r="B154" s="3152" t="s">
        <v>3514</v>
      </c>
      <c r="C154" s="3152" t="s">
        <v>3665</v>
      </c>
      <c r="D154" s="3152">
        <v>36.56</v>
      </c>
      <c r="E154" s="3153">
        <v>11.21</v>
      </c>
      <c r="F154" s="3148" t="s">
        <v>4273</v>
      </c>
      <c r="I154" s="3148">
        <v>152</v>
      </c>
      <c r="J154" s="3152" t="s">
        <v>3935</v>
      </c>
      <c r="K154" s="3152" t="s">
        <v>4086</v>
      </c>
      <c r="L154" s="3152">
        <v>43.78</v>
      </c>
      <c r="M154" s="3153">
        <v>10.130000000000001</v>
      </c>
      <c r="N154" s="3148" t="s">
        <v>4273</v>
      </c>
    </row>
    <row r="155" spans="1:14">
      <c r="A155" s="3148">
        <v>153</v>
      </c>
      <c r="B155" s="3152" t="s">
        <v>3514</v>
      </c>
      <c r="C155" s="3152" t="s">
        <v>3666</v>
      </c>
      <c r="D155" s="3152">
        <v>38.130000000000003</v>
      </c>
      <c r="E155" s="3153">
        <v>11.69</v>
      </c>
      <c r="F155" s="3148" t="s">
        <v>4273</v>
      </c>
      <c r="I155" s="3148">
        <v>153</v>
      </c>
      <c r="J155" s="3152" t="s">
        <v>3935</v>
      </c>
      <c r="K155" s="3152" t="s">
        <v>4087</v>
      </c>
      <c r="L155" s="3152">
        <v>41.97</v>
      </c>
      <c r="M155" s="3153">
        <v>9.7100000000000009</v>
      </c>
      <c r="N155" s="3148" t="s">
        <v>4273</v>
      </c>
    </row>
    <row r="156" spans="1:14">
      <c r="A156" s="3148">
        <v>154</v>
      </c>
      <c r="B156" s="3152" t="s">
        <v>3514</v>
      </c>
      <c r="C156" s="3152" t="s">
        <v>3667</v>
      </c>
      <c r="D156" s="3152">
        <v>36.56</v>
      </c>
      <c r="E156" s="3153">
        <v>11.21</v>
      </c>
      <c r="F156" s="3148" t="s">
        <v>4273</v>
      </c>
      <c r="I156" s="3148">
        <v>154</v>
      </c>
      <c r="J156" s="3152" t="s">
        <v>3935</v>
      </c>
      <c r="K156" s="3152" t="s">
        <v>4088</v>
      </c>
      <c r="L156" s="3152">
        <v>41.97</v>
      </c>
      <c r="M156" s="3153">
        <v>9.7100000000000009</v>
      </c>
      <c r="N156" s="3148" t="s">
        <v>4273</v>
      </c>
    </row>
    <row r="157" spans="1:14">
      <c r="A157" s="3148">
        <v>155</v>
      </c>
      <c r="B157" s="3152" t="s">
        <v>3514</v>
      </c>
      <c r="C157" s="3152" t="s">
        <v>3668</v>
      </c>
      <c r="D157" s="3152">
        <v>36.56</v>
      </c>
      <c r="E157" s="3153">
        <v>11.21</v>
      </c>
      <c r="F157" s="3148" t="s">
        <v>4273</v>
      </c>
      <c r="I157" s="3148">
        <v>155</v>
      </c>
      <c r="J157" s="3152" t="s">
        <v>3935</v>
      </c>
      <c r="K157" s="3152" t="s">
        <v>4089</v>
      </c>
      <c r="L157" s="3152">
        <v>43.78</v>
      </c>
      <c r="M157" s="3153">
        <v>10.130000000000001</v>
      </c>
      <c r="N157" s="3148" t="s">
        <v>4273</v>
      </c>
    </row>
    <row r="158" spans="1:14">
      <c r="A158" s="3148">
        <v>156</v>
      </c>
      <c r="B158" s="3152" t="s">
        <v>3514</v>
      </c>
      <c r="C158" s="3152" t="s">
        <v>3669</v>
      </c>
      <c r="D158" s="3152">
        <v>38.130000000000003</v>
      </c>
      <c r="E158" s="3153">
        <v>11.69</v>
      </c>
      <c r="F158" s="3148" t="s">
        <v>4273</v>
      </c>
      <c r="I158" s="3148">
        <v>156</v>
      </c>
      <c r="J158" s="3152" t="s">
        <v>3935</v>
      </c>
      <c r="K158" s="3152" t="s">
        <v>4090</v>
      </c>
      <c r="L158" s="3152">
        <v>41.97</v>
      </c>
      <c r="M158" s="3153">
        <v>9.7100000000000009</v>
      </c>
      <c r="N158" s="3148" t="s">
        <v>4273</v>
      </c>
    </row>
    <row r="159" spans="1:14">
      <c r="A159" s="3148">
        <v>157</v>
      </c>
      <c r="B159" s="3152" t="s">
        <v>3514</v>
      </c>
      <c r="C159" s="3152" t="s">
        <v>3670</v>
      </c>
      <c r="D159" s="3152">
        <v>36.56</v>
      </c>
      <c r="E159" s="3153">
        <v>11.21</v>
      </c>
      <c r="F159" s="3148" t="s">
        <v>4273</v>
      </c>
      <c r="I159" s="3148">
        <v>157</v>
      </c>
      <c r="J159" s="3152" t="s">
        <v>3935</v>
      </c>
      <c r="K159" s="3152" t="s">
        <v>4091</v>
      </c>
      <c r="L159" s="3152">
        <v>41.97</v>
      </c>
      <c r="M159" s="3153">
        <v>9.7100000000000009</v>
      </c>
      <c r="N159" s="3148" t="s">
        <v>4273</v>
      </c>
    </row>
    <row r="160" spans="1:14">
      <c r="A160" s="3148">
        <v>158</v>
      </c>
      <c r="B160" s="3152" t="s">
        <v>3514</v>
      </c>
      <c r="C160" s="3152" t="s">
        <v>3671</v>
      </c>
      <c r="D160" s="3152">
        <v>36.56</v>
      </c>
      <c r="E160" s="3153">
        <v>11.21</v>
      </c>
      <c r="F160" s="3148" t="s">
        <v>4273</v>
      </c>
      <c r="I160" s="3148">
        <v>158</v>
      </c>
      <c r="J160" s="3152" t="s">
        <v>3935</v>
      </c>
      <c r="K160" s="3152" t="s">
        <v>4092</v>
      </c>
      <c r="L160" s="3152">
        <v>43.78</v>
      </c>
      <c r="M160" s="3153">
        <v>10.130000000000001</v>
      </c>
      <c r="N160" s="3148" t="s">
        <v>4273</v>
      </c>
    </row>
    <row r="161" spans="1:14">
      <c r="A161" s="3148">
        <v>159</v>
      </c>
      <c r="B161" s="3152" t="s">
        <v>3514</v>
      </c>
      <c r="C161" s="3152" t="s">
        <v>3672</v>
      </c>
      <c r="D161" s="3152">
        <v>38.130000000000003</v>
      </c>
      <c r="E161" s="3153">
        <v>11.69</v>
      </c>
      <c r="F161" s="3148" t="s">
        <v>4273</v>
      </c>
      <c r="I161" s="3148">
        <v>159</v>
      </c>
      <c r="J161" s="3152" t="s">
        <v>3935</v>
      </c>
      <c r="K161" s="3152" t="s">
        <v>4093</v>
      </c>
      <c r="L161" s="3152">
        <v>41.97</v>
      </c>
      <c r="M161" s="3153">
        <v>9.7100000000000009</v>
      </c>
      <c r="N161" s="3148" t="s">
        <v>4273</v>
      </c>
    </row>
    <row r="162" spans="1:14">
      <c r="A162" s="3148">
        <v>160</v>
      </c>
      <c r="B162" s="3152" t="s">
        <v>3514</v>
      </c>
      <c r="C162" s="3152" t="s">
        <v>3673</v>
      </c>
      <c r="D162" s="3152">
        <v>36.56</v>
      </c>
      <c r="E162" s="3153">
        <v>11.21</v>
      </c>
      <c r="F162" s="3148" t="s">
        <v>4273</v>
      </c>
      <c r="I162" s="3148">
        <v>160</v>
      </c>
      <c r="J162" s="3152" t="s">
        <v>3935</v>
      </c>
      <c r="K162" s="3152" t="s">
        <v>4094</v>
      </c>
      <c r="L162" s="3152">
        <v>41.97</v>
      </c>
      <c r="M162" s="3153">
        <v>9.7100000000000009</v>
      </c>
      <c r="N162" s="3148" t="s">
        <v>4273</v>
      </c>
    </row>
    <row r="163" spans="1:14">
      <c r="A163" s="3148">
        <v>161</v>
      </c>
      <c r="B163" s="3152" t="s">
        <v>3514</v>
      </c>
      <c r="C163" s="3152" t="s">
        <v>3674</v>
      </c>
      <c r="D163" s="3152">
        <v>36.56</v>
      </c>
      <c r="E163" s="3153">
        <v>11.21</v>
      </c>
      <c r="F163" s="3148" t="s">
        <v>4273</v>
      </c>
      <c r="I163" s="3148">
        <v>161</v>
      </c>
      <c r="J163" s="3152" t="s">
        <v>3935</v>
      </c>
      <c r="K163" s="3152" t="s">
        <v>4095</v>
      </c>
      <c r="L163" s="3152">
        <v>43.78</v>
      </c>
      <c r="M163" s="3153">
        <v>10.130000000000001</v>
      </c>
      <c r="N163" s="3148" t="s">
        <v>4273</v>
      </c>
    </row>
    <row r="164" spans="1:14">
      <c r="A164" s="3148">
        <v>162</v>
      </c>
      <c r="B164" s="3152" t="s">
        <v>3514</v>
      </c>
      <c r="C164" s="3152" t="s">
        <v>3675</v>
      </c>
      <c r="D164" s="3152">
        <v>38.130000000000003</v>
      </c>
      <c r="E164" s="3153">
        <v>11.69</v>
      </c>
      <c r="F164" s="3148" t="s">
        <v>4273</v>
      </c>
      <c r="I164" s="3148">
        <v>162</v>
      </c>
      <c r="J164" s="3152" t="s">
        <v>3935</v>
      </c>
      <c r="K164" s="3152" t="s">
        <v>4096</v>
      </c>
      <c r="L164" s="3152">
        <v>41.97</v>
      </c>
      <c r="M164" s="3153">
        <v>9.7100000000000009</v>
      </c>
      <c r="N164" s="3148" t="s">
        <v>4273</v>
      </c>
    </row>
    <row r="165" spans="1:14">
      <c r="A165" s="3148">
        <v>163</v>
      </c>
      <c r="B165" s="3152" t="s">
        <v>3514</v>
      </c>
      <c r="C165" s="3152" t="s">
        <v>3676</v>
      </c>
      <c r="D165" s="3152">
        <v>36.56</v>
      </c>
      <c r="E165" s="3153">
        <v>11.21</v>
      </c>
      <c r="F165" s="3148" t="s">
        <v>4273</v>
      </c>
      <c r="I165" s="3148">
        <v>163</v>
      </c>
      <c r="J165" s="3152" t="s">
        <v>3935</v>
      </c>
      <c r="K165" s="3152" t="s">
        <v>4097</v>
      </c>
      <c r="L165" s="3152">
        <v>41.97</v>
      </c>
      <c r="M165" s="3153">
        <v>9.7100000000000009</v>
      </c>
      <c r="N165" s="3148" t="s">
        <v>4273</v>
      </c>
    </row>
    <row r="166" spans="1:14">
      <c r="A166" s="3148">
        <v>164</v>
      </c>
      <c r="B166" s="3152" t="s">
        <v>3514</v>
      </c>
      <c r="C166" s="3152" t="s">
        <v>3677</v>
      </c>
      <c r="D166" s="3152">
        <v>36.56</v>
      </c>
      <c r="E166" s="3153">
        <v>11.21</v>
      </c>
      <c r="F166" s="3148" t="s">
        <v>4273</v>
      </c>
      <c r="I166" s="3148">
        <v>164</v>
      </c>
      <c r="J166" s="3152" t="s">
        <v>3935</v>
      </c>
      <c r="K166" s="3152" t="s">
        <v>4098</v>
      </c>
      <c r="L166" s="3152">
        <v>43.78</v>
      </c>
      <c r="M166" s="3153">
        <v>10.130000000000001</v>
      </c>
      <c r="N166" s="3148" t="s">
        <v>4273</v>
      </c>
    </row>
    <row r="167" spans="1:14">
      <c r="A167" s="3148">
        <v>165</v>
      </c>
      <c r="B167" s="3152" t="s">
        <v>3514</v>
      </c>
      <c r="C167" s="3152" t="s">
        <v>3678</v>
      </c>
      <c r="D167" s="3152">
        <v>38.130000000000003</v>
      </c>
      <c r="E167" s="3153">
        <v>11.69</v>
      </c>
      <c r="F167" s="3148" t="s">
        <v>4273</v>
      </c>
      <c r="I167" s="3148">
        <v>165</v>
      </c>
      <c r="J167" s="3152" t="s">
        <v>3935</v>
      </c>
      <c r="K167" s="3152" t="s">
        <v>4099</v>
      </c>
      <c r="L167" s="3152">
        <v>41.97</v>
      </c>
      <c r="M167" s="3153">
        <v>9.7100000000000009</v>
      </c>
      <c r="N167" s="3148" t="s">
        <v>4273</v>
      </c>
    </row>
    <row r="168" spans="1:14">
      <c r="A168" s="3148">
        <v>166</v>
      </c>
      <c r="B168" s="3152" t="s">
        <v>3514</v>
      </c>
      <c r="C168" s="3152" t="s">
        <v>3679</v>
      </c>
      <c r="D168" s="3152">
        <v>36.56</v>
      </c>
      <c r="E168" s="3153">
        <v>11.21</v>
      </c>
      <c r="F168" s="3148" t="s">
        <v>4273</v>
      </c>
      <c r="I168" s="3148">
        <v>166</v>
      </c>
      <c r="J168" s="3152" t="s">
        <v>3935</v>
      </c>
      <c r="K168" s="3152" t="s">
        <v>4100</v>
      </c>
      <c r="L168" s="3152">
        <v>41.97</v>
      </c>
      <c r="M168" s="3153">
        <v>9.7100000000000009</v>
      </c>
      <c r="N168" s="3148" t="s">
        <v>4273</v>
      </c>
    </row>
    <row r="169" spans="1:14">
      <c r="A169" s="3148">
        <v>167</v>
      </c>
      <c r="B169" s="3152" t="s">
        <v>3514</v>
      </c>
      <c r="C169" s="3152" t="s">
        <v>3680</v>
      </c>
      <c r="D169" s="3152">
        <v>36.56</v>
      </c>
      <c r="E169" s="3153">
        <v>11.21</v>
      </c>
      <c r="F169" s="3148" t="s">
        <v>4273</v>
      </c>
      <c r="I169" s="3148">
        <v>167</v>
      </c>
      <c r="J169" s="3152" t="s">
        <v>3935</v>
      </c>
      <c r="K169" s="3152" t="s">
        <v>4101</v>
      </c>
      <c r="L169" s="3152">
        <v>43.78</v>
      </c>
      <c r="M169" s="3153">
        <v>10.130000000000001</v>
      </c>
      <c r="N169" s="3148" t="s">
        <v>4273</v>
      </c>
    </row>
    <row r="170" spans="1:14">
      <c r="A170" s="3148">
        <v>168</v>
      </c>
      <c r="B170" s="3152" t="s">
        <v>3514</v>
      </c>
      <c r="C170" s="3152" t="s">
        <v>3681</v>
      </c>
      <c r="D170" s="3152">
        <v>38.130000000000003</v>
      </c>
      <c r="E170" s="3153">
        <v>11.69</v>
      </c>
      <c r="F170" s="3148" t="s">
        <v>4273</v>
      </c>
      <c r="I170" s="3148">
        <v>168</v>
      </c>
      <c r="J170" s="3152" t="s">
        <v>3935</v>
      </c>
      <c r="K170" s="3152" t="s">
        <v>4102</v>
      </c>
      <c r="L170" s="3152">
        <v>41.97</v>
      </c>
      <c r="M170" s="3153">
        <v>9.7100000000000009</v>
      </c>
      <c r="N170" s="3148" t="s">
        <v>4273</v>
      </c>
    </row>
    <row r="171" spans="1:14">
      <c r="A171" s="3148">
        <v>169</v>
      </c>
      <c r="B171" s="3152" t="s">
        <v>3514</v>
      </c>
      <c r="C171" s="3152" t="s">
        <v>3682</v>
      </c>
      <c r="D171" s="3152">
        <v>36.56</v>
      </c>
      <c r="E171" s="3153">
        <v>11.21</v>
      </c>
      <c r="F171" s="3148" t="s">
        <v>4273</v>
      </c>
      <c r="I171" s="3148">
        <v>169</v>
      </c>
      <c r="J171" s="3152" t="s">
        <v>3935</v>
      </c>
      <c r="K171" s="3152" t="s">
        <v>4103</v>
      </c>
      <c r="L171" s="3152">
        <v>41.97</v>
      </c>
      <c r="M171" s="3153">
        <v>9.7100000000000009</v>
      </c>
      <c r="N171" s="3148" t="s">
        <v>4273</v>
      </c>
    </row>
    <row r="172" spans="1:14">
      <c r="A172" s="3148">
        <v>170</v>
      </c>
      <c r="B172" s="3152" t="s">
        <v>3514</v>
      </c>
      <c r="C172" s="3152" t="s">
        <v>3683</v>
      </c>
      <c r="D172" s="3152">
        <v>36.56</v>
      </c>
      <c r="E172" s="3153">
        <v>11.21</v>
      </c>
      <c r="F172" s="3148" t="s">
        <v>4273</v>
      </c>
      <c r="I172" s="3148">
        <v>170</v>
      </c>
      <c r="J172" s="3152" t="s">
        <v>3935</v>
      </c>
      <c r="K172" s="3152" t="s">
        <v>4104</v>
      </c>
      <c r="L172" s="3152">
        <v>43.78</v>
      </c>
      <c r="M172" s="3153">
        <v>10.130000000000001</v>
      </c>
      <c r="N172" s="3148" t="s">
        <v>4273</v>
      </c>
    </row>
    <row r="173" spans="1:14">
      <c r="A173" s="3148">
        <v>171</v>
      </c>
      <c r="B173" s="3152" t="s">
        <v>3514</v>
      </c>
      <c r="C173" s="3152" t="s">
        <v>3684</v>
      </c>
      <c r="D173" s="3152">
        <v>38.130000000000003</v>
      </c>
      <c r="E173" s="3153">
        <v>11.69</v>
      </c>
      <c r="F173" s="3148" t="s">
        <v>4273</v>
      </c>
      <c r="I173" s="3148">
        <v>171</v>
      </c>
      <c r="J173" s="3152" t="s">
        <v>3935</v>
      </c>
      <c r="K173" s="3152" t="s">
        <v>4105</v>
      </c>
      <c r="L173" s="3152">
        <v>41.97</v>
      </c>
      <c r="M173" s="3153">
        <v>9.7100000000000009</v>
      </c>
      <c r="N173" s="3148" t="s">
        <v>4273</v>
      </c>
    </row>
    <row r="174" spans="1:14">
      <c r="A174" s="3148">
        <v>172</v>
      </c>
      <c r="B174" s="3152" t="s">
        <v>3514</v>
      </c>
      <c r="C174" s="3152" t="s">
        <v>3685</v>
      </c>
      <c r="D174" s="3152">
        <v>36.56</v>
      </c>
      <c r="E174" s="3153">
        <v>11.21</v>
      </c>
      <c r="F174" s="3148" t="s">
        <v>4273</v>
      </c>
      <c r="I174" s="3148">
        <v>172</v>
      </c>
      <c r="J174" s="3152" t="s">
        <v>3935</v>
      </c>
      <c r="K174" s="3152" t="s">
        <v>4106</v>
      </c>
      <c r="L174" s="3152">
        <v>41.97</v>
      </c>
      <c r="M174" s="3153">
        <v>9.7100000000000009</v>
      </c>
      <c r="N174" s="3148" t="s">
        <v>4273</v>
      </c>
    </row>
    <row r="175" spans="1:14">
      <c r="A175" s="3148">
        <v>173</v>
      </c>
      <c r="B175" s="3152" t="s">
        <v>3514</v>
      </c>
      <c r="C175" s="3152" t="s">
        <v>3686</v>
      </c>
      <c r="D175" s="3152">
        <v>36.56</v>
      </c>
      <c r="E175" s="3153">
        <v>11.21</v>
      </c>
      <c r="F175" s="3148" t="s">
        <v>4273</v>
      </c>
      <c r="I175" s="3148">
        <v>173</v>
      </c>
      <c r="J175" s="3152" t="s">
        <v>3935</v>
      </c>
      <c r="K175" s="3152" t="s">
        <v>4107</v>
      </c>
      <c r="L175" s="3152">
        <v>43.78</v>
      </c>
      <c r="M175" s="3153">
        <v>10.130000000000001</v>
      </c>
      <c r="N175" s="3148" t="s">
        <v>4273</v>
      </c>
    </row>
    <row r="176" spans="1:14">
      <c r="A176" s="3148">
        <v>174</v>
      </c>
      <c r="B176" s="3152" t="s">
        <v>3514</v>
      </c>
      <c r="C176" s="3152" t="s">
        <v>3687</v>
      </c>
      <c r="D176" s="3152">
        <v>38.130000000000003</v>
      </c>
      <c r="E176" s="3153">
        <v>11.69</v>
      </c>
      <c r="F176" s="3148" t="s">
        <v>4273</v>
      </c>
      <c r="I176" s="3148">
        <v>174</v>
      </c>
      <c r="J176" s="3152" t="s">
        <v>3935</v>
      </c>
      <c r="K176" s="3152" t="s">
        <v>4108</v>
      </c>
      <c r="L176" s="3152">
        <v>41.97</v>
      </c>
      <c r="M176" s="3153">
        <v>9.7100000000000009</v>
      </c>
      <c r="N176" s="3148" t="s">
        <v>4273</v>
      </c>
    </row>
    <row r="177" spans="1:14">
      <c r="A177" s="3148">
        <v>175</v>
      </c>
      <c r="B177" s="3152" t="s">
        <v>3514</v>
      </c>
      <c r="C177" s="3152" t="s">
        <v>3688</v>
      </c>
      <c r="D177" s="3152">
        <v>36.56</v>
      </c>
      <c r="E177" s="3153">
        <v>11.21</v>
      </c>
      <c r="F177" s="3148" t="s">
        <v>4273</v>
      </c>
      <c r="I177" s="3148">
        <v>175</v>
      </c>
      <c r="J177" s="3152" t="s">
        <v>3935</v>
      </c>
      <c r="K177" s="3152" t="s">
        <v>4109</v>
      </c>
      <c r="L177" s="3152">
        <v>41.97</v>
      </c>
      <c r="M177" s="3153">
        <v>9.7100000000000009</v>
      </c>
      <c r="N177" s="3148" t="s">
        <v>4273</v>
      </c>
    </row>
    <row r="178" spans="1:14">
      <c r="A178" s="3148">
        <v>176</v>
      </c>
      <c r="B178" s="3152" t="s">
        <v>3514</v>
      </c>
      <c r="C178" s="3152" t="s">
        <v>3689</v>
      </c>
      <c r="D178" s="3152">
        <v>36.56</v>
      </c>
      <c r="E178" s="3153">
        <v>11.21</v>
      </c>
      <c r="F178" s="3148" t="s">
        <v>4273</v>
      </c>
      <c r="I178" s="3148">
        <v>176</v>
      </c>
      <c r="J178" s="3152" t="s">
        <v>3935</v>
      </c>
      <c r="K178" s="3152" t="s">
        <v>4110</v>
      </c>
      <c r="L178" s="3152">
        <v>43.78</v>
      </c>
      <c r="M178" s="3153">
        <v>10.130000000000001</v>
      </c>
      <c r="N178" s="3148" t="s">
        <v>4273</v>
      </c>
    </row>
    <row r="179" spans="1:14">
      <c r="A179" s="3148">
        <v>177</v>
      </c>
      <c r="B179" s="3152" t="s">
        <v>3514</v>
      </c>
      <c r="C179" s="3152" t="s">
        <v>3690</v>
      </c>
      <c r="D179" s="3152">
        <v>38.130000000000003</v>
      </c>
      <c r="E179" s="3153">
        <v>11.69</v>
      </c>
      <c r="F179" s="3148" t="s">
        <v>4273</v>
      </c>
      <c r="I179" s="3148">
        <v>177</v>
      </c>
      <c r="J179" s="3152" t="s">
        <v>3935</v>
      </c>
      <c r="K179" s="3152" t="s">
        <v>4111</v>
      </c>
      <c r="L179" s="3152">
        <v>41.97</v>
      </c>
      <c r="M179" s="3153">
        <v>9.7100000000000009</v>
      </c>
      <c r="N179" s="3148" t="s">
        <v>4273</v>
      </c>
    </row>
    <row r="180" spans="1:14">
      <c r="A180" s="3148">
        <v>178</v>
      </c>
      <c r="B180" s="3152" t="s">
        <v>3514</v>
      </c>
      <c r="C180" s="3152" t="s">
        <v>3691</v>
      </c>
      <c r="D180" s="3152">
        <v>36.56</v>
      </c>
      <c r="E180" s="3153">
        <v>11.21</v>
      </c>
      <c r="F180" s="3148" t="s">
        <v>4273</v>
      </c>
      <c r="I180" s="3148">
        <v>178</v>
      </c>
      <c r="J180" s="3152" t="s">
        <v>3935</v>
      </c>
      <c r="K180" s="3152" t="s">
        <v>4112</v>
      </c>
      <c r="L180" s="3152">
        <v>41.97</v>
      </c>
      <c r="M180" s="3153">
        <v>9.7100000000000009</v>
      </c>
      <c r="N180" s="3148" t="s">
        <v>4273</v>
      </c>
    </row>
    <row r="181" spans="1:14">
      <c r="A181" s="3148">
        <v>179</v>
      </c>
      <c r="B181" s="3152" t="s">
        <v>3514</v>
      </c>
      <c r="C181" s="3152" t="s">
        <v>3692</v>
      </c>
      <c r="D181" s="3152">
        <v>36.56</v>
      </c>
      <c r="E181" s="3153">
        <v>11.21</v>
      </c>
      <c r="F181" s="3148" t="s">
        <v>4273</v>
      </c>
      <c r="I181" s="3148">
        <v>179</v>
      </c>
      <c r="J181" s="3152" t="s">
        <v>3935</v>
      </c>
      <c r="K181" s="3152" t="s">
        <v>4113</v>
      </c>
      <c r="L181" s="3152">
        <v>41.97</v>
      </c>
      <c r="M181" s="3153">
        <v>9.7100000000000009</v>
      </c>
      <c r="N181" s="3148" t="s">
        <v>4273</v>
      </c>
    </row>
    <row r="182" spans="1:14">
      <c r="A182" s="3148">
        <v>180</v>
      </c>
      <c r="B182" s="3152" t="s">
        <v>3514</v>
      </c>
      <c r="C182" s="3152" t="s">
        <v>3693</v>
      </c>
      <c r="D182" s="3152">
        <v>36.56</v>
      </c>
      <c r="E182" s="3153">
        <v>11.21</v>
      </c>
      <c r="F182" s="3148" t="s">
        <v>4273</v>
      </c>
      <c r="I182" s="3148">
        <v>180</v>
      </c>
      <c r="J182" s="3152" t="s">
        <v>3935</v>
      </c>
      <c r="K182" s="3152" t="s">
        <v>4114</v>
      </c>
      <c r="L182" s="3152">
        <v>41.97</v>
      </c>
      <c r="M182" s="3153">
        <v>9.7100000000000009</v>
      </c>
      <c r="N182" s="3148" t="s">
        <v>4273</v>
      </c>
    </row>
    <row r="183" spans="1:14">
      <c r="A183" s="3148">
        <v>181</v>
      </c>
      <c r="B183" s="3152" t="s">
        <v>3514</v>
      </c>
      <c r="C183" s="3152" t="s">
        <v>3694</v>
      </c>
      <c r="D183" s="3152">
        <v>36.56</v>
      </c>
      <c r="E183" s="3153">
        <v>11.21</v>
      </c>
      <c r="F183" s="3148" t="s">
        <v>4273</v>
      </c>
      <c r="I183" s="3148">
        <v>181</v>
      </c>
      <c r="J183" s="3152" t="s">
        <v>3935</v>
      </c>
      <c r="K183" s="3152" t="s">
        <v>4115</v>
      </c>
      <c r="L183" s="3152">
        <v>41.97</v>
      </c>
      <c r="M183" s="3153">
        <v>9.7100000000000009</v>
      </c>
      <c r="N183" s="3148" t="s">
        <v>4273</v>
      </c>
    </row>
    <row r="184" spans="1:14">
      <c r="A184" s="3148">
        <v>182</v>
      </c>
      <c r="B184" s="3152" t="s">
        <v>3514</v>
      </c>
      <c r="C184" s="3152" t="s">
        <v>3695</v>
      </c>
      <c r="D184" s="3152">
        <v>38.130000000000003</v>
      </c>
      <c r="E184" s="3153">
        <v>11.69</v>
      </c>
      <c r="F184" s="3148" t="s">
        <v>4273</v>
      </c>
      <c r="I184" s="3148">
        <v>182</v>
      </c>
      <c r="J184" s="3152" t="s">
        <v>3935</v>
      </c>
      <c r="K184" s="3152" t="s">
        <v>4116</v>
      </c>
      <c r="L184" s="3152">
        <v>43.78</v>
      </c>
      <c r="M184" s="3153">
        <v>10.130000000000001</v>
      </c>
      <c r="N184" s="3148" t="s">
        <v>4273</v>
      </c>
    </row>
    <row r="185" spans="1:14">
      <c r="A185" s="3148">
        <v>183</v>
      </c>
      <c r="B185" s="3152" t="s">
        <v>3514</v>
      </c>
      <c r="C185" s="3152" t="s">
        <v>3696</v>
      </c>
      <c r="D185" s="3152">
        <v>36.56</v>
      </c>
      <c r="E185" s="3153">
        <v>11.21</v>
      </c>
      <c r="F185" s="3148" t="s">
        <v>4273</v>
      </c>
      <c r="I185" s="3148">
        <v>183</v>
      </c>
      <c r="J185" s="3152" t="s">
        <v>3935</v>
      </c>
      <c r="K185" s="3152" t="s">
        <v>4117</v>
      </c>
      <c r="L185" s="3152">
        <v>43.78</v>
      </c>
      <c r="M185" s="3153">
        <v>10.130000000000001</v>
      </c>
      <c r="N185" s="3148" t="s">
        <v>4273</v>
      </c>
    </row>
    <row r="186" spans="1:14">
      <c r="A186" s="3148">
        <v>184</v>
      </c>
      <c r="B186" s="3152" t="s">
        <v>3514</v>
      </c>
      <c r="C186" s="3152" t="s">
        <v>3697</v>
      </c>
      <c r="D186" s="3152">
        <v>36.56</v>
      </c>
      <c r="E186" s="3153">
        <v>11.21</v>
      </c>
      <c r="F186" s="3148" t="s">
        <v>4273</v>
      </c>
      <c r="I186" s="3148">
        <v>184</v>
      </c>
      <c r="J186" s="3152" t="s">
        <v>3935</v>
      </c>
      <c r="K186" s="3152" t="s">
        <v>4118</v>
      </c>
      <c r="L186" s="3152">
        <v>41.97</v>
      </c>
      <c r="M186" s="3153">
        <v>9.7100000000000009</v>
      </c>
      <c r="N186" s="3148" t="s">
        <v>4273</v>
      </c>
    </row>
    <row r="187" spans="1:14">
      <c r="A187" s="3148">
        <v>185</v>
      </c>
      <c r="B187" s="3152" t="s">
        <v>3514</v>
      </c>
      <c r="C187" s="3152" t="s">
        <v>3698</v>
      </c>
      <c r="D187" s="3152">
        <v>36.56</v>
      </c>
      <c r="E187" s="3153">
        <v>11.21</v>
      </c>
      <c r="F187" s="3148" t="s">
        <v>4273</v>
      </c>
      <c r="I187" s="3148">
        <v>185</v>
      </c>
      <c r="J187" s="3152" t="s">
        <v>3935</v>
      </c>
      <c r="K187" s="3152" t="s">
        <v>4119</v>
      </c>
      <c r="L187" s="3152">
        <v>41.97</v>
      </c>
      <c r="M187" s="3153">
        <v>9.7100000000000009</v>
      </c>
      <c r="N187" s="3148" t="s">
        <v>4273</v>
      </c>
    </row>
    <row r="188" spans="1:14">
      <c r="A188" s="3148">
        <v>186</v>
      </c>
      <c r="B188" s="3152" t="s">
        <v>3514</v>
      </c>
      <c r="C188" s="3152" t="s">
        <v>3699</v>
      </c>
      <c r="D188" s="3152">
        <v>36.56</v>
      </c>
      <c r="E188" s="3153">
        <v>11.21</v>
      </c>
      <c r="F188" s="3148" t="s">
        <v>4273</v>
      </c>
      <c r="I188" s="3148">
        <v>186</v>
      </c>
      <c r="J188" s="3152" t="s">
        <v>3935</v>
      </c>
      <c r="K188" s="3152" t="s">
        <v>4120</v>
      </c>
      <c r="L188" s="3152">
        <v>43.78</v>
      </c>
      <c r="M188" s="3153">
        <v>10.130000000000001</v>
      </c>
      <c r="N188" s="3148" t="s">
        <v>4273</v>
      </c>
    </row>
    <row r="189" spans="1:14">
      <c r="A189" s="3148">
        <v>187</v>
      </c>
      <c r="B189" s="3152" t="s">
        <v>3514</v>
      </c>
      <c r="C189" s="3152" t="s">
        <v>3700</v>
      </c>
      <c r="D189" s="3152">
        <v>36.56</v>
      </c>
      <c r="E189" s="3153">
        <v>11.21</v>
      </c>
      <c r="F189" s="3148" t="s">
        <v>4273</v>
      </c>
      <c r="I189" s="3148">
        <v>187</v>
      </c>
      <c r="J189" s="3152" t="s">
        <v>3935</v>
      </c>
      <c r="K189" s="3152" t="s">
        <v>4121</v>
      </c>
      <c r="L189" s="3152">
        <v>43.78</v>
      </c>
      <c r="M189" s="3153">
        <v>10.130000000000001</v>
      </c>
      <c r="N189" s="3148" t="s">
        <v>4273</v>
      </c>
    </row>
    <row r="190" spans="1:14">
      <c r="A190" s="3148">
        <v>188</v>
      </c>
      <c r="B190" s="3152" t="s">
        <v>3514</v>
      </c>
      <c r="C190" s="3152" t="s">
        <v>3701</v>
      </c>
      <c r="D190" s="3152">
        <v>38.130000000000003</v>
      </c>
      <c r="E190" s="3153">
        <v>11.69</v>
      </c>
      <c r="F190" s="3148" t="s">
        <v>4273</v>
      </c>
      <c r="I190" s="3148">
        <v>188</v>
      </c>
      <c r="J190" s="3152" t="s">
        <v>3935</v>
      </c>
      <c r="K190" s="3152" t="s">
        <v>4122</v>
      </c>
      <c r="L190" s="3152">
        <v>41.97</v>
      </c>
      <c r="M190" s="3153">
        <v>9.7100000000000009</v>
      </c>
      <c r="N190" s="3148" t="s">
        <v>4273</v>
      </c>
    </row>
    <row r="191" spans="1:14">
      <c r="A191" s="3148">
        <v>189</v>
      </c>
      <c r="B191" s="3152" t="s">
        <v>3514</v>
      </c>
      <c r="C191" s="3152" t="s">
        <v>3702</v>
      </c>
      <c r="D191" s="3152">
        <v>36.56</v>
      </c>
      <c r="E191" s="3153">
        <v>11.21</v>
      </c>
      <c r="F191" s="3148" t="s">
        <v>4273</v>
      </c>
      <c r="I191" s="3148">
        <v>189</v>
      </c>
      <c r="J191" s="3152" t="s">
        <v>3935</v>
      </c>
      <c r="K191" s="3152" t="s">
        <v>4123</v>
      </c>
      <c r="L191" s="3152">
        <v>41.97</v>
      </c>
      <c r="M191" s="3153">
        <v>9.7100000000000009</v>
      </c>
      <c r="N191" s="3148" t="s">
        <v>4273</v>
      </c>
    </row>
    <row r="192" spans="1:14">
      <c r="A192" s="3148">
        <v>190</v>
      </c>
      <c r="B192" s="3152" t="s">
        <v>3514</v>
      </c>
      <c r="C192" s="3152" t="s">
        <v>3703</v>
      </c>
      <c r="D192" s="3152">
        <v>36.56</v>
      </c>
      <c r="E192" s="3153">
        <v>11.21</v>
      </c>
      <c r="F192" s="3148" t="s">
        <v>4273</v>
      </c>
      <c r="I192" s="3148">
        <v>190</v>
      </c>
      <c r="J192" s="3152" t="s">
        <v>3935</v>
      </c>
      <c r="K192" s="3152" t="s">
        <v>4124</v>
      </c>
      <c r="L192" s="3152">
        <v>41.97</v>
      </c>
      <c r="M192" s="3153">
        <v>9.7100000000000009</v>
      </c>
      <c r="N192" s="3148" t="s">
        <v>4273</v>
      </c>
    </row>
    <row r="193" spans="1:14">
      <c r="A193" s="3148">
        <v>191</v>
      </c>
      <c r="B193" s="3152" t="s">
        <v>3514</v>
      </c>
      <c r="C193" s="3152" t="s">
        <v>3704</v>
      </c>
      <c r="D193" s="3152">
        <v>38.130000000000003</v>
      </c>
      <c r="E193" s="3153">
        <v>11.69</v>
      </c>
      <c r="F193" s="3148" t="s">
        <v>4273</v>
      </c>
      <c r="I193" s="3148">
        <v>191</v>
      </c>
      <c r="J193" s="3152" t="s">
        <v>3935</v>
      </c>
      <c r="K193" s="3152" t="s">
        <v>4125</v>
      </c>
      <c r="L193" s="3152">
        <v>41.97</v>
      </c>
      <c r="M193" s="3153">
        <v>9.7100000000000009</v>
      </c>
      <c r="N193" s="3148" t="s">
        <v>4273</v>
      </c>
    </row>
    <row r="194" spans="1:14">
      <c r="A194" s="3148">
        <v>192</v>
      </c>
      <c r="B194" s="3152" t="s">
        <v>3514</v>
      </c>
      <c r="C194" s="3152" t="s">
        <v>3705</v>
      </c>
      <c r="D194" s="3152">
        <v>36.56</v>
      </c>
      <c r="E194" s="3153">
        <v>11.21</v>
      </c>
      <c r="F194" s="3148" t="s">
        <v>4273</v>
      </c>
      <c r="I194" s="3148">
        <v>192</v>
      </c>
      <c r="J194" s="3152" t="s">
        <v>3935</v>
      </c>
      <c r="K194" s="3152" t="s">
        <v>4126</v>
      </c>
      <c r="L194" s="3152">
        <v>41.97</v>
      </c>
      <c r="M194" s="3153">
        <v>9.7100000000000009</v>
      </c>
      <c r="N194" s="3148" t="s">
        <v>4273</v>
      </c>
    </row>
    <row r="195" spans="1:14">
      <c r="A195" s="3148">
        <v>193</v>
      </c>
      <c r="B195" s="3152" t="s">
        <v>3514</v>
      </c>
      <c r="C195" s="3152" t="s">
        <v>3706</v>
      </c>
      <c r="D195" s="3152">
        <v>36.56</v>
      </c>
      <c r="E195" s="3153">
        <v>11.21</v>
      </c>
      <c r="F195" s="3148" t="s">
        <v>4273</v>
      </c>
      <c r="I195" s="3148">
        <v>193</v>
      </c>
      <c r="J195" s="3152" t="s">
        <v>3935</v>
      </c>
      <c r="K195" s="3152" t="s">
        <v>4127</v>
      </c>
      <c r="L195" s="3152">
        <v>41.97</v>
      </c>
      <c r="M195" s="3153">
        <v>9.7100000000000009</v>
      </c>
      <c r="N195" s="3148" t="s">
        <v>4273</v>
      </c>
    </row>
    <row r="196" spans="1:14">
      <c r="A196" s="3148">
        <v>194</v>
      </c>
      <c r="B196" s="3152" t="s">
        <v>3514</v>
      </c>
      <c r="C196" s="3152" t="s">
        <v>3707</v>
      </c>
      <c r="D196" s="3152">
        <v>36.56</v>
      </c>
      <c r="E196" s="3153">
        <v>11.21</v>
      </c>
      <c r="F196" s="3148" t="s">
        <v>4273</v>
      </c>
      <c r="I196" s="3148">
        <v>194</v>
      </c>
      <c r="J196" s="3152" t="s">
        <v>3935</v>
      </c>
      <c r="K196" s="3152" t="s">
        <v>4128</v>
      </c>
      <c r="L196" s="3152">
        <v>43.78</v>
      </c>
      <c r="M196" s="3153">
        <v>10.130000000000001</v>
      </c>
      <c r="N196" s="3148" t="s">
        <v>4273</v>
      </c>
    </row>
    <row r="197" spans="1:14">
      <c r="A197" s="3148">
        <v>195</v>
      </c>
      <c r="B197" s="3152" t="s">
        <v>3514</v>
      </c>
      <c r="C197" s="3152" t="s">
        <v>3708</v>
      </c>
      <c r="D197" s="3152">
        <v>36.56</v>
      </c>
      <c r="E197" s="3153">
        <v>11.21</v>
      </c>
      <c r="F197" s="3148" t="s">
        <v>4273</v>
      </c>
      <c r="I197" s="3148">
        <v>195</v>
      </c>
      <c r="J197" s="3152" t="s">
        <v>3935</v>
      </c>
      <c r="K197" s="3152" t="s">
        <v>4129</v>
      </c>
      <c r="L197" s="3152">
        <v>41.97</v>
      </c>
      <c r="M197" s="3153">
        <v>9.7100000000000009</v>
      </c>
      <c r="N197" s="3148" t="s">
        <v>4273</v>
      </c>
    </row>
    <row r="198" spans="1:14">
      <c r="A198" s="3148">
        <v>196</v>
      </c>
      <c r="B198" s="3152" t="s">
        <v>3514</v>
      </c>
      <c r="C198" s="3152" t="s">
        <v>3709</v>
      </c>
      <c r="D198" s="3152">
        <v>38.130000000000003</v>
      </c>
      <c r="E198" s="3153">
        <v>11.69</v>
      </c>
      <c r="F198" s="3148" t="s">
        <v>4273</v>
      </c>
      <c r="I198" s="3148">
        <v>196</v>
      </c>
      <c r="J198" s="3152" t="s">
        <v>3935</v>
      </c>
      <c r="K198" s="3152" t="s">
        <v>4130</v>
      </c>
      <c r="L198" s="3152">
        <v>41.97</v>
      </c>
      <c r="M198" s="3153">
        <v>9.7100000000000009</v>
      </c>
      <c r="N198" s="3148" t="s">
        <v>4273</v>
      </c>
    </row>
    <row r="199" spans="1:14">
      <c r="A199" s="3148">
        <v>197</v>
      </c>
      <c r="B199" s="3152" t="s">
        <v>3514</v>
      </c>
      <c r="C199" s="3152" t="s">
        <v>3710</v>
      </c>
      <c r="D199" s="3152">
        <v>36.56</v>
      </c>
      <c r="E199" s="3153">
        <v>11.21</v>
      </c>
      <c r="F199" s="3148" t="s">
        <v>4273</v>
      </c>
      <c r="I199" s="3148">
        <v>197</v>
      </c>
      <c r="J199" s="3152" t="s">
        <v>3935</v>
      </c>
      <c r="K199" s="3152" t="s">
        <v>4131</v>
      </c>
      <c r="L199" s="3152">
        <v>43.78</v>
      </c>
      <c r="M199" s="3153">
        <v>10.130000000000001</v>
      </c>
      <c r="N199" s="3148" t="s">
        <v>4273</v>
      </c>
    </row>
    <row r="200" spans="1:14">
      <c r="A200" s="3148">
        <v>198</v>
      </c>
      <c r="B200" s="3152" t="s">
        <v>3514</v>
      </c>
      <c r="C200" s="3152" t="s">
        <v>3711</v>
      </c>
      <c r="D200" s="3152">
        <v>66.73</v>
      </c>
      <c r="E200" s="3153">
        <v>20.46</v>
      </c>
      <c r="F200" s="3148" t="s">
        <v>4273</v>
      </c>
      <c r="I200" s="3148">
        <v>198</v>
      </c>
      <c r="J200" s="3152" t="s">
        <v>3935</v>
      </c>
      <c r="K200" s="3152" t="s">
        <v>4132</v>
      </c>
      <c r="L200" s="3152">
        <v>41.97</v>
      </c>
      <c r="M200" s="3153">
        <v>9.7100000000000009</v>
      </c>
      <c r="N200" s="3148" t="s">
        <v>4273</v>
      </c>
    </row>
    <row r="201" spans="1:14">
      <c r="A201" s="3148">
        <v>199</v>
      </c>
      <c r="B201" s="3152" t="s">
        <v>3514</v>
      </c>
      <c r="C201" s="3152" t="s">
        <v>3712</v>
      </c>
      <c r="D201" s="3152">
        <v>36.56</v>
      </c>
      <c r="E201" s="3153">
        <v>11.21</v>
      </c>
      <c r="F201" s="3148" t="s">
        <v>4273</v>
      </c>
      <c r="I201" s="3148">
        <v>199</v>
      </c>
      <c r="J201" s="3152" t="s">
        <v>3935</v>
      </c>
      <c r="K201" s="3152" t="s">
        <v>4133</v>
      </c>
      <c r="L201" s="3152">
        <v>41.97</v>
      </c>
      <c r="M201" s="3153">
        <v>9.7100000000000009</v>
      </c>
      <c r="N201" s="3148" t="s">
        <v>4273</v>
      </c>
    </row>
    <row r="202" spans="1:14">
      <c r="A202" s="3148">
        <v>200</v>
      </c>
      <c r="B202" s="3152" t="s">
        <v>3514</v>
      </c>
      <c r="C202" s="3152" t="s">
        <v>3713</v>
      </c>
      <c r="D202" s="3152">
        <v>36.56</v>
      </c>
      <c r="E202" s="3153">
        <v>11.21</v>
      </c>
      <c r="F202" s="3148" t="s">
        <v>4273</v>
      </c>
      <c r="I202" s="3148">
        <v>200</v>
      </c>
      <c r="J202" s="3152" t="s">
        <v>3935</v>
      </c>
      <c r="K202" s="3152" t="s">
        <v>4134</v>
      </c>
      <c r="L202" s="3152">
        <v>43.78</v>
      </c>
      <c r="M202" s="3153">
        <v>10.130000000000001</v>
      </c>
      <c r="N202" s="3148" t="s">
        <v>4273</v>
      </c>
    </row>
    <row r="203" spans="1:14">
      <c r="A203" s="3148">
        <v>201</v>
      </c>
      <c r="B203" s="3152" t="s">
        <v>3514</v>
      </c>
      <c r="C203" s="3152" t="s">
        <v>3714</v>
      </c>
      <c r="D203" s="3152">
        <v>38.130000000000003</v>
      </c>
      <c r="E203" s="3153">
        <v>11.69</v>
      </c>
      <c r="F203" s="3148" t="s">
        <v>4273</v>
      </c>
      <c r="I203" s="3148">
        <v>201</v>
      </c>
      <c r="J203" s="3152" t="s">
        <v>3935</v>
      </c>
      <c r="K203" s="3152" t="s">
        <v>4135</v>
      </c>
      <c r="L203" s="3152">
        <v>41.97</v>
      </c>
      <c r="M203" s="3153">
        <v>9.7100000000000009</v>
      </c>
      <c r="N203" s="3148" t="s">
        <v>4273</v>
      </c>
    </row>
    <row r="204" spans="1:14">
      <c r="A204" s="3148">
        <v>202</v>
      </c>
      <c r="B204" s="3152" t="s">
        <v>3514</v>
      </c>
      <c r="C204" s="3152" t="s">
        <v>3715</v>
      </c>
      <c r="D204" s="3152">
        <v>36.56</v>
      </c>
      <c r="E204" s="3153">
        <v>11.21</v>
      </c>
      <c r="F204" s="3148" t="s">
        <v>4273</v>
      </c>
      <c r="I204" s="3148">
        <v>202</v>
      </c>
      <c r="J204" s="3152" t="s">
        <v>3935</v>
      </c>
      <c r="K204" s="3152" t="s">
        <v>4136</v>
      </c>
      <c r="L204" s="3152">
        <v>41.97</v>
      </c>
      <c r="M204" s="3153">
        <v>9.7100000000000009</v>
      </c>
      <c r="N204" s="3148" t="s">
        <v>4273</v>
      </c>
    </row>
    <row r="205" spans="1:14">
      <c r="A205" s="3148">
        <v>203</v>
      </c>
      <c r="B205" s="3152" t="s">
        <v>3514</v>
      </c>
      <c r="C205" s="3152" t="s">
        <v>3716</v>
      </c>
      <c r="D205" s="3152">
        <v>36.56</v>
      </c>
      <c r="E205" s="3153">
        <v>11.21</v>
      </c>
      <c r="F205" s="3148" t="s">
        <v>4273</v>
      </c>
      <c r="I205" s="3148">
        <v>203</v>
      </c>
      <c r="J205" s="3152" t="s">
        <v>3935</v>
      </c>
      <c r="K205" s="3152" t="s">
        <v>4137</v>
      </c>
      <c r="L205" s="3152">
        <v>43.78</v>
      </c>
      <c r="M205" s="3153">
        <v>10.130000000000001</v>
      </c>
      <c r="N205" s="3148" t="s">
        <v>4273</v>
      </c>
    </row>
    <row r="206" spans="1:14">
      <c r="A206" s="3148">
        <v>204</v>
      </c>
      <c r="B206" s="3152" t="s">
        <v>3514</v>
      </c>
      <c r="C206" s="3152" t="s">
        <v>3717</v>
      </c>
      <c r="D206" s="3152">
        <v>38.130000000000003</v>
      </c>
      <c r="E206" s="3153">
        <v>11.69</v>
      </c>
      <c r="F206" s="3148" t="s">
        <v>4273</v>
      </c>
      <c r="I206" s="3148">
        <v>204</v>
      </c>
      <c r="J206" s="3152" t="s">
        <v>3935</v>
      </c>
      <c r="K206" s="3152" t="s">
        <v>4138</v>
      </c>
      <c r="L206" s="3152">
        <v>41.97</v>
      </c>
      <c r="M206" s="3153">
        <v>9.7100000000000009</v>
      </c>
      <c r="N206" s="3148" t="s">
        <v>4273</v>
      </c>
    </row>
    <row r="207" spans="1:14">
      <c r="A207" s="3148">
        <v>205</v>
      </c>
      <c r="B207" s="3152" t="s">
        <v>3514</v>
      </c>
      <c r="C207" s="3152" t="s">
        <v>3718</v>
      </c>
      <c r="D207" s="3152">
        <v>36.56</v>
      </c>
      <c r="E207" s="3153">
        <v>11.21</v>
      </c>
      <c r="F207" s="3148" t="s">
        <v>4273</v>
      </c>
      <c r="I207" s="3148">
        <v>205</v>
      </c>
      <c r="J207" s="3152" t="s">
        <v>3935</v>
      </c>
      <c r="K207" s="3152" t="s">
        <v>4139</v>
      </c>
      <c r="L207" s="3152">
        <v>41.97</v>
      </c>
      <c r="M207" s="3153">
        <v>9.7100000000000009</v>
      </c>
      <c r="N207" s="3148" t="s">
        <v>4273</v>
      </c>
    </row>
    <row r="208" spans="1:14">
      <c r="A208" s="3148">
        <v>206</v>
      </c>
      <c r="B208" s="3152" t="s">
        <v>3514</v>
      </c>
      <c r="C208" s="3152" t="s">
        <v>3719</v>
      </c>
      <c r="D208" s="3152">
        <v>36.56</v>
      </c>
      <c r="E208" s="3153">
        <v>11.21</v>
      </c>
      <c r="F208" s="3148" t="s">
        <v>4273</v>
      </c>
      <c r="I208" s="3148">
        <v>206</v>
      </c>
      <c r="J208" s="3152" t="s">
        <v>3935</v>
      </c>
      <c r="K208" s="3152" t="s">
        <v>4140</v>
      </c>
      <c r="L208" s="3152">
        <v>43.78</v>
      </c>
      <c r="M208" s="3153">
        <v>10.130000000000001</v>
      </c>
      <c r="N208" s="3148" t="s">
        <v>4273</v>
      </c>
    </row>
    <row r="209" spans="1:14">
      <c r="A209" s="3148">
        <v>207</v>
      </c>
      <c r="B209" s="3152" t="s">
        <v>3514</v>
      </c>
      <c r="C209" s="3152" t="s">
        <v>3720</v>
      </c>
      <c r="D209" s="3152">
        <v>38.130000000000003</v>
      </c>
      <c r="E209" s="3153">
        <v>11.69</v>
      </c>
      <c r="F209" s="3148" t="s">
        <v>4273</v>
      </c>
      <c r="I209" s="3148">
        <v>207</v>
      </c>
      <c r="J209" s="3152" t="s">
        <v>3935</v>
      </c>
      <c r="K209" s="3152" t="s">
        <v>4141</v>
      </c>
      <c r="L209" s="3152">
        <v>41.97</v>
      </c>
      <c r="M209" s="3153">
        <v>9.7100000000000009</v>
      </c>
      <c r="N209" s="3148" t="s">
        <v>4273</v>
      </c>
    </row>
    <row r="210" spans="1:14">
      <c r="A210" s="3148">
        <v>208</v>
      </c>
      <c r="B210" s="3152" t="s">
        <v>3514</v>
      </c>
      <c r="C210" s="3152" t="s">
        <v>3721</v>
      </c>
      <c r="D210" s="3152">
        <v>36.56</v>
      </c>
      <c r="E210" s="3153">
        <v>11.21</v>
      </c>
      <c r="F210" s="3148" t="s">
        <v>4273</v>
      </c>
      <c r="I210" s="3148">
        <v>208</v>
      </c>
      <c r="J210" s="3152" t="s">
        <v>3935</v>
      </c>
      <c r="K210" s="3152" t="s">
        <v>4142</v>
      </c>
      <c r="L210" s="3152">
        <v>41.97</v>
      </c>
      <c r="M210" s="3153">
        <v>9.7100000000000009</v>
      </c>
      <c r="N210" s="3148" t="s">
        <v>4273</v>
      </c>
    </row>
    <row r="211" spans="1:14">
      <c r="A211" s="3148">
        <v>209</v>
      </c>
      <c r="B211" s="3152" t="s">
        <v>3514</v>
      </c>
      <c r="C211" s="3152" t="s">
        <v>3722</v>
      </c>
      <c r="D211" s="3152">
        <v>36.56</v>
      </c>
      <c r="E211" s="3153">
        <v>11.21</v>
      </c>
      <c r="F211" s="3148" t="s">
        <v>4273</v>
      </c>
      <c r="I211" s="3148">
        <v>209</v>
      </c>
      <c r="J211" s="3152" t="s">
        <v>3935</v>
      </c>
      <c r="K211" s="3152" t="s">
        <v>4143</v>
      </c>
      <c r="L211" s="3152">
        <v>43.78</v>
      </c>
      <c r="M211" s="3153">
        <v>10.130000000000001</v>
      </c>
      <c r="N211" s="3148" t="s">
        <v>4273</v>
      </c>
    </row>
    <row r="212" spans="1:14">
      <c r="A212" s="3148">
        <v>210</v>
      </c>
      <c r="B212" s="3152" t="s">
        <v>3514</v>
      </c>
      <c r="C212" s="3152" t="s">
        <v>3723</v>
      </c>
      <c r="D212" s="3152">
        <v>38.130000000000003</v>
      </c>
      <c r="E212" s="3153">
        <v>11.69</v>
      </c>
      <c r="F212" s="3148" t="s">
        <v>4273</v>
      </c>
      <c r="I212" s="3148">
        <v>210</v>
      </c>
      <c r="J212" s="3152" t="s">
        <v>3935</v>
      </c>
      <c r="K212" s="3152" t="s">
        <v>4144</v>
      </c>
      <c r="L212" s="3152">
        <v>41.97</v>
      </c>
      <c r="M212" s="3153">
        <v>9.7100000000000009</v>
      </c>
      <c r="N212" s="3148" t="s">
        <v>4273</v>
      </c>
    </row>
    <row r="213" spans="1:14">
      <c r="A213" s="3148">
        <v>211</v>
      </c>
      <c r="B213" s="3152" t="s">
        <v>3514</v>
      </c>
      <c r="C213" s="3152" t="s">
        <v>3724</v>
      </c>
      <c r="D213" s="3152">
        <v>36.56</v>
      </c>
      <c r="E213" s="3153">
        <v>11.21</v>
      </c>
      <c r="F213" s="3148" t="s">
        <v>4273</v>
      </c>
      <c r="I213" s="3148">
        <v>211</v>
      </c>
      <c r="J213" s="3152" t="s">
        <v>3935</v>
      </c>
      <c r="K213" s="3152" t="s">
        <v>4145</v>
      </c>
      <c r="L213" s="3152">
        <v>41.97</v>
      </c>
      <c r="M213" s="3153">
        <v>9.7100000000000009</v>
      </c>
      <c r="N213" s="3148" t="s">
        <v>4273</v>
      </c>
    </row>
    <row r="214" spans="1:14">
      <c r="A214" s="3148">
        <v>212</v>
      </c>
      <c r="B214" s="3152" t="s">
        <v>3514</v>
      </c>
      <c r="C214" s="3152" t="s">
        <v>3725</v>
      </c>
      <c r="D214" s="3152">
        <v>36.56</v>
      </c>
      <c r="E214" s="3153">
        <v>11.21</v>
      </c>
      <c r="F214" s="3148" t="s">
        <v>4273</v>
      </c>
      <c r="I214" s="3148">
        <v>212</v>
      </c>
      <c r="J214" s="3152" t="s">
        <v>3935</v>
      </c>
      <c r="K214" s="3152" t="s">
        <v>4146</v>
      </c>
      <c r="L214" s="3152">
        <v>43.78</v>
      </c>
      <c r="M214" s="3153">
        <v>10.130000000000001</v>
      </c>
      <c r="N214" s="3148" t="s">
        <v>4273</v>
      </c>
    </row>
    <row r="215" spans="1:14">
      <c r="A215" s="3148">
        <v>213</v>
      </c>
      <c r="B215" s="3152" t="s">
        <v>3514</v>
      </c>
      <c r="C215" s="3152" t="s">
        <v>3726</v>
      </c>
      <c r="D215" s="3152">
        <v>38.130000000000003</v>
      </c>
      <c r="E215" s="3153">
        <v>11.69</v>
      </c>
      <c r="F215" s="3148" t="s">
        <v>4273</v>
      </c>
      <c r="I215" s="3148">
        <v>213</v>
      </c>
      <c r="J215" s="3152" t="s">
        <v>3935</v>
      </c>
      <c r="K215" s="3152" t="s">
        <v>4147</v>
      </c>
      <c r="L215" s="3152">
        <v>41.97</v>
      </c>
      <c r="M215" s="3153">
        <v>9.7100000000000009</v>
      </c>
      <c r="N215" s="3148" t="s">
        <v>4273</v>
      </c>
    </row>
    <row r="216" spans="1:14">
      <c r="A216" s="3148">
        <v>214</v>
      </c>
      <c r="B216" s="3152" t="s">
        <v>3514</v>
      </c>
      <c r="C216" s="3152" t="s">
        <v>3727</v>
      </c>
      <c r="D216" s="3152">
        <v>36.56</v>
      </c>
      <c r="E216" s="3153">
        <v>11.21</v>
      </c>
      <c r="F216" s="3148" t="s">
        <v>4273</v>
      </c>
      <c r="I216" s="3148">
        <v>214</v>
      </c>
      <c r="J216" s="3152" t="s">
        <v>3935</v>
      </c>
      <c r="K216" s="3152" t="s">
        <v>4148</v>
      </c>
      <c r="L216" s="3152">
        <v>41.97</v>
      </c>
      <c r="M216" s="3153">
        <v>9.7100000000000009</v>
      </c>
      <c r="N216" s="3148" t="s">
        <v>4273</v>
      </c>
    </row>
    <row r="217" spans="1:14">
      <c r="A217" s="3148">
        <v>215</v>
      </c>
      <c r="B217" s="3152" t="s">
        <v>3514</v>
      </c>
      <c r="C217" s="3152" t="s">
        <v>3728</v>
      </c>
      <c r="D217" s="3152">
        <v>36.56</v>
      </c>
      <c r="E217" s="3153">
        <v>11.21</v>
      </c>
      <c r="F217" s="3148" t="s">
        <v>4273</v>
      </c>
      <c r="I217" s="3148">
        <v>215</v>
      </c>
      <c r="J217" s="3152" t="s">
        <v>3935</v>
      </c>
      <c r="K217" s="3152" t="s">
        <v>4149</v>
      </c>
      <c r="L217" s="3152">
        <v>43.78</v>
      </c>
      <c r="M217" s="3153">
        <v>10.130000000000001</v>
      </c>
      <c r="N217" s="3148" t="s">
        <v>4273</v>
      </c>
    </row>
    <row r="218" spans="1:14">
      <c r="A218" s="3148">
        <v>216</v>
      </c>
      <c r="B218" s="3152" t="s">
        <v>3514</v>
      </c>
      <c r="C218" s="3152" t="s">
        <v>3729</v>
      </c>
      <c r="D218" s="3152">
        <v>38.130000000000003</v>
      </c>
      <c r="E218" s="3153">
        <v>11.69</v>
      </c>
      <c r="F218" s="3148" t="s">
        <v>4273</v>
      </c>
      <c r="I218" s="3148">
        <v>216</v>
      </c>
      <c r="J218" s="3152" t="s">
        <v>3935</v>
      </c>
      <c r="K218" s="3152" t="s">
        <v>4150</v>
      </c>
      <c r="L218" s="3152">
        <v>41.97</v>
      </c>
      <c r="M218" s="3153">
        <v>9.7100000000000009</v>
      </c>
      <c r="N218" s="3148" t="s">
        <v>4273</v>
      </c>
    </row>
    <row r="219" spans="1:14">
      <c r="A219" s="3148">
        <v>217</v>
      </c>
      <c r="B219" s="3152" t="s">
        <v>3514</v>
      </c>
      <c r="C219" s="3152" t="s">
        <v>3730</v>
      </c>
      <c r="D219" s="3152">
        <v>36.56</v>
      </c>
      <c r="E219" s="3153">
        <v>11.21</v>
      </c>
      <c r="F219" s="3148" t="s">
        <v>4273</v>
      </c>
      <c r="I219" s="3148">
        <v>217</v>
      </c>
      <c r="J219" s="3152" t="s">
        <v>3935</v>
      </c>
      <c r="K219" s="3152" t="s">
        <v>4151</v>
      </c>
      <c r="L219" s="3152">
        <v>41.97</v>
      </c>
      <c r="M219" s="3153">
        <v>9.7100000000000009</v>
      </c>
      <c r="N219" s="3148" t="s">
        <v>4273</v>
      </c>
    </row>
    <row r="220" spans="1:14">
      <c r="A220" s="3148">
        <v>218</v>
      </c>
      <c r="B220" s="3152" t="s">
        <v>3514</v>
      </c>
      <c r="C220" s="3152" t="s">
        <v>3731</v>
      </c>
      <c r="D220" s="3152">
        <v>36.56</v>
      </c>
      <c r="E220" s="3153">
        <v>11.21</v>
      </c>
      <c r="F220" s="3148" t="s">
        <v>4273</v>
      </c>
      <c r="I220" s="3148">
        <v>218</v>
      </c>
      <c r="J220" s="3152" t="s">
        <v>3935</v>
      </c>
      <c r="K220" s="3152" t="s">
        <v>4152</v>
      </c>
      <c r="L220" s="3152">
        <v>43.78</v>
      </c>
      <c r="M220" s="3153">
        <v>10.130000000000001</v>
      </c>
      <c r="N220" s="3148" t="s">
        <v>4273</v>
      </c>
    </row>
    <row r="221" spans="1:14">
      <c r="A221" s="3148">
        <v>219</v>
      </c>
      <c r="B221" s="3152" t="s">
        <v>3514</v>
      </c>
      <c r="C221" s="3152" t="s">
        <v>3732</v>
      </c>
      <c r="D221" s="3152">
        <v>38.130000000000003</v>
      </c>
      <c r="E221" s="3153">
        <v>11.69</v>
      </c>
      <c r="F221" s="3148" t="s">
        <v>4273</v>
      </c>
      <c r="I221" s="3148">
        <v>219</v>
      </c>
      <c r="J221" s="3152" t="s">
        <v>3935</v>
      </c>
      <c r="K221" s="3152" t="s">
        <v>4153</v>
      </c>
      <c r="L221" s="3152">
        <v>41.97</v>
      </c>
      <c r="M221" s="3153">
        <v>9.7100000000000009</v>
      </c>
      <c r="N221" s="3148" t="s">
        <v>4273</v>
      </c>
    </row>
    <row r="222" spans="1:14">
      <c r="A222" s="3148">
        <v>220</v>
      </c>
      <c r="B222" s="3152" t="s">
        <v>3514</v>
      </c>
      <c r="C222" s="3152" t="s">
        <v>3733</v>
      </c>
      <c r="D222" s="3152">
        <v>36.56</v>
      </c>
      <c r="E222" s="3153">
        <v>11.21</v>
      </c>
      <c r="F222" s="3148" t="s">
        <v>4273</v>
      </c>
      <c r="I222" s="3148">
        <v>220</v>
      </c>
      <c r="J222" s="3152" t="s">
        <v>3935</v>
      </c>
      <c r="K222" s="3152" t="s">
        <v>4154</v>
      </c>
      <c r="L222" s="3152">
        <v>41.97</v>
      </c>
      <c r="M222" s="3153">
        <v>9.7100000000000009</v>
      </c>
      <c r="N222" s="3148" t="s">
        <v>4273</v>
      </c>
    </row>
    <row r="223" spans="1:14">
      <c r="A223" s="3148">
        <v>221</v>
      </c>
      <c r="B223" s="3152" t="s">
        <v>3514</v>
      </c>
      <c r="C223" s="3152" t="s">
        <v>3734</v>
      </c>
      <c r="D223" s="3152">
        <v>36.56</v>
      </c>
      <c r="E223" s="3153">
        <v>11.21</v>
      </c>
      <c r="F223" s="3148" t="s">
        <v>4273</v>
      </c>
      <c r="I223" s="3148">
        <v>221</v>
      </c>
      <c r="J223" s="3152" t="s">
        <v>3935</v>
      </c>
      <c r="K223" s="3152" t="s">
        <v>4155</v>
      </c>
      <c r="L223" s="3152">
        <v>41.97</v>
      </c>
      <c r="M223" s="3153">
        <v>9.7100000000000009</v>
      </c>
      <c r="N223" s="3148" t="s">
        <v>4273</v>
      </c>
    </row>
    <row r="224" spans="1:14">
      <c r="A224" s="3148">
        <v>222</v>
      </c>
      <c r="B224" s="3152" t="s">
        <v>3514</v>
      </c>
      <c r="C224" s="3152" t="s">
        <v>3735</v>
      </c>
      <c r="D224" s="3152">
        <v>38.130000000000003</v>
      </c>
      <c r="E224" s="3153">
        <v>11.69</v>
      </c>
      <c r="F224" s="3148" t="s">
        <v>4273</v>
      </c>
      <c r="I224" s="3148">
        <v>222</v>
      </c>
      <c r="J224" s="3152" t="s">
        <v>3935</v>
      </c>
      <c r="K224" s="3152" t="s">
        <v>4156</v>
      </c>
      <c r="L224" s="3152">
        <v>41.97</v>
      </c>
      <c r="M224" s="3153">
        <v>9.7100000000000009</v>
      </c>
      <c r="N224" s="3148" t="s">
        <v>4273</v>
      </c>
    </row>
    <row r="225" spans="1:14">
      <c r="A225" s="3148">
        <v>223</v>
      </c>
      <c r="B225" s="3152" t="s">
        <v>3514</v>
      </c>
      <c r="C225" s="3152" t="s">
        <v>3736</v>
      </c>
      <c r="D225" s="3152">
        <v>38.130000000000003</v>
      </c>
      <c r="E225" s="3153">
        <v>11.69</v>
      </c>
      <c r="F225" s="3148" t="s">
        <v>4273</v>
      </c>
      <c r="I225" s="3148">
        <v>223</v>
      </c>
      <c r="J225" s="3152" t="s">
        <v>3935</v>
      </c>
      <c r="K225" s="3152" t="s">
        <v>4157</v>
      </c>
      <c r="L225" s="3152">
        <v>41.97</v>
      </c>
      <c r="M225" s="3153">
        <v>9.7100000000000009</v>
      </c>
      <c r="N225" s="3148" t="s">
        <v>4273</v>
      </c>
    </row>
    <row r="226" spans="1:14">
      <c r="A226" s="3148">
        <v>224</v>
      </c>
      <c r="B226" s="3152" t="s">
        <v>3514</v>
      </c>
      <c r="C226" s="3152" t="s">
        <v>3737</v>
      </c>
      <c r="D226" s="3152">
        <v>38.130000000000003</v>
      </c>
      <c r="E226" s="3153">
        <v>11.69</v>
      </c>
      <c r="F226" s="3148" t="s">
        <v>4273</v>
      </c>
      <c r="I226" s="3148">
        <v>224</v>
      </c>
      <c r="J226" s="3152" t="s">
        <v>3935</v>
      </c>
      <c r="K226" s="3152" t="s">
        <v>4158</v>
      </c>
      <c r="L226" s="3152">
        <v>41.97</v>
      </c>
      <c r="M226" s="3153">
        <v>9.7100000000000009</v>
      </c>
      <c r="N226" s="3148" t="s">
        <v>4273</v>
      </c>
    </row>
    <row r="227" spans="1:14">
      <c r="A227" s="3148">
        <v>225</v>
      </c>
      <c r="B227" s="3152" t="s">
        <v>3514</v>
      </c>
      <c r="C227" s="3152" t="s">
        <v>3738</v>
      </c>
      <c r="D227" s="3152">
        <v>38.130000000000003</v>
      </c>
      <c r="E227" s="3153">
        <v>11.69</v>
      </c>
      <c r="F227" s="3148" t="s">
        <v>4273</v>
      </c>
      <c r="I227" s="3148">
        <v>225</v>
      </c>
      <c r="J227" s="3152" t="s">
        <v>3935</v>
      </c>
      <c r="K227" s="3152" t="s">
        <v>4159</v>
      </c>
      <c r="L227" s="3152">
        <v>41.97</v>
      </c>
      <c r="M227" s="3153">
        <v>9.7100000000000009</v>
      </c>
      <c r="N227" s="3148" t="s">
        <v>4273</v>
      </c>
    </row>
    <row r="228" spans="1:14">
      <c r="A228" s="3148">
        <v>226</v>
      </c>
      <c r="B228" s="3152" t="s">
        <v>3514</v>
      </c>
      <c r="C228" s="3152" t="s">
        <v>3739</v>
      </c>
      <c r="D228" s="3152">
        <v>36.56</v>
      </c>
      <c r="E228" s="3153">
        <v>11.21</v>
      </c>
      <c r="F228" s="3148" t="s">
        <v>4273</v>
      </c>
      <c r="I228" s="3148">
        <v>226</v>
      </c>
      <c r="J228" s="3152" t="s">
        <v>3935</v>
      </c>
      <c r="K228" s="3152" t="s">
        <v>4160</v>
      </c>
      <c r="L228" s="3152">
        <v>41.97</v>
      </c>
      <c r="M228" s="3153">
        <v>9.7100000000000009</v>
      </c>
      <c r="N228" s="3148" t="s">
        <v>4273</v>
      </c>
    </row>
    <row r="229" spans="1:14">
      <c r="A229" s="3148">
        <v>227</v>
      </c>
      <c r="B229" s="3152" t="s">
        <v>3514</v>
      </c>
      <c r="C229" s="3152" t="s">
        <v>3740</v>
      </c>
      <c r="D229" s="3152">
        <v>36.56</v>
      </c>
      <c r="E229" s="3153">
        <v>11.21</v>
      </c>
      <c r="F229" s="3148" t="s">
        <v>4273</v>
      </c>
      <c r="I229" s="3148">
        <v>227</v>
      </c>
      <c r="J229" s="3152" t="s">
        <v>3935</v>
      </c>
      <c r="K229" s="3152" t="s">
        <v>4161</v>
      </c>
      <c r="L229" s="3152">
        <v>43.78</v>
      </c>
      <c r="M229" s="3153">
        <v>10.130000000000001</v>
      </c>
      <c r="N229" s="3148" t="s">
        <v>4273</v>
      </c>
    </row>
    <row r="230" spans="1:14">
      <c r="A230" s="3148">
        <v>228</v>
      </c>
      <c r="B230" s="3152" t="s">
        <v>3514</v>
      </c>
      <c r="C230" s="3152" t="s">
        <v>3741</v>
      </c>
      <c r="D230" s="3152">
        <v>38.130000000000003</v>
      </c>
      <c r="E230" s="3153">
        <v>11.69</v>
      </c>
      <c r="F230" s="3148" t="s">
        <v>4273</v>
      </c>
      <c r="I230" s="3148">
        <v>228</v>
      </c>
      <c r="J230" s="3152" t="s">
        <v>3935</v>
      </c>
      <c r="K230" s="3152" t="s">
        <v>4162</v>
      </c>
      <c r="L230" s="3152">
        <v>41.97</v>
      </c>
      <c r="M230" s="3153">
        <v>9.7100000000000009</v>
      </c>
      <c r="N230" s="3148" t="s">
        <v>4273</v>
      </c>
    </row>
    <row r="231" spans="1:14">
      <c r="A231" s="3148">
        <v>229</v>
      </c>
      <c r="B231" s="3152" t="s">
        <v>3514</v>
      </c>
      <c r="C231" s="3152" t="s">
        <v>3742</v>
      </c>
      <c r="D231" s="3152">
        <v>36.56</v>
      </c>
      <c r="E231" s="3153">
        <v>11.21</v>
      </c>
      <c r="F231" s="3148" t="s">
        <v>4273</v>
      </c>
      <c r="I231" s="3148">
        <v>229</v>
      </c>
      <c r="J231" s="3152" t="s">
        <v>3935</v>
      </c>
      <c r="K231" s="3152" t="s">
        <v>4163</v>
      </c>
      <c r="L231" s="3152">
        <v>41.97</v>
      </c>
      <c r="M231" s="3153">
        <v>9.7100000000000009</v>
      </c>
      <c r="N231" s="3148" t="s">
        <v>4273</v>
      </c>
    </row>
    <row r="232" spans="1:14">
      <c r="A232" s="3148">
        <v>230</v>
      </c>
      <c r="B232" s="3152" t="s">
        <v>3514</v>
      </c>
      <c r="C232" s="3152" t="s">
        <v>3743</v>
      </c>
      <c r="D232" s="3152">
        <v>36.56</v>
      </c>
      <c r="E232" s="3153">
        <v>11.21</v>
      </c>
      <c r="F232" s="3148" t="s">
        <v>4273</v>
      </c>
      <c r="I232" s="3148">
        <v>230</v>
      </c>
      <c r="J232" s="3152" t="s">
        <v>3935</v>
      </c>
      <c r="K232" s="3152" t="s">
        <v>4164</v>
      </c>
      <c r="L232" s="3152">
        <v>43.78</v>
      </c>
      <c r="M232" s="3153">
        <v>10.130000000000001</v>
      </c>
      <c r="N232" s="3148" t="s">
        <v>4273</v>
      </c>
    </row>
    <row r="233" spans="1:14">
      <c r="A233" s="3148">
        <v>231</v>
      </c>
      <c r="B233" s="3152" t="s">
        <v>3514</v>
      </c>
      <c r="C233" s="3152" t="s">
        <v>3744</v>
      </c>
      <c r="D233" s="3152">
        <v>38.130000000000003</v>
      </c>
      <c r="E233" s="3153">
        <v>11.69</v>
      </c>
      <c r="F233" s="3148" t="s">
        <v>4273</v>
      </c>
      <c r="I233" s="3148">
        <v>231</v>
      </c>
      <c r="J233" s="3152" t="s">
        <v>3935</v>
      </c>
      <c r="K233" s="3152" t="s">
        <v>4165</v>
      </c>
      <c r="L233" s="3152">
        <v>41.97</v>
      </c>
      <c r="M233" s="3153">
        <v>9.7100000000000009</v>
      </c>
      <c r="N233" s="3148" t="s">
        <v>4273</v>
      </c>
    </row>
    <row r="234" spans="1:14">
      <c r="A234" s="3148">
        <v>232</v>
      </c>
      <c r="B234" s="3152" t="s">
        <v>3514</v>
      </c>
      <c r="C234" s="3152" t="s">
        <v>3745</v>
      </c>
      <c r="D234" s="3152">
        <v>36.56</v>
      </c>
      <c r="E234" s="3153">
        <v>11.21</v>
      </c>
      <c r="F234" s="3148" t="s">
        <v>4273</v>
      </c>
      <c r="I234" s="3148">
        <v>232</v>
      </c>
      <c r="J234" s="3152" t="s">
        <v>3935</v>
      </c>
      <c r="K234" s="3152" t="s">
        <v>4166</v>
      </c>
      <c r="L234" s="3152">
        <v>41.97</v>
      </c>
      <c r="M234" s="3153">
        <v>9.7100000000000009</v>
      </c>
      <c r="N234" s="3148" t="s">
        <v>4273</v>
      </c>
    </row>
    <row r="235" spans="1:14">
      <c r="A235" s="3148">
        <v>233</v>
      </c>
      <c r="B235" s="3152" t="s">
        <v>3514</v>
      </c>
      <c r="C235" s="3152" t="s">
        <v>3746</v>
      </c>
      <c r="D235" s="3152">
        <v>36.56</v>
      </c>
      <c r="E235" s="3153">
        <v>11.21</v>
      </c>
      <c r="F235" s="3148" t="s">
        <v>4273</v>
      </c>
      <c r="I235" s="3148">
        <v>233</v>
      </c>
      <c r="J235" s="3152" t="s">
        <v>3935</v>
      </c>
      <c r="K235" s="3152" t="s">
        <v>4167</v>
      </c>
      <c r="L235" s="3152">
        <v>43.78</v>
      </c>
      <c r="M235" s="3153">
        <v>10.130000000000001</v>
      </c>
      <c r="N235" s="3148" t="s">
        <v>4273</v>
      </c>
    </row>
    <row r="236" spans="1:14">
      <c r="A236" s="3148">
        <v>234</v>
      </c>
      <c r="B236" s="3152" t="s">
        <v>3514</v>
      </c>
      <c r="C236" s="3152" t="s">
        <v>3747</v>
      </c>
      <c r="D236" s="3152">
        <v>38.130000000000003</v>
      </c>
      <c r="E236" s="3153">
        <v>11.69</v>
      </c>
      <c r="F236" s="3148" t="s">
        <v>4273</v>
      </c>
      <c r="I236" s="3148">
        <v>234</v>
      </c>
      <c r="J236" s="3152" t="s">
        <v>3935</v>
      </c>
      <c r="K236" s="3152" t="s">
        <v>4168</v>
      </c>
      <c r="L236" s="3152">
        <v>41.97</v>
      </c>
      <c r="M236" s="3153">
        <v>9.7100000000000009</v>
      </c>
      <c r="N236" s="3148" t="s">
        <v>4273</v>
      </c>
    </row>
    <row r="237" spans="1:14">
      <c r="A237" s="3148">
        <v>235</v>
      </c>
      <c r="B237" s="3152" t="s">
        <v>3514</v>
      </c>
      <c r="C237" s="3152" t="s">
        <v>3748</v>
      </c>
      <c r="D237" s="3152">
        <v>36.56</v>
      </c>
      <c r="E237" s="3153">
        <v>11.21</v>
      </c>
      <c r="F237" s="3148" t="s">
        <v>4273</v>
      </c>
      <c r="I237" s="3148">
        <v>235</v>
      </c>
      <c r="J237" s="3152" t="s">
        <v>3935</v>
      </c>
      <c r="K237" s="3152" t="s">
        <v>4169</v>
      </c>
      <c r="L237" s="3152">
        <v>41.97</v>
      </c>
      <c r="M237" s="3153">
        <v>9.7100000000000009</v>
      </c>
      <c r="N237" s="3148" t="s">
        <v>4273</v>
      </c>
    </row>
    <row r="238" spans="1:14">
      <c r="A238" s="3148">
        <v>236</v>
      </c>
      <c r="B238" s="3152" t="s">
        <v>3514</v>
      </c>
      <c r="C238" s="3152" t="s">
        <v>3749</v>
      </c>
      <c r="D238" s="3152">
        <v>36.56</v>
      </c>
      <c r="E238" s="3153">
        <v>11.21</v>
      </c>
      <c r="F238" s="3148" t="s">
        <v>4273</v>
      </c>
      <c r="I238" s="3148">
        <v>236</v>
      </c>
      <c r="J238" s="3152" t="s">
        <v>3935</v>
      </c>
      <c r="K238" s="3152" t="s">
        <v>4170</v>
      </c>
      <c r="L238" s="3152">
        <v>43.78</v>
      </c>
      <c r="M238" s="3153">
        <v>10.130000000000001</v>
      </c>
      <c r="N238" s="3148" t="s">
        <v>4273</v>
      </c>
    </row>
    <row r="239" spans="1:14">
      <c r="A239" s="3148">
        <v>237</v>
      </c>
      <c r="B239" s="3152" t="s">
        <v>3514</v>
      </c>
      <c r="C239" s="3152" t="s">
        <v>3750</v>
      </c>
      <c r="D239" s="3152">
        <v>38.130000000000003</v>
      </c>
      <c r="E239" s="3153">
        <v>11.69</v>
      </c>
      <c r="F239" s="3148" t="s">
        <v>4273</v>
      </c>
      <c r="I239" s="3148">
        <v>237</v>
      </c>
      <c r="J239" s="3152" t="s">
        <v>3935</v>
      </c>
      <c r="K239" s="3152" t="s">
        <v>4171</v>
      </c>
      <c r="L239" s="3152">
        <v>41.97</v>
      </c>
      <c r="M239" s="3153">
        <v>9.7100000000000009</v>
      </c>
      <c r="N239" s="3148" t="s">
        <v>4273</v>
      </c>
    </row>
    <row r="240" spans="1:14">
      <c r="A240" s="3148">
        <v>238</v>
      </c>
      <c r="B240" s="3152" t="s">
        <v>3514</v>
      </c>
      <c r="C240" s="3152" t="s">
        <v>3751</v>
      </c>
      <c r="D240" s="3152">
        <v>36.56</v>
      </c>
      <c r="E240" s="3153">
        <v>11.21</v>
      </c>
      <c r="F240" s="3148" t="s">
        <v>4273</v>
      </c>
      <c r="I240" s="3148">
        <v>238</v>
      </c>
      <c r="J240" s="3152" t="s">
        <v>3935</v>
      </c>
      <c r="K240" s="3152" t="s">
        <v>4172</v>
      </c>
      <c r="L240" s="3152">
        <v>41.97</v>
      </c>
      <c r="M240" s="3153">
        <v>9.7100000000000009</v>
      </c>
      <c r="N240" s="3148" t="s">
        <v>4273</v>
      </c>
    </row>
    <row r="241" spans="1:14">
      <c r="A241" s="3148">
        <v>239</v>
      </c>
      <c r="B241" s="3152" t="s">
        <v>3514</v>
      </c>
      <c r="C241" s="3152" t="s">
        <v>3752</v>
      </c>
      <c r="D241" s="3152">
        <v>36.56</v>
      </c>
      <c r="E241" s="3153">
        <v>11.21</v>
      </c>
      <c r="F241" s="3148" t="s">
        <v>4273</v>
      </c>
      <c r="I241" s="3148">
        <v>239</v>
      </c>
      <c r="J241" s="3152" t="s">
        <v>3935</v>
      </c>
      <c r="K241" s="3152" t="s">
        <v>4173</v>
      </c>
      <c r="L241" s="3152">
        <v>41.97</v>
      </c>
      <c r="M241" s="3153">
        <v>9.7100000000000009</v>
      </c>
      <c r="N241" s="3148" t="s">
        <v>4273</v>
      </c>
    </row>
    <row r="242" spans="1:14">
      <c r="A242" s="3148">
        <v>240</v>
      </c>
      <c r="B242" s="3152" t="s">
        <v>3514</v>
      </c>
      <c r="C242" s="3152" t="s">
        <v>3753</v>
      </c>
      <c r="D242" s="3152">
        <v>38.130000000000003</v>
      </c>
      <c r="E242" s="3153">
        <v>11.69</v>
      </c>
      <c r="F242" s="3148" t="s">
        <v>4273</v>
      </c>
      <c r="I242" s="3148">
        <v>240</v>
      </c>
      <c r="J242" s="3152" t="s">
        <v>3935</v>
      </c>
      <c r="K242" s="3152" t="s">
        <v>4174</v>
      </c>
      <c r="L242" s="3152">
        <v>43.78</v>
      </c>
      <c r="M242" s="3153">
        <v>10.130000000000001</v>
      </c>
      <c r="N242" s="3148" t="s">
        <v>4273</v>
      </c>
    </row>
    <row r="243" spans="1:14">
      <c r="A243" s="3148">
        <v>241</v>
      </c>
      <c r="B243" s="3152" t="s">
        <v>3514</v>
      </c>
      <c r="C243" s="3152" t="s">
        <v>3754</v>
      </c>
      <c r="D243" s="3152">
        <v>36.56</v>
      </c>
      <c r="E243" s="3153">
        <v>11.21</v>
      </c>
      <c r="F243" s="3148" t="s">
        <v>4273</v>
      </c>
      <c r="I243" s="3148">
        <v>241</v>
      </c>
      <c r="J243" s="3152" t="s">
        <v>3935</v>
      </c>
      <c r="K243" s="3152" t="s">
        <v>4175</v>
      </c>
      <c r="L243" s="3152">
        <v>41.97</v>
      </c>
      <c r="M243" s="3153">
        <v>9.7100000000000009</v>
      </c>
      <c r="N243" s="3148" t="s">
        <v>4273</v>
      </c>
    </row>
    <row r="244" spans="1:14">
      <c r="A244" s="3148">
        <v>242</v>
      </c>
      <c r="B244" s="3152" t="s">
        <v>3514</v>
      </c>
      <c r="C244" s="3152" t="s">
        <v>3755</v>
      </c>
      <c r="D244" s="3152">
        <v>36.56</v>
      </c>
      <c r="E244" s="3153">
        <v>11.21</v>
      </c>
      <c r="F244" s="3148" t="s">
        <v>4273</v>
      </c>
      <c r="I244" s="3148">
        <v>242</v>
      </c>
      <c r="J244" s="3152" t="s">
        <v>3935</v>
      </c>
      <c r="K244" s="3152" t="s">
        <v>4176</v>
      </c>
      <c r="L244" s="3152">
        <v>41.97</v>
      </c>
      <c r="M244" s="3153">
        <v>9.7100000000000009</v>
      </c>
      <c r="N244" s="3148" t="s">
        <v>4273</v>
      </c>
    </row>
    <row r="245" spans="1:14">
      <c r="A245" s="3148">
        <v>243</v>
      </c>
      <c r="B245" s="3152" t="s">
        <v>3514</v>
      </c>
      <c r="C245" s="3152" t="s">
        <v>3756</v>
      </c>
      <c r="D245" s="3152">
        <v>36.56</v>
      </c>
      <c r="E245" s="3153">
        <v>11.21</v>
      </c>
      <c r="F245" s="3148" t="s">
        <v>4273</v>
      </c>
      <c r="I245" s="3148">
        <v>243</v>
      </c>
      <c r="J245" s="3152" t="s">
        <v>3935</v>
      </c>
      <c r="K245" s="3152" t="s">
        <v>4177</v>
      </c>
      <c r="L245" s="3152">
        <v>43.78</v>
      </c>
      <c r="M245" s="3153">
        <v>10.130000000000001</v>
      </c>
      <c r="N245" s="3148" t="s">
        <v>4273</v>
      </c>
    </row>
    <row r="246" spans="1:14">
      <c r="A246" s="3148">
        <v>244</v>
      </c>
      <c r="B246" s="3152" t="s">
        <v>3514</v>
      </c>
      <c r="C246" s="3152" t="s">
        <v>3757</v>
      </c>
      <c r="D246" s="3152">
        <v>38.130000000000003</v>
      </c>
      <c r="E246" s="3153">
        <v>11.69</v>
      </c>
      <c r="F246" s="3148" t="s">
        <v>4273</v>
      </c>
      <c r="I246" s="3148">
        <v>244</v>
      </c>
      <c r="J246" s="3152" t="s">
        <v>3935</v>
      </c>
      <c r="K246" s="3152" t="s">
        <v>4178</v>
      </c>
      <c r="L246" s="3152">
        <v>41.97</v>
      </c>
      <c r="M246" s="3153">
        <v>9.7100000000000009</v>
      </c>
      <c r="N246" s="3148" t="s">
        <v>4273</v>
      </c>
    </row>
    <row r="247" spans="1:14">
      <c r="A247" s="3148">
        <v>245</v>
      </c>
      <c r="B247" s="3152" t="s">
        <v>3514</v>
      </c>
      <c r="C247" s="3152" t="s">
        <v>3758</v>
      </c>
      <c r="D247" s="3152">
        <v>36.56</v>
      </c>
      <c r="E247" s="3153">
        <v>11.21</v>
      </c>
      <c r="F247" s="3148" t="s">
        <v>4273</v>
      </c>
      <c r="I247" s="3148">
        <v>245</v>
      </c>
      <c r="J247" s="3152" t="s">
        <v>3935</v>
      </c>
      <c r="K247" s="3152" t="s">
        <v>4179</v>
      </c>
      <c r="L247" s="3152">
        <v>54.72</v>
      </c>
      <c r="M247" s="3153">
        <v>12.66</v>
      </c>
      <c r="N247" s="3148" t="s">
        <v>4273</v>
      </c>
    </row>
    <row r="248" spans="1:14">
      <c r="A248" s="3148">
        <v>246</v>
      </c>
      <c r="B248" s="3152" t="s">
        <v>3514</v>
      </c>
      <c r="C248" s="3152" t="s">
        <v>3759</v>
      </c>
      <c r="D248" s="3152">
        <v>36.56</v>
      </c>
      <c r="E248" s="3153">
        <v>11.21</v>
      </c>
      <c r="F248" s="3148" t="s">
        <v>4273</v>
      </c>
      <c r="I248" s="3148">
        <v>246</v>
      </c>
      <c r="J248" s="3152" t="s">
        <v>3935</v>
      </c>
      <c r="K248" s="3152" t="s">
        <v>4180</v>
      </c>
      <c r="L248" s="3152">
        <v>54.72</v>
      </c>
      <c r="M248" s="3153">
        <v>12.66</v>
      </c>
      <c r="N248" s="3148" t="s">
        <v>4273</v>
      </c>
    </row>
    <row r="249" spans="1:14">
      <c r="A249" s="3148">
        <v>247</v>
      </c>
      <c r="B249" s="3152" t="s">
        <v>3514</v>
      </c>
      <c r="C249" s="3152" t="s">
        <v>3760</v>
      </c>
      <c r="D249" s="3152">
        <v>36.56</v>
      </c>
      <c r="E249" s="3153">
        <v>11.21</v>
      </c>
      <c r="F249" s="3148" t="s">
        <v>4273</v>
      </c>
      <c r="I249" s="3148">
        <v>247</v>
      </c>
      <c r="J249" s="3152" t="s">
        <v>3935</v>
      </c>
      <c r="K249" s="3152" t="s">
        <v>4181</v>
      </c>
      <c r="L249" s="3152">
        <v>41.97</v>
      </c>
      <c r="M249" s="3153">
        <v>9.7100000000000009</v>
      </c>
      <c r="N249" s="3148" t="s">
        <v>4273</v>
      </c>
    </row>
    <row r="250" spans="1:14">
      <c r="A250" s="3148">
        <v>248</v>
      </c>
      <c r="B250" s="3152" t="s">
        <v>3514</v>
      </c>
      <c r="C250" s="3152" t="s">
        <v>3761</v>
      </c>
      <c r="D250" s="3152">
        <v>36.56</v>
      </c>
      <c r="E250" s="3153">
        <v>11.21</v>
      </c>
      <c r="F250" s="3148" t="s">
        <v>4273</v>
      </c>
      <c r="I250" s="3148">
        <v>248</v>
      </c>
      <c r="J250" s="3152" t="s">
        <v>3935</v>
      </c>
      <c r="K250" s="3152" t="s">
        <v>4182</v>
      </c>
      <c r="L250" s="3152">
        <v>43.78</v>
      </c>
      <c r="M250" s="3153">
        <v>10.130000000000001</v>
      </c>
      <c r="N250" s="3148" t="s">
        <v>4273</v>
      </c>
    </row>
    <row r="251" spans="1:14">
      <c r="A251" s="3148">
        <v>249</v>
      </c>
      <c r="B251" s="3152" t="s">
        <v>3514</v>
      </c>
      <c r="C251" s="3152" t="s">
        <v>3762</v>
      </c>
      <c r="D251" s="3152">
        <v>38.130000000000003</v>
      </c>
      <c r="E251" s="3153">
        <v>11.69</v>
      </c>
      <c r="F251" s="3148" t="s">
        <v>4273</v>
      </c>
      <c r="I251" s="3148">
        <v>249</v>
      </c>
      <c r="J251" s="3152" t="s">
        <v>3935</v>
      </c>
      <c r="K251" s="3152" t="s">
        <v>4183</v>
      </c>
      <c r="L251" s="3152">
        <v>41.97</v>
      </c>
      <c r="M251" s="3153">
        <v>9.7100000000000009</v>
      </c>
      <c r="N251" s="3148" t="s">
        <v>4273</v>
      </c>
    </row>
    <row r="252" spans="1:14">
      <c r="A252" s="3148">
        <v>250</v>
      </c>
      <c r="B252" s="3152" t="s">
        <v>3514</v>
      </c>
      <c r="C252" s="3152" t="s">
        <v>3763</v>
      </c>
      <c r="D252" s="3152">
        <v>36.56</v>
      </c>
      <c r="E252" s="3153">
        <v>11.21</v>
      </c>
      <c r="F252" s="3148" t="s">
        <v>4273</v>
      </c>
      <c r="I252" s="3148">
        <v>250</v>
      </c>
      <c r="J252" s="3152" t="s">
        <v>3935</v>
      </c>
      <c r="K252" s="3152" t="s">
        <v>4184</v>
      </c>
      <c r="L252" s="3152">
        <v>41.97</v>
      </c>
      <c r="M252" s="3153">
        <v>9.7100000000000009</v>
      </c>
      <c r="N252" s="3148" t="s">
        <v>4273</v>
      </c>
    </row>
    <row r="253" spans="1:14">
      <c r="A253" s="3148">
        <v>251</v>
      </c>
      <c r="B253" s="3152" t="s">
        <v>3514</v>
      </c>
      <c r="C253" s="3152" t="s">
        <v>3764</v>
      </c>
      <c r="D253" s="3152">
        <v>36.56</v>
      </c>
      <c r="E253" s="3153">
        <v>11.21</v>
      </c>
      <c r="F253" s="3148" t="s">
        <v>4273</v>
      </c>
      <c r="I253" s="3148">
        <v>251</v>
      </c>
      <c r="J253" s="3152" t="s">
        <v>3935</v>
      </c>
      <c r="K253" s="3152" t="s">
        <v>4185</v>
      </c>
      <c r="L253" s="3152">
        <v>43.78</v>
      </c>
      <c r="M253" s="3153">
        <v>10.130000000000001</v>
      </c>
      <c r="N253" s="3148" t="s">
        <v>4273</v>
      </c>
    </row>
    <row r="254" spans="1:14">
      <c r="A254" s="3148">
        <v>252</v>
      </c>
      <c r="B254" s="3152" t="s">
        <v>3514</v>
      </c>
      <c r="C254" s="3152" t="s">
        <v>3765</v>
      </c>
      <c r="D254" s="3152">
        <v>38.130000000000003</v>
      </c>
      <c r="E254" s="3153">
        <v>11.69</v>
      </c>
      <c r="F254" s="3148" t="s">
        <v>4273</v>
      </c>
      <c r="I254" s="3148">
        <v>252</v>
      </c>
      <c r="J254" s="3152" t="s">
        <v>3935</v>
      </c>
      <c r="K254" s="3152" t="s">
        <v>4186</v>
      </c>
      <c r="L254" s="3152">
        <v>41.97</v>
      </c>
      <c r="M254" s="3153">
        <v>9.7100000000000009</v>
      </c>
      <c r="N254" s="3148" t="s">
        <v>4273</v>
      </c>
    </row>
    <row r="255" spans="1:14">
      <c r="A255" s="3148">
        <v>253</v>
      </c>
      <c r="B255" s="3152" t="s">
        <v>3514</v>
      </c>
      <c r="C255" s="3152" t="s">
        <v>3766</v>
      </c>
      <c r="D255" s="3152">
        <v>38.130000000000003</v>
      </c>
      <c r="E255" s="3153">
        <v>11.69</v>
      </c>
      <c r="F255" s="3148" t="s">
        <v>4273</v>
      </c>
      <c r="I255" s="3148">
        <v>253</v>
      </c>
      <c r="J255" s="3152" t="s">
        <v>3935</v>
      </c>
      <c r="K255" s="3152" t="s">
        <v>4187</v>
      </c>
      <c r="L255" s="3152">
        <v>41.97</v>
      </c>
      <c r="M255" s="3153">
        <v>9.7100000000000009</v>
      </c>
      <c r="N255" s="3148" t="s">
        <v>4273</v>
      </c>
    </row>
    <row r="256" spans="1:14">
      <c r="A256" s="3148">
        <v>254</v>
      </c>
      <c r="B256" s="3152" t="s">
        <v>3514</v>
      </c>
      <c r="C256" s="3152" t="s">
        <v>3767</v>
      </c>
      <c r="D256" s="3152">
        <v>36.56</v>
      </c>
      <c r="E256" s="3153">
        <v>11.21</v>
      </c>
      <c r="F256" s="3148" t="s">
        <v>4273</v>
      </c>
      <c r="I256" s="3148">
        <v>254</v>
      </c>
      <c r="J256" s="3152" t="s">
        <v>3935</v>
      </c>
      <c r="K256" s="3152" t="s">
        <v>4188</v>
      </c>
      <c r="L256" s="3152">
        <v>43.78</v>
      </c>
      <c r="M256" s="3153">
        <v>10.130000000000001</v>
      </c>
      <c r="N256" s="3148" t="s">
        <v>4273</v>
      </c>
    </row>
    <row r="257" spans="1:14">
      <c r="A257" s="3148">
        <v>255</v>
      </c>
      <c r="B257" s="3152" t="s">
        <v>3514</v>
      </c>
      <c r="C257" s="3152" t="s">
        <v>3768</v>
      </c>
      <c r="D257" s="3152">
        <v>36.56</v>
      </c>
      <c r="E257" s="3153">
        <v>11.21</v>
      </c>
      <c r="F257" s="3148" t="s">
        <v>4273</v>
      </c>
      <c r="I257" s="3148">
        <v>255</v>
      </c>
      <c r="J257" s="3152" t="s">
        <v>3935</v>
      </c>
      <c r="K257" s="3152" t="s">
        <v>4189</v>
      </c>
      <c r="L257" s="3152">
        <v>41.97</v>
      </c>
      <c r="M257" s="3153">
        <v>9.7100000000000009</v>
      </c>
      <c r="N257" s="3148" t="s">
        <v>4273</v>
      </c>
    </row>
    <row r="258" spans="1:14">
      <c r="A258" s="3148">
        <v>256</v>
      </c>
      <c r="B258" s="3152" t="s">
        <v>3514</v>
      </c>
      <c r="C258" s="3152" t="s">
        <v>3769</v>
      </c>
      <c r="D258" s="3152">
        <v>36.56</v>
      </c>
      <c r="E258" s="3153">
        <v>11.21</v>
      </c>
      <c r="F258" s="3148" t="s">
        <v>4273</v>
      </c>
      <c r="I258" s="3148">
        <v>256</v>
      </c>
      <c r="J258" s="3152" t="s">
        <v>3935</v>
      </c>
      <c r="K258" s="3152" t="s">
        <v>4190</v>
      </c>
      <c r="L258" s="3152">
        <v>41.97</v>
      </c>
      <c r="M258" s="3153">
        <v>9.7100000000000009</v>
      </c>
      <c r="N258" s="3148" t="s">
        <v>4273</v>
      </c>
    </row>
    <row r="259" spans="1:14">
      <c r="A259" s="3148">
        <v>257</v>
      </c>
      <c r="B259" s="3152" t="s">
        <v>3514</v>
      </c>
      <c r="C259" s="3152" t="s">
        <v>3770</v>
      </c>
      <c r="D259" s="3152">
        <v>36.56</v>
      </c>
      <c r="E259" s="3153">
        <v>11.21</v>
      </c>
      <c r="F259" s="3148" t="s">
        <v>4273</v>
      </c>
      <c r="I259" s="3148">
        <v>257</v>
      </c>
      <c r="J259" s="3152" t="s">
        <v>3935</v>
      </c>
      <c r="K259" s="3152" t="s">
        <v>4191</v>
      </c>
      <c r="L259" s="3152">
        <v>43.78</v>
      </c>
      <c r="M259" s="3153">
        <v>10.130000000000001</v>
      </c>
      <c r="N259" s="3148" t="s">
        <v>4273</v>
      </c>
    </row>
    <row r="260" spans="1:14">
      <c r="A260" s="3148">
        <v>258</v>
      </c>
      <c r="B260" s="3152" t="s">
        <v>3514</v>
      </c>
      <c r="C260" s="3152" t="s">
        <v>3771</v>
      </c>
      <c r="D260" s="3152">
        <v>38.130000000000003</v>
      </c>
      <c r="E260" s="3153">
        <v>11.69</v>
      </c>
      <c r="F260" s="3148" t="s">
        <v>4273</v>
      </c>
      <c r="I260" s="3148">
        <v>258</v>
      </c>
      <c r="J260" s="3152" t="s">
        <v>3935</v>
      </c>
      <c r="K260" s="3152" t="s">
        <v>4192</v>
      </c>
      <c r="L260" s="3152">
        <v>41.97</v>
      </c>
      <c r="M260" s="3153">
        <v>9.7100000000000009</v>
      </c>
      <c r="N260" s="3148" t="s">
        <v>4273</v>
      </c>
    </row>
    <row r="261" spans="1:14">
      <c r="A261" s="3148">
        <v>259</v>
      </c>
      <c r="B261" s="3152" t="s">
        <v>3514</v>
      </c>
      <c r="C261" s="3152" t="s">
        <v>3772</v>
      </c>
      <c r="D261" s="3152">
        <v>36.56</v>
      </c>
      <c r="E261" s="3153">
        <v>11.21</v>
      </c>
      <c r="F261" s="3148" t="s">
        <v>4273</v>
      </c>
      <c r="I261" s="3148">
        <v>259</v>
      </c>
      <c r="J261" s="3152" t="s">
        <v>3935</v>
      </c>
      <c r="K261" s="3152" t="s">
        <v>4193</v>
      </c>
      <c r="L261" s="3152">
        <v>41.97</v>
      </c>
      <c r="M261" s="3153">
        <v>9.7100000000000009</v>
      </c>
      <c r="N261" s="3148" t="s">
        <v>4273</v>
      </c>
    </row>
    <row r="262" spans="1:14">
      <c r="A262" s="3148">
        <v>260</v>
      </c>
      <c r="B262" s="3152" t="s">
        <v>3514</v>
      </c>
      <c r="C262" s="3152" t="s">
        <v>3773</v>
      </c>
      <c r="D262" s="3152">
        <v>36.56</v>
      </c>
      <c r="E262" s="3153">
        <v>11.21</v>
      </c>
      <c r="F262" s="3148" t="s">
        <v>4273</v>
      </c>
      <c r="I262" s="3148">
        <v>260</v>
      </c>
      <c r="J262" s="3152" t="s">
        <v>3935</v>
      </c>
      <c r="K262" s="3152" t="s">
        <v>4194</v>
      </c>
      <c r="L262" s="3152">
        <v>43.78</v>
      </c>
      <c r="M262" s="3153">
        <v>10.130000000000001</v>
      </c>
      <c r="N262" s="3148" t="s">
        <v>4273</v>
      </c>
    </row>
    <row r="263" spans="1:14">
      <c r="A263" s="3148">
        <v>261</v>
      </c>
      <c r="B263" s="3152" t="s">
        <v>3514</v>
      </c>
      <c r="C263" s="3152" t="s">
        <v>3774</v>
      </c>
      <c r="D263" s="3152">
        <v>38.130000000000003</v>
      </c>
      <c r="E263" s="3153">
        <v>11.69</v>
      </c>
      <c r="F263" s="3148" t="s">
        <v>4273</v>
      </c>
      <c r="I263" s="3148">
        <v>261</v>
      </c>
      <c r="J263" s="3152" t="s">
        <v>3935</v>
      </c>
      <c r="K263" s="3152" t="s">
        <v>4195</v>
      </c>
      <c r="L263" s="3152">
        <v>41.97</v>
      </c>
      <c r="M263" s="3153">
        <v>9.7100000000000009</v>
      </c>
      <c r="N263" s="3148" t="s">
        <v>4273</v>
      </c>
    </row>
    <row r="264" spans="1:14">
      <c r="A264" s="3148">
        <v>262</v>
      </c>
      <c r="B264" s="3152" t="s">
        <v>3514</v>
      </c>
      <c r="C264" s="3152" t="s">
        <v>3775</v>
      </c>
      <c r="D264" s="3152">
        <v>36.56</v>
      </c>
      <c r="E264" s="3153">
        <v>11.21</v>
      </c>
      <c r="F264" s="3148" t="s">
        <v>4273</v>
      </c>
      <c r="I264" s="3148">
        <v>262</v>
      </c>
      <c r="J264" s="3152" t="s">
        <v>3935</v>
      </c>
      <c r="K264" s="3152" t="s">
        <v>4196</v>
      </c>
      <c r="L264" s="3152">
        <v>41.97</v>
      </c>
      <c r="M264" s="3153">
        <v>9.7100000000000009</v>
      </c>
      <c r="N264" s="3148" t="s">
        <v>4273</v>
      </c>
    </row>
    <row r="265" spans="1:14">
      <c r="A265" s="3148">
        <v>263</v>
      </c>
      <c r="B265" s="3152" t="s">
        <v>3514</v>
      </c>
      <c r="C265" s="3152" t="s">
        <v>3776</v>
      </c>
      <c r="D265" s="3152">
        <v>36.56</v>
      </c>
      <c r="E265" s="3153">
        <v>11.21</v>
      </c>
      <c r="F265" s="3148" t="s">
        <v>4273</v>
      </c>
      <c r="I265" s="3148">
        <v>263</v>
      </c>
      <c r="J265" s="3152" t="s">
        <v>3935</v>
      </c>
      <c r="K265" s="3152" t="s">
        <v>4197</v>
      </c>
      <c r="L265" s="3152">
        <v>43.78</v>
      </c>
      <c r="M265" s="3153">
        <v>10.130000000000001</v>
      </c>
      <c r="N265" s="3148" t="s">
        <v>4273</v>
      </c>
    </row>
    <row r="266" spans="1:14">
      <c r="A266" s="3148">
        <v>264</v>
      </c>
      <c r="B266" s="3152" t="s">
        <v>3514</v>
      </c>
      <c r="C266" s="3152" t="s">
        <v>3777</v>
      </c>
      <c r="D266" s="3152">
        <v>38.130000000000003</v>
      </c>
      <c r="E266" s="3153">
        <v>11.69</v>
      </c>
      <c r="F266" s="3148" t="s">
        <v>4273</v>
      </c>
      <c r="I266" s="3148">
        <v>264</v>
      </c>
      <c r="J266" s="3152" t="s">
        <v>3935</v>
      </c>
      <c r="K266" s="3152" t="s">
        <v>4198</v>
      </c>
      <c r="L266" s="3152">
        <v>41.97</v>
      </c>
      <c r="M266" s="3153">
        <v>9.7100000000000009</v>
      </c>
      <c r="N266" s="3148" t="s">
        <v>4273</v>
      </c>
    </row>
    <row r="267" spans="1:14">
      <c r="A267" s="3148">
        <v>265</v>
      </c>
      <c r="B267" s="3152" t="s">
        <v>3514</v>
      </c>
      <c r="C267" s="3152" t="s">
        <v>3778</v>
      </c>
      <c r="D267" s="3152">
        <v>36.56</v>
      </c>
      <c r="E267" s="3153">
        <v>11.21</v>
      </c>
      <c r="F267" s="3148" t="s">
        <v>4273</v>
      </c>
      <c r="I267" s="3148">
        <v>265</v>
      </c>
      <c r="J267" s="3152" t="s">
        <v>3935</v>
      </c>
      <c r="K267" s="3152" t="s">
        <v>4199</v>
      </c>
      <c r="L267" s="3152">
        <v>41.97</v>
      </c>
      <c r="M267" s="3153">
        <v>9.7100000000000009</v>
      </c>
      <c r="N267" s="3148" t="s">
        <v>4273</v>
      </c>
    </row>
    <row r="268" spans="1:14">
      <c r="A268" s="3148">
        <v>266</v>
      </c>
      <c r="B268" s="3152" t="s">
        <v>3514</v>
      </c>
      <c r="C268" s="3152" t="s">
        <v>3779</v>
      </c>
      <c r="D268" s="3152">
        <v>36.56</v>
      </c>
      <c r="E268" s="3153">
        <v>11.21</v>
      </c>
      <c r="F268" s="3148" t="s">
        <v>4273</v>
      </c>
      <c r="I268" s="3148">
        <v>266</v>
      </c>
      <c r="J268" s="3152" t="s">
        <v>3935</v>
      </c>
      <c r="K268" s="3152" t="s">
        <v>4200</v>
      </c>
      <c r="L268" s="3152">
        <v>43.78</v>
      </c>
      <c r="M268" s="3153">
        <v>10.130000000000001</v>
      </c>
      <c r="N268" s="3148" t="s">
        <v>4273</v>
      </c>
    </row>
    <row r="269" spans="1:14">
      <c r="A269" s="3148">
        <v>267</v>
      </c>
      <c r="B269" s="3152" t="s">
        <v>3514</v>
      </c>
      <c r="C269" s="3152" t="s">
        <v>3780</v>
      </c>
      <c r="D269" s="3152">
        <v>38.130000000000003</v>
      </c>
      <c r="E269" s="3153">
        <v>11.69</v>
      </c>
      <c r="F269" s="3148" t="s">
        <v>4273</v>
      </c>
      <c r="I269" s="3148">
        <v>267</v>
      </c>
      <c r="J269" s="3152" t="s">
        <v>3935</v>
      </c>
      <c r="K269" s="3152" t="s">
        <v>4201</v>
      </c>
      <c r="L269" s="3152">
        <v>41.97</v>
      </c>
      <c r="M269" s="3153">
        <v>9.7100000000000009</v>
      </c>
      <c r="N269" s="3148" t="s">
        <v>4273</v>
      </c>
    </row>
    <row r="270" spans="1:14">
      <c r="A270" s="3148">
        <v>268</v>
      </c>
      <c r="B270" s="3152" t="s">
        <v>3514</v>
      </c>
      <c r="C270" s="3152" t="s">
        <v>3781</v>
      </c>
      <c r="D270" s="3152">
        <v>36.56</v>
      </c>
      <c r="E270" s="3153">
        <v>11.21</v>
      </c>
      <c r="F270" s="3148" t="s">
        <v>4273</v>
      </c>
      <c r="I270" s="3148">
        <v>268</v>
      </c>
      <c r="J270" s="3152" t="s">
        <v>3935</v>
      </c>
      <c r="K270" s="3152" t="s">
        <v>4202</v>
      </c>
      <c r="L270" s="3152">
        <v>41.97</v>
      </c>
      <c r="M270" s="3153">
        <v>9.7100000000000009</v>
      </c>
      <c r="N270" s="3148" t="s">
        <v>4273</v>
      </c>
    </row>
    <row r="271" spans="1:14">
      <c r="A271" s="3148">
        <v>269</v>
      </c>
      <c r="B271" s="3152" t="s">
        <v>3514</v>
      </c>
      <c r="C271" s="3152" t="s">
        <v>3782</v>
      </c>
      <c r="D271" s="3152">
        <v>36.56</v>
      </c>
      <c r="E271" s="3153">
        <v>11.21</v>
      </c>
      <c r="F271" s="3148" t="s">
        <v>4273</v>
      </c>
      <c r="I271" s="3148">
        <v>269</v>
      </c>
      <c r="J271" s="3152" t="s">
        <v>3935</v>
      </c>
      <c r="K271" s="3152" t="s">
        <v>4203</v>
      </c>
      <c r="L271" s="3152">
        <v>43.78</v>
      </c>
      <c r="M271" s="3153">
        <v>10.130000000000001</v>
      </c>
      <c r="N271" s="3148" t="s">
        <v>4273</v>
      </c>
    </row>
    <row r="272" spans="1:14">
      <c r="A272" s="3148">
        <v>270</v>
      </c>
      <c r="B272" s="3152" t="s">
        <v>3514</v>
      </c>
      <c r="C272" s="3152" t="s">
        <v>3783</v>
      </c>
      <c r="D272" s="3152">
        <v>38.130000000000003</v>
      </c>
      <c r="E272" s="3153">
        <v>11.69</v>
      </c>
      <c r="F272" s="3148" t="s">
        <v>4273</v>
      </c>
      <c r="I272" s="3148">
        <v>270</v>
      </c>
      <c r="J272" s="3152" t="s">
        <v>3935</v>
      </c>
      <c r="K272" s="3152" t="s">
        <v>4204</v>
      </c>
      <c r="L272" s="3152">
        <v>41.97</v>
      </c>
      <c r="M272" s="3153">
        <v>9.7100000000000009</v>
      </c>
      <c r="N272" s="3148" t="s">
        <v>4273</v>
      </c>
    </row>
    <row r="273" spans="1:14">
      <c r="A273" s="3148">
        <v>271</v>
      </c>
      <c r="B273" s="3152" t="s">
        <v>3514</v>
      </c>
      <c r="C273" s="3152" t="s">
        <v>3784</v>
      </c>
      <c r="D273" s="3152">
        <v>36.56</v>
      </c>
      <c r="E273" s="3153">
        <v>11.21</v>
      </c>
      <c r="F273" s="3148" t="s">
        <v>4273</v>
      </c>
      <c r="I273" s="3148">
        <v>271</v>
      </c>
      <c r="J273" s="3152" t="s">
        <v>3935</v>
      </c>
      <c r="K273" s="3152" t="s">
        <v>4205</v>
      </c>
      <c r="L273" s="3152">
        <v>41.97</v>
      </c>
      <c r="M273" s="3153">
        <v>9.7100000000000009</v>
      </c>
      <c r="N273" s="3148" t="s">
        <v>4273</v>
      </c>
    </row>
    <row r="274" spans="1:14">
      <c r="A274" s="3148">
        <v>272</v>
      </c>
      <c r="B274" s="3152" t="s">
        <v>3514</v>
      </c>
      <c r="C274" s="3152" t="s">
        <v>3785</v>
      </c>
      <c r="D274" s="3152">
        <v>36.56</v>
      </c>
      <c r="E274" s="3153">
        <v>11.21</v>
      </c>
      <c r="F274" s="3148" t="s">
        <v>4273</v>
      </c>
      <c r="I274" s="3148">
        <v>272</v>
      </c>
      <c r="J274" s="3152" t="s">
        <v>3935</v>
      </c>
      <c r="K274" s="3152" t="s">
        <v>4206</v>
      </c>
      <c r="L274" s="3152">
        <v>41.97</v>
      </c>
      <c r="M274" s="3153">
        <v>9.7100000000000009</v>
      </c>
      <c r="N274" s="3148" t="s">
        <v>4273</v>
      </c>
    </row>
    <row r="275" spans="1:14">
      <c r="A275" s="3148">
        <v>273</v>
      </c>
      <c r="B275" s="3152" t="s">
        <v>3514</v>
      </c>
      <c r="C275" s="3152" t="s">
        <v>3786</v>
      </c>
      <c r="D275" s="3152">
        <v>38.130000000000003</v>
      </c>
      <c r="E275" s="3153">
        <v>11.69</v>
      </c>
      <c r="F275" s="3148" t="s">
        <v>4273</v>
      </c>
      <c r="I275" s="3148">
        <v>273</v>
      </c>
      <c r="J275" s="3152" t="s">
        <v>3935</v>
      </c>
      <c r="K275" s="3152" t="s">
        <v>4207</v>
      </c>
      <c r="L275" s="3152">
        <v>41.97</v>
      </c>
      <c r="M275" s="3153">
        <v>9.7100000000000009</v>
      </c>
      <c r="N275" s="3148" t="s">
        <v>4273</v>
      </c>
    </row>
    <row r="276" spans="1:14">
      <c r="A276" s="3148">
        <v>274</v>
      </c>
      <c r="B276" s="3152" t="s">
        <v>3514</v>
      </c>
      <c r="C276" s="3152" t="s">
        <v>3787</v>
      </c>
      <c r="D276" s="3152">
        <v>36.56</v>
      </c>
      <c r="E276" s="3153">
        <v>11.21</v>
      </c>
      <c r="F276" s="3148" t="s">
        <v>4273</v>
      </c>
      <c r="I276" s="3148">
        <v>274</v>
      </c>
      <c r="J276" s="3152" t="s">
        <v>3935</v>
      </c>
      <c r="K276" s="3152" t="s">
        <v>4208</v>
      </c>
      <c r="L276" s="3152">
        <v>41.97</v>
      </c>
      <c r="M276" s="3153">
        <v>9.7100000000000009</v>
      </c>
      <c r="N276" s="3148" t="s">
        <v>4273</v>
      </c>
    </row>
    <row r="277" spans="1:14">
      <c r="A277" s="3148">
        <v>275</v>
      </c>
      <c r="B277" s="3152" t="s">
        <v>3514</v>
      </c>
      <c r="C277" s="3152" t="s">
        <v>3788</v>
      </c>
      <c r="D277" s="3152">
        <v>36.56</v>
      </c>
      <c r="E277" s="3153">
        <v>11.21</v>
      </c>
      <c r="F277" s="3148" t="s">
        <v>4273</v>
      </c>
      <c r="I277" s="3148">
        <v>275</v>
      </c>
      <c r="J277" s="3152" t="s">
        <v>3935</v>
      </c>
      <c r="K277" s="3152" t="s">
        <v>4209</v>
      </c>
      <c r="L277" s="3152">
        <v>41.97</v>
      </c>
      <c r="M277" s="3153">
        <v>9.7100000000000009</v>
      </c>
      <c r="N277" s="3148" t="s">
        <v>4273</v>
      </c>
    </row>
    <row r="278" spans="1:14">
      <c r="A278" s="3148">
        <v>276</v>
      </c>
      <c r="B278" s="3152" t="s">
        <v>3514</v>
      </c>
      <c r="C278" s="3152" t="s">
        <v>3789</v>
      </c>
      <c r="D278" s="3152">
        <v>38.130000000000003</v>
      </c>
      <c r="E278" s="3153">
        <v>11.69</v>
      </c>
      <c r="F278" s="3148" t="s">
        <v>4273</v>
      </c>
      <c r="I278" s="3148">
        <v>276</v>
      </c>
      <c r="J278" s="3152" t="s">
        <v>3935</v>
      </c>
      <c r="K278" s="3152" t="s">
        <v>4210</v>
      </c>
      <c r="L278" s="3152">
        <v>41.97</v>
      </c>
      <c r="M278" s="3153">
        <v>9.7100000000000009</v>
      </c>
      <c r="N278" s="3148" t="s">
        <v>4273</v>
      </c>
    </row>
    <row r="279" spans="1:14">
      <c r="A279" s="3148">
        <v>277</v>
      </c>
      <c r="B279" s="3152" t="s">
        <v>3514</v>
      </c>
      <c r="C279" s="3152" t="s">
        <v>3790</v>
      </c>
      <c r="D279" s="3152">
        <v>36.56</v>
      </c>
      <c r="E279" s="3153">
        <v>11.21</v>
      </c>
      <c r="F279" s="3148" t="s">
        <v>4273</v>
      </c>
      <c r="I279" s="3148">
        <v>277</v>
      </c>
      <c r="J279" s="3152" t="s">
        <v>3935</v>
      </c>
      <c r="K279" s="3152" t="s">
        <v>4211</v>
      </c>
      <c r="L279" s="3152">
        <v>41.97</v>
      </c>
      <c r="M279" s="3153">
        <v>9.7100000000000009</v>
      </c>
      <c r="N279" s="3148" t="s">
        <v>4273</v>
      </c>
    </row>
    <row r="280" spans="1:14">
      <c r="A280" s="3148">
        <v>278</v>
      </c>
      <c r="B280" s="3152" t="s">
        <v>3514</v>
      </c>
      <c r="C280" s="3152" t="s">
        <v>3791</v>
      </c>
      <c r="D280" s="3152">
        <v>36.56</v>
      </c>
      <c r="E280" s="3153">
        <v>11.21</v>
      </c>
      <c r="F280" s="3148" t="s">
        <v>4273</v>
      </c>
      <c r="I280" s="3148">
        <v>278</v>
      </c>
      <c r="J280" s="3152" t="s">
        <v>3935</v>
      </c>
      <c r="K280" s="3152" t="s">
        <v>4212</v>
      </c>
      <c r="L280" s="3152">
        <v>43.78</v>
      </c>
      <c r="M280" s="3153">
        <v>10.130000000000001</v>
      </c>
      <c r="N280" s="3148" t="s">
        <v>4273</v>
      </c>
    </row>
    <row r="281" spans="1:14">
      <c r="A281" s="3148">
        <v>279</v>
      </c>
      <c r="B281" s="3152" t="s">
        <v>3514</v>
      </c>
      <c r="C281" s="3152" t="s">
        <v>3792</v>
      </c>
      <c r="D281" s="3152">
        <v>38.130000000000003</v>
      </c>
      <c r="E281" s="3153">
        <v>11.69</v>
      </c>
      <c r="F281" s="3148" t="s">
        <v>4273</v>
      </c>
      <c r="I281" s="3148">
        <v>279</v>
      </c>
      <c r="J281" s="3152" t="s">
        <v>3935</v>
      </c>
      <c r="K281" s="3152" t="s">
        <v>4213</v>
      </c>
      <c r="L281" s="3152">
        <v>41.97</v>
      </c>
      <c r="M281" s="3153">
        <v>9.7100000000000009</v>
      </c>
      <c r="N281" s="3148" t="s">
        <v>4273</v>
      </c>
    </row>
    <row r="282" spans="1:14">
      <c r="A282" s="3148">
        <v>280</v>
      </c>
      <c r="B282" s="3152" t="s">
        <v>3514</v>
      </c>
      <c r="C282" s="3152" t="s">
        <v>3793</v>
      </c>
      <c r="D282" s="3152">
        <v>36.56</v>
      </c>
      <c r="E282" s="3153">
        <v>11.21</v>
      </c>
      <c r="F282" s="3148" t="s">
        <v>4273</v>
      </c>
      <c r="I282" s="3148">
        <v>280</v>
      </c>
      <c r="J282" s="3152" t="s">
        <v>3935</v>
      </c>
      <c r="K282" s="3152" t="s">
        <v>4214</v>
      </c>
      <c r="L282" s="3152">
        <v>41.97</v>
      </c>
      <c r="M282" s="3153">
        <v>9.7100000000000009</v>
      </c>
      <c r="N282" s="3148" t="s">
        <v>4273</v>
      </c>
    </row>
    <row r="283" spans="1:14">
      <c r="A283" s="3148">
        <v>281</v>
      </c>
      <c r="B283" s="3152" t="s">
        <v>3514</v>
      </c>
      <c r="C283" s="3152" t="s">
        <v>3794</v>
      </c>
      <c r="D283" s="3152">
        <v>36.56</v>
      </c>
      <c r="E283" s="3153">
        <v>11.21</v>
      </c>
      <c r="F283" s="3148" t="s">
        <v>4273</v>
      </c>
      <c r="I283" s="3148">
        <v>281</v>
      </c>
      <c r="J283" s="3152" t="s">
        <v>3935</v>
      </c>
      <c r="K283" s="3152" t="s">
        <v>4215</v>
      </c>
      <c r="L283" s="3152">
        <v>41.97</v>
      </c>
      <c r="M283" s="3153">
        <v>9.7100000000000009</v>
      </c>
      <c r="N283" s="3148" t="s">
        <v>4273</v>
      </c>
    </row>
    <row r="284" spans="1:14">
      <c r="A284" s="3148">
        <v>282</v>
      </c>
      <c r="B284" s="3152" t="s">
        <v>3514</v>
      </c>
      <c r="C284" s="3152" t="s">
        <v>3795</v>
      </c>
      <c r="D284" s="3152">
        <v>38.130000000000003</v>
      </c>
      <c r="E284" s="3153">
        <v>11.69</v>
      </c>
      <c r="F284" s="3148" t="s">
        <v>4273</v>
      </c>
      <c r="I284" s="3148">
        <v>282</v>
      </c>
      <c r="J284" s="3152" t="s">
        <v>3935</v>
      </c>
      <c r="K284" s="3152" t="s">
        <v>4216</v>
      </c>
      <c r="L284" s="3152">
        <v>43.78</v>
      </c>
      <c r="M284" s="3153">
        <v>10.130000000000001</v>
      </c>
      <c r="N284" s="3148" t="s">
        <v>4273</v>
      </c>
    </row>
    <row r="285" spans="1:14">
      <c r="A285" s="3148">
        <v>283</v>
      </c>
      <c r="B285" s="3152" t="s">
        <v>3514</v>
      </c>
      <c r="C285" s="3152" t="s">
        <v>3796</v>
      </c>
      <c r="D285" s="3152">
        <v>36.56</v>
      </c>
      <c r="E285" s="3153">
        <v>11.21</v>
      </c>
      <c r="F285" s="3148" t="s">
        <v>4273</v>
      </c>
      <c r="I285" s="3148">
        <v>283</v>
      </c>
      <c r="J285" s="3152" t="s">
        <v>3935</v>
      </c>
      <c r="K285" s="3152" t="s">
        <v>4217</v>
      </c>
      <c r="L285" s="3152">
        <v>41.97</v>
      </c>
      <c r="M285" s="3153">
        <v>9.7100000000000009</v>
      </c>
      <c r="N285" s="3148" t="s">
        <v>4273</v>
      </c>
    </row>
    <row r="286" spans="1:14">
      <c r="A286" s="3148">
        <v>284</v>
      </c>
      <c r="B286" s="3152" t="s">
        <v>3514</v>
      </c>
      <c r="C286" s="3152" t="s">
        <v>3797</v>
      </c>
      <c r="D286" s="3152">
        <v>36.56</v>
      </c>
      <c r="E286" s="3153">
        <v>11.21</v>
      </c>
      <c r="F286" s="3148" t="s">
        <v>4273</v>
      </c>
      <c r="I286" s="3148">
        <v>284</v>
      </c>
      <c r="J286" s="3152" t="s">
        <v>3935</v>
      </c>
      <c r="K286" s="3152" t="s">
        <v>4218</v>
      </c>
      <c r="L286" s="3152">
        <v>41.97</v>
      </c>
      <c r="M286" s="3153">
        <v>9.7100000000000009</v>
      </c>
      <c r="N286" s="3148" t="s">
        <v>4273</v>
      </c>
    </row>
    <row r="287" spans="1:14">
      <c r="A287" s="3148">
        <v>285</v>
      </c>
      <c r="B287" s="3152" t="s">
        <v>3514</v>
      </c>
      <c r="C287" s="3152" t="s">
        <v>3798</v>
      </c>
      <c r="D287" s="3152">
        <v>38.130000000000003</v>
      </c>
      <c r="E287" s="3153">
        <v>11.69</v>
      </c>
      <c r="F287" s="3148" t="s">
        <v>4273</v>
      </c>
      <c r="I287" s="3148">
        <v>285</v>
      </c>
      <c r="J287" s="3152" t="s">
        <v>3935</v>
      </c>
      <c r="K287" s="3152" t="s">
        <v>4219</v>
      </c>
      <c r="L287" s="3152">
        <v>43.78</v>
      </c>
      <c r="M287" s="3153">
        <v>10.130000000000001</v>
      </c>
      <c r="N287" s="3148" t="s">
        <v>4273</v>
      </c>
    </row>
    <row r="288" spans="1:14">
      <c r="A288" s="3148">
        <v>286</v>
      </c>
      <c r="B288" s="3152" t="s">
        <v>3514</v>
      </c>
      <c r="C288" s="3152" t="s">
        <v>3799</v>
      </c>
      <c r="D288" s="3152">
        <v>36.56</v>
      </c>
      <c r="E288" s="3153">
        <v>11.21</v>
      </c>
      <c r="F288" s="3148" t="s">
        <v>4273</v>
      </c>
      <c r="I288" s="3148">
        <v>286</v>
      </c>
      <c r="J288" s="3152" t="s">
        <v>3935</v>
      </c>
      <c r="K288" s="3152" t="s">
        <v>4220</v>
      </c>
      <c r="L288" s="3152">
        <v>41.97</v>
      </c>
      <c r="M288" s="3153">
        <v>9.7100000000000009</v>
      </c>
      <c r="N288" s="3148" t="s">
        <v>4273</v>
      </c>
    </row>
    <row r="289" spans="1:14">
      <c r="A289" s="3148">
        <v>287</v>
      </c>
      <c r="B289" s="3152" t="s">
        <v>3514</v>
      </c>
      <c r="C289" s="3152" t="s">
        <v>3800</v>
      </c>
      <c r="D289" s="3152">
        <v>36.56</v>
      </c>
      <c r="E289" s="3153">
        <v>11.21</v>
      </c>
      <c r="F289" s="3148" t="s">
        <v>4273</v>
      </c>
      <c r="I289" s="3148">
        <v>287</v>
      </c>
      <c r="J289" s="3152" t="s">
        <v>3935</v>
      </c>
      <c r="K289" s="3152" t="s">
        <v>4221</v>
      </c>
      <c r="L289" s="3152">
        <v>41.97</v>
      </c>
      <c r="M289" s="3153">
        <v>9.7100000000000009</v>
      </c>
      <c r="N289" s="3148" t="s">
        <v>4273</v>
      </c>
    </row>
    <row r="290" spans="1:14">
      <c r="A290" s="3148">
        <v>288</v>
      </c>
      <c r="B290" s="3152" t="s">
        <v>3514</v>
      </c>
      <c r="C290" s="3152" t="s">
        <v>3801</v>
      </c>
      <c r="D290" s="3152">
        <v>36.56</v>
      </c>
      <c r="E290" s="3153">
        <v>11.21</v>
      </c>
      <c r="F290" s="3148" t="s">
        <v>4273</v>
      </c>
      <c r="I290" s="3148">
        <v>288</v>
      </c>
      <c r="J290" s="3152" t="s">
        <v>3935</v>
      </c>
      <c r="K290" s="3152" t="s">
        <v>4222</v>
      </c>
      <c r="L290" s="3152">
        <v>43.78</v>
      </c>
      <c r="M290" s="3153">
        <v>10.130000000000001</v>
      </c>
      <c r="N290" s="3148" t="s">
        <v>4273</v>
      </c>
    </row>
    <row r="291" spans="1:14">
      <c r="A291" s="3148">
        <v>289</v>
      </c>
      <c r="B291" s="3152" t="s">
        <v>3514</v>
      </c>
      <c r="C291" s="3152" t="s">
        <v>3802</v>
      </c>
      <c r="D291" s="3152">
        <v>36.56</v>
      </c>
      <c r="E291" s="3153">
        <v>11.21</v>
      </c>
      <c r="F291" s="3148" t="s">
        <v>4273</v>
      </c>
      <c r="I291" s="3148">
        <v>289</v>
      </c>
      <c r="J291" s="3152" t="s">
        <v>3935</v>
      </c>
      <c r="K291" s="3152" t="s">
        <v>4223</v>
      </c>
      <c r="L291" s="3152">
        <v>41.97</v>
      </c>
      <c r="M291" s="3153">
        <v>9.7100000000000009</v>
      </c>
      <c r="N291" s="3148" t="s">
        <v>4273</v>
      </c>
    </row>
    <row r="292" spans="1:14">
      <c r="A292" s="3148">
        <v>290</v>
      </c>
      <c r="B292" s="3152" t="s">
        <v>3514</v>
      </c>
      <c r="C292" s="3152" t="s">
        <v>3803</v>
      </c>
      <c r="D292" s="3152">
        <v>36.56</v>
      </c>
      <c r="E292" s="3153">
        <v>11.21</v>
      </c>
      <c r="F292" s="3148" t="s">
        <v>4273</v>
      </c>
      <c r="I292" s="3148">
        <v>290</v>
      </c>
      <c r="J292" s="3152" t="s">
        <v>3935</v>
      </c>
      <c r="K292" s="3152" t="s">
        <v>4224</v>
      </c>
      <c r="L292" s="3152">
        <v>41.97</v>
      </c>
      <c r="M292" s="3153">
        <v>9.7100000000000009</v>
      </c>
      <c r="N292" s="3148" t="s">
        <v>4273</v>
      </c>
    </row>
    <row r="293" spans="1:14">
      <c r="A293" s="3148">
        <v>291</v>
      </c>
      <c r="B293" s="3152" t="s">
        <v>3514</v>
      </c>
      <c r="C293" s="3152" t="s">
        <v>3804</v>
      </c>
      <c r="D293" s="3152">
        <v>36.56</v>
      </c>
      <c r="E293" s="3153">
        <v>11.21</v>
      </c>
      <c r="F293" s="3148" t="s">
        <v>4273</v>
      </c>
      <c r="I293" s="3148">
        <v>291</v>
      </c>
      <c r="J293" s="3152" t="s">
        <v>3935</v>
      </c>
      <c r="K293" s="3152" t="s">
        <v>4225</v>
      </c>
      <c r="L293" s="3152">
        <v>43.78</v>
      </c>
      <c r="M293" s="3153">
        <v>10.130000000000001</v>
      </c>
      <c r="N293" s="3148" t="s">
        <v>4273</v>
      </c>
    </row>
    <row r="294" spans="1:14">
      <c r="A294" s="3148">
        <v>292</v>
      </c>
      <c r="B294" s="3152" t="s">
        <v>3514</v>
      </c>
      <c r="C294" s="3152" t="s">
        <v>3805</v>
      </c>
      <c r="D294" s="3152">
        <v>36.56</v>
      </c>
      <c r="E294" s="3153">
        <v>11.21</v>
      </c>
      <c r="F294" s="3148" t="s">
        <v>4273</v>
      </c>
      <c r="I294" s="3148">
        <v>292</v>
      </c>
      <c r="J294" s="3152" t="s">
        <v>3935</v>
      </c>
      <c r="K294" s="3152" t="s">
        <v>4226</v>
      </c>
      <c r="L294" s="3152">
        <v>41.97</v>
      </c>
      <c r="M294" s="3153">
        <v>9.7100000000000009</v>
      </c>
      <c r="N294" s="3148" t="s">
        <v>4273</v>
      </c>
    </row>
    <row r="295" spans="1:14">
      <c r="A295" s="3148">
        <v>293</v>
      </c>
      <c r="B295" s="3152" t="s">
        <v>3514</v>
      </c>
      <c r="C295" s="3152" t="s">
        <v>3806</v>
      </c>
      <c r="D295" s="3152">
        <v>36.56</v>
      </c>
      <c r="E295" s="3153">
        <v>11.21</v>
      </c>
      <c r="F295" s="3148" t="s">
        <v>4273</v>
      </c>
      <c r="I295" s="3148">
        <v>293</v>
      </c>
      <c r="J295" s="3152" t="s">
        <v>3935</v>
      </c>
      <c r="K295" s="3152" t="s">
        <v>4227</v>
      </c>
      <c r="L295" s="3152">
        <v>41.97</v>
      </c>
      <c r="M295" s="3153">
        <v>9.7100000000000009</v>
      </c>
      <c r="N295" s="3148" t="s">
        <v>4273</v>
      </c>
    </row>
    <row r="296" spans="1:14">
      <c r="A296" s="3148">
        <v>294</v>
      </c>
      <c r="B296" s="3152" t="s">
        <v>3514</v>
      </c>
      <c r="C296" s="3152" t="s">
        <v>3807</v>
      </c>
      <c r="D296" s="3152">
        <v>36.56</v>
      </c>
      <c r="E296" s="3153">
        <v>11.21</v>
      </c>
      <c r="F296" s="3148" t="s">
        <v>4273</v>
      </c>
      <c r="I296" s="3148">
        <v>294</v>
      </c>
      <c r="J296" s="3152" t="s">
        <v>3935</v>
      </c>
      <c r="K296" s="3152" t="s">
        <v>4228</v>
      </c>
      <c r="L296" s="3152">
        <v>43.78</v>
      </c>
      <c r="M296" s="3153">
        <v>10.130000000000001</v>
      </c>
      <c r="N296" s="3148" t="s">
        <v>4273</v>
      </c>
    </row>
    <row r="297" spans="1:14">
      <c r="A297" s="3148">
        <v>295</v>
      </c>
      <c r="B297" s="3152" t="s">
        <v>3514</v>
      </c>
      <c r="C297" s="3152" t="s">
        <v>3808</v>
      </c>
      <c r="D297" s="3152">
        <v>36.56</v>
      </c>
      <c r="E297" s="3153">
        <v>11.21</v>
      </c>
      <c r="F297" s="3148" t="s">
        <v>4273</v>
      </c>
      <c r="I297" s="3148">
        <v>295</v>
      </c>
      <c r="J297" s="3152" t="s">
        <v>3935</v>
      </c>
      <c r="K297" s="3152" t="s">
        <v>4229</v>
      </c>
      <c r="L297" s="3152">
        <v>41.97</v>
      </c>
      <c r="M297" s="3153">
        <v>9.7100000000000009</v>
      </c>
      <c r="N297" s="3148" t="s">
        <v>4273</v>
      </c>
    </row>
    <row r="298" spans="1:14">
      <c r="A298" s="3148">
        <v>296</v>
      </c>
      <c r="B298" s="3152" t="s">
        <v>3514</v>
      </c>
      <c r="C298" s="3152" t="s">
        <v>3809</v>
      </c>
      <c r="D298" s="3152">
        <v>36.56</v>
      </c>
      <c r="E298" s="3153">
        <v>11.21</v>
      </c>
      <c r="F298" s="3148" t="s">
        <v>4273</v>
      </c>
      <c r="I298" s="3148">
        <v>296</v>
      </c>
      <c r="J298" s="3152" t="s">
        <v>3935</v>
      </c>
      <c r="K298" s="3152" t="s">
        <v>4230</v>
      </c>
      <c r="L298" s="3152">
        <v>41.97</v>
      </c>
      <c r="M298" s="3153">
        <v>9.7100000000000009</v>
      </c>
      <c r="N298" s="3148" t="s">
        <v>4273</v>
      </c>
    </row>
    <row r="299" spans="1:14">
      <c r="A299" s="3148">
        <v>297</v>
      </c>
      <c r="B299" s="3152" t="s">
        <v>3514</v>
      </c>
      <c r="C299" s="3152" t="s">
        <v>3810</v>
      </c>
      <c r="D299" s="3152">
        <v>38.130000000000003</v>
      </c>
      <c r="E299" s="3153">
        <v>11.69</v>
      </c>
      <c r="F299" s="3148" t="s">
        <v>4273</v>
      </c>
      <c r="I299" s="3148">
        <v>297</v>
      </c>
      <c r="J299" s="3152" t="s">
        <v>3935</v>
      </c>
      <c r="K299" s="3152" t="s">
        <v>4231</v>
      </c>
      <c r="L299" s="3152">
        <v>43.78</v>
      </c>
      <c r="M299" s="3153">
        <v>10.130000000000001</v>
      </c>
      <c r="N299" s="3148" t="s">
        <v>4273</v>
      </c>
    </row>
    <row r="300" spans="1:14">
      <c r="A300" s="3148">
        <v>298</v>
      </c>
      <c r="B300" s="3152" t="s">
        <v>3514</v>
      </c>
      <c r="C300" s="3152" t="s">
        <v>3811</v>
      </c>
      <c r="D300" s="3152">
        <v>36.56</v>
      </c>
      <c r="E300" s="3153">
        <v>11.21</v>
      </c>
      <c r="F300" s="3148" t="s">
        <v>4273</v>
      </c>
      <c r="I300" s="3148">
        <v>298</v>
      </c>
      <c r="J300" s="3152" t="s">
        <v>3935</v>
      </c>
      <c r="K300" s="3152" t="s">
        <v>4232</v>
      </c>
      <c r="L300" s="3152">
        <v>41.97</v>
      </c>
      <c r="M300" s="3153">
        <v>9.7100000000000009</v>
      </c>
      <c r="N300" s="3148" t="s">
        <v>4273</v>
      </c>
    </row>
    <row r="301" spans="1:14">
      <c r="A301" s="3148">
        <v>299</v>
      </c>
      <c r="B301" s="3152" t="s">
        <v>3514</v>
      </c>
      <c r="C301" s="3152" t="s">
        <v>3812</v>
      </c>
      <c r="D301" s="3152">
        <v>36.56</v>
      </c>
      <c r="E301" s="3153">
        <v>11.21</v>
      </c>
      <c r="F301" s="3148" t="s">
        <v>4273</v>
      </c>
      <c r="I301" s="3148">
        <v>299</v>
      </c>
      <c r="J301" s="3152" t="s">
        <v>3935</v>
      </c>
      <c r="K301" s="3152" t="s">
        <v>4233</v>
      </c>
      <c r="L301" s="3152">
        <v>41.97</v>
      </c>
      <c r="M301" s="3153">
        <v>9.7100000000000009</v>
      </c>
      <c r="N301" s="3148" t="s">
        <v>4273</v>
      </c>
    </row>
    <row r="302" spans="1:14">
      <c r="A302" s="3148">
        <v>300</v>
      </c>
      <c r="B302" s="3152" t="s">
        <v>3514</v>
      </c>
      <c r="C302" s="3152" t="s">
        <v>3813</v>
      </c>
      <c r="D302" s="3152">
        <v>38.130000000000003</v>
      </c>
      <c r="E302" s="3153">
        <v>11.69</v>
      </c>
      <c r="F302" s="3148" t="s">
        <v>4273</v>
      </c>
      <c r="I302" s="3148">
        <v>300</v>
      </c>
      <c r="J302" s="3152" t="s">
        <v>3935</v>
      </c>
      <c r="K302" s="3152" t="s">
        <v>4234</v>
      </c>
      <c r="L302" s="3152">
        <v>43.78</v>
      </c>
      <c r="M302" s="3153">
        <v>10.130000000000001</v>
      </c>
      <c r="N302" s="3148" t="s">
        <v>4273</v>
      </c>
    </row>
    <row r="303" spans="1:14">
      <c r="A303" s="3148">
        <v>301</v>
      </c>
      <c r="B303" s="3152" t="s">
        <v>3514</v>
      </c>
      <c r="C303" s="3152" t="s">
        <v>3814</v>
      </c>
      <c r="D303" s="3152">
        <v>36.56</v>
      </c>
      <c r="E303" s="3153">
        <v>11.21</v>
      </c>
      <c r="F303" s="3148" t="s">
        <v>4273</v>
      </c>
      <c r="I303" s="3148">
        <v>301</v>
      </c>
      <c r="J303" s="3152" t="s">
        <v>3935</v>
      </c>
      <c r="K303" s="3152" t="s">
        <v>4235</v>
      </c>
      <c r="L303" s="3152">
        <v>41.97</v>
      </c>
      <c r="M303" s="3153">
        <v>9.7100000000000009</v>
      </c>
      <c r="N303" s="3148" t="s">
        <v>4273</v>
      </c>
    </row>
    <row r="304" spans="1:14">
      <c r="A304" s="3148">
        <v>302</v>
      </c>
      <c r="B304" s="3152" t="s">
        <v>3514</v>
      </c>
      <c r="C304" s="3152" t="s">
        <v>3815</v>
      </c>
      <c r="D304" s="3152">
        <v>36.56</v>
      </c>
      <c r="E304" s="3153">
        <v>11.21</v>
      </c>
      <c r="F304" s="3148" t="s">
        <v>4273</v>
      </c>
      <c r="I304" s="3148">
        <v>302</v>
      </c>
      <c r="J304" s="3152" t="s">
        <v>3935</v>
      </c>
      <c r="K304" s="3152" t="s">
        <v>4236</v>
      </c>
      <c r="L304" s="3152">
        <v>41.97</v>
      </c>
      <c r="M304" s="3153">
        <v>9.7100000000000009</v>
      </c>
      <c r="N304" s="3148" t="s">
        <v>4273</v>
      </c>
    </row>
    <row r="305" spans="1:14">
      <c r="A305" s="3148">
        <v>303</v>
      </c>
      <c r="B305" s="3152" t="s">
        <v>3514</v>
      </c>
      <c r="C305" s="3152" t="s">
        <v>3816</v>
      </c>
      <c r="D305" s="3152">
        <v>36.56</v>
      </c>
      <c r="E305" s="3153">
        <v>11.21</v>
      </c>
      <c r="F305" s="3148" t="s">
        <v>4273</v>
      </c>
      <c r="I305" s="3148">
        <v>303</v>
      </c>
      <c r="J305" s="3152" t="s">
        <v>3935</v>
      </c>
      <c r="K305" s="3152" t="s">
        <v>4237</v>
      </c>
      <c r="L305" s="3152">
        <v>43.78</v>
      </c>
      <c r="M305" s="3153">
        <v>10.130000000000001</v>
      </c>
      <c r="N305" s="3148" t="s">
        <v>4273</v>
      </c>
    </row>
    <row r="306" spans="1:14">
      <c r="A306" s="3148">
        <v>304</v>
      </c>
      <c r="B306" s="3152" t="s">
        <v>3514</v>
      </c>
      <c r="C306" s="3152" t="s">
        <v>3817</v>
      </c>
      <c r="D306" s="3152">
        <v>36.56</v>
      </c>
      <c r="E306" s="3153">
        <v>11.21</v>
      </c>
      <c r="F306" s="3148" t="s">
        <v>4273</v>
      </c>
      <c r="I306" s="3148">
        <v>304</v>
      </c>
      <c r="J306" s="3152" t="s">
        <v>3935</v>
      </c>
      <c r="K306" s="3152" t="s">
        <v>4238</v>
      </c>
      <c r="L306" s="3152">
        <v>41.97</v>
      </c>
      <c r="M306" s="3153">
        <v>9.7100000000000009</v>
      </c>
      <c r="N306" s="3148" t="s">
        <v>4273</v>
      </c>
    </row>
    <row r="307" spans="1:14">
      <c r="A307" s="3148">
        <v>305</v>
      </c>
      <c r="B307" s="3152" t="s">
        <v>3514</v>
      </c>
      <c r="C307" s="3152" t="s">
        <v>3818</v>
      </c>
      <c r="D307" s="3152">
        <v>38.130000000000003</v>
      </c>
      <c r="E307" s="3153">
        <v>11.69</v>
      </c>
      <c r="F307" s="3148" t="s">
        <v>4273</v>
      </c>
      <c r="I307" s="3148">
        <v>305</v>
      </c>
      <c r="J307" s="3152" t="s">
        <v>3935</v>
      </c>
      <c r="K307" s="3152" t="s">
        <v>4239</v>
      </c>
      <c r="L307" s="3152">
        <v>43.78</v>
      </c>
      <c r="M307" s="3153">
        <v>10.130000000000001</v>
      </c>
      <c r="N307" s="3148" t="s">
        <v>4273</v>
      </c>
    </row>
    <row r="308" spans="1:14">
      <c r="A308" s="3148">
        <v>306</v>
      </c>
      <c r="B308" s="3152" t="s">
        <v>3514</v>
      </c>
      <c r="C308" s="3152" t="s">
        <v>3819</v>
      </c>
      <c r="D308" s="3152">
        <v>36.56</v>
      </c>
      <c r="E308" s="3153">
        <v>11.21</v>
      </c>
      <c r="F308" s="3148" t="s">
        <v>4273</v>
      </c>
      <c r="I308" s="3148">
        <v>306</v>
      </c>
      <c r="J308" s="3152" t="s">
        <v>3935</v>
      </c>
      <c r="K308" s="3152" t="s">
        <v>4240</v>
      </c>
      <c r="L308" s="3152">
        <v>41.97</v>
      </c>
      <c r="M308" s="3153">
        <v>9.7100000000000009</v>
      </c>
      <c r="N308" s="3148" t="s">
        <v>4273</v>
      </c>
    </row>
    <row r="309" spans="1:14">
      <c r="A309" s="3148">
        <v>307</v>
      </c>
      <c r="B309" s="3152" t="s">
        <v>3514</v>
      </c>
      <c r="C309" s="3152" t="s">
        <v>3820</v>
      </c>
      <c r="D309" s="3152">
        <v>36.56</v>
      </c>
      <c r="E309" s="3153">
        <v>11.21</v>
      </c>
      <c r="F309" s="3148" t="s">
        <v>4273</v>
      </c>
      <c r="I309" s="3148">
        <v>307</v>
      </c>
      <c r="J309" s="3152" t="s">
        <v>3935</v>
      </c>
      <c r="K309" s="3152" t="s">
        <v>4241</v>
      </c>
      <c r="L309" s="3152">
        <v>41.97</v>
      </c>
      <c r="M309" s="3153">
        <v>9.7100000000000009</v>
      </c>
      <c r="N309" s="3148" t="s">
        <v>4273</v>
      </c>
    </row>
    <row r="310" spans="1:14">
      <c r="A310" s="3148">
        <v>308</v>
      </c>
      <c r="B310" s="3152" t="s">
        <v>3514</v>
      </c>
      <c r="C310" s="3152" t="s">
        <v>3821</v>
      </c>
      <c r="D310" s="3152">
        <v>38.130000000000003</v>
      </c>
      <c r="E310" s="3153">
        <v>11.69</v>
      </c>
      <c r="F310" s="3148" t="s">
        <v>4273</v>
      </c>
      <c r="I310" s="3148">
        <v>308</v>
      </c>
      <c r="J310" s="3152" t="s">
        <v>3935</v>
      </c>
      <c r="K310" s="3152" t="s">
        <v>4242</v>
      </c>
      <c r="L310" s="3152">
        <v>43.78</v>
      </c>
      <c r="M310" s="3153">
        <v>10.130000000000001</v>
      </c>
      <c r="N310" s="3148" t="s">
        <v>4273</v>
      </c>
    </row>
    <row r="311" spans="1:14">
      <c r="A311" s="3148">
        <v>309</v>
      </c>
      <c r="B311" s="3152" t="s">
        <v>3514</v>
      </c>
      <c r="C311" s="3152" t="s">
        <v>3822</v>
      </c>
      <c r="D311" s="3152">
        <v>36.56</v>
      </c>
      <c r="E311" s="3153">
        <v>11.21</v>
      </c>
      <c r="F311" s="3148" t="s">
        <v>4273</v>
      </c>
      <c r="I311" s="3148">
        <v>309</v>
      </c>
      <c r="J311" s="3152" t="s">
        <v>3935</v>
      </c>
      <c r="K311" s="3152" t="s">
        <v>4243</v>
      </c>
      <c r="L311" s="3152">
        <v>41.97</v>
      </c>
      <c r="M311" s="3153">
        <v>9.7100000000000009</v>
      </c>
      <c r="N311" s="3148" t="s">
        <v>4273</v>
      </c>
    </row>
    <row r="312" spans="1:14">
      <c r="A312" s="3148">
        <v>310</v>
      </c>
      <c r="B312" s="3152" t="s">
        <v>3514</v>
      </c>
      <c r="C312" s="3152" t="s">
        <v>3823</v>
      </c>
      <c r="D312" s="3152">
        <v>36.56</v>
      </c>
      <c r="E312" s="3153">
        <v>11.21</v>
      </c>
      <c r="F312" s="3148" t="s">
        <v>4273</v>
      </c>
      <c r="I312" s="3148">
        <v>310</v>
      </c>
      <c r="J312" s="3152" t="s">
        <v>3935</v>
      </c>
      <c r="K312" s="3152" t="s">
        <v>4244</v>
      </c>
      <c r="L312" s="3152">
        <v>41.97</v>
      </c>
      <c r="M312" s="3153">
        <v>9.7100000000000009</v>
      </c>
      <c r="N312" s="3148" t="s">
        <v>4273</v>
      </c>
    </row>
    <row r="313" spans="1:14">
      <c r="A313" s="3148">
        <v>311</v>
      </c>
      <c r="B313" s="3152" t="s">
        <v>3514</v>
      </c>
      <c r="C313" s="3152" t="s">
        <v>3824</v>
      </c>
      <c r="D313" s="3152">
        <v>38.130000000000003</v>
      </c>
      <c r="E313" s="3153">
        <v>11.69</v>
      </c>
      <c r="F313" s="3148" t="s">
        <v>4273</v>
      </c>
      <c r="I313" s="3148">
        <v>311</v>
      </c>
      <c r="J313" s="3152" t="s">
        <v>3935</v>
      </c>
      <c r="K313" s="3152" t="s">
        <v>4245</v>
      </c>
      <c r="L313" s="3152">
        <v>43.78</v>
      </c>
      <c r="M313" s="3153">
        <v>10.130000000000001</v>
      </c>
      <c r="N313" s="3148" t="s">
        <v>4273</v>
      </c>
    </row>
    <row r="314" spans="1:14">
      <c r="A314" s="3148">
        <v>312</v>
      </c>
      <c r="B314" s="3152" t="s">
        <v>3514</v>
      </c>
      <c r="C314" s="3152" t="s">
        <v>3825</v>
      </c>
      <c r="D314" s="3152">
        <v>36.56</v>
      </c>
      <c r="E314" s="3153">
        <v>11.21</v>
      </c>
      <c r="F314" s="3148" t="s">
        <v>4273</v>
      </c>
      <c r="I314" s="3148">
        <v>312</v>
      </c>
      <c r="J314" s="3152" t="s">
        <v>3935</v>
      </c>
      <c r="K314" s="3152" t="s">
        <v>4246</v>
      </c>
      <c r="L314" s="3152">
        <v>41.97</v>
      </c>
      <c r="M314" s="3153">
        <v>9.7100000000000009</v>
      </c>
      <c r="N314" s="3148" t="s">
        <v>4273</v>
      </c>
    </row>
    <row r="315" spans="1:14">
      <c r="A315" s="3148">
        <v>313</v>
      </c>
      <c r="B315" s="3152" t="s">
        <v>3514</v>
      </c>
      <c r="C315" s="3152" t="s">
        <v>3826</v>
      </c>
      <c r="D315" s="3152">
        <v>36.56</v>
      </c>
      <c r="E315" s="3153">
        <v>11.21</v>
      </c>
      <c r="F315" s="3148" t="s">
        <v>4273</v>
      </c>
      <c r="I315" s="3148">
        <v>313</v>
      </c>
      <c r="J315" s="3152" t="s">
        <v>3935</v>
      </c>
      <c r="K315" s="3152" t="s">
        <v>4247</v>
      </c>
      <c r="L315" s="3152">
        <v>41.97</v>
      </c>
      <c r="M315" s="3153">
        <v>9.7100000000000009</v>
      </c>
      <c r="N315" s="3148" t="s">
        <v>4273</v>
      </c>
    </row>
    <row r="316" spans="1:14">
      <c r="A316" s="3148">
        <v>314</v>
      </c>
      <c r="B316" s="3152" t="s">
        <v>3514</v>
      </c>
      <c r="C316" s="3152" t="s">
        <v>3827</v>
      </c>
      <c r="D316" s="3152">
        <v>38.130000000000003</v>
      </c>
      <c r="E316" s="3153">
        <v>11.69</v>
      </c>
      <c r="F316" s="3148" t="s">
        <v>4273</v>
      </c>
      <c r="I316" s="3148">
        <v>314</v>
      </c>
      <c r="J316" s="3152" t="s">
        <v>3935</v>
      </c>
      <c r="K316" s="3152" t="s">
        <v>4248</v>
      </c>
      <c r="L316" s="3152">
        <v>43.78</v>
      </c>
      <c r="M316" s="3153">
        <v>10.130000000000001</v>
      </c>
      <c r="N316" s="3148" t="s">
        <v>4273</v>
      </c>
    </row>
    <row r="317" spans="1:14">
      <c r="A317" s="3148">
        <v>315</v>
      </c>
      <c r="B317" s="3152" t="s">
        <v>3514</v>
      </c>
      <c r="C317" s="3152" t="s">
        <v>3828</v>
      </c>
      <c r="D317" s="3152">
        <v>36.56</v>
      </c>
      <c r="E317" s="3153">
        <v>11.21</v>
      </c>
      <c r="F317" s="3148" t="s">
        <v>4273</v>
      </c>
      <c r="I317" s="3148">
        <v>315</v>
      </c>
      <c r="J317" s="3152" t="s">
        <v>3935</v>
      </c>
      <c r="K317" s="3152" t="s">
        <v>4249</v>
      </c>
      <c r="L317" s="3152">
        <v>41.97</v>
      </c>
      <c r="M317" s="3153">
        <v>9.7100000000000009</v>
      </c>
      <c r="N317" s="3148" t="s">
        <v>4273</v>
      </c>
    </row>
    <row r="318" spans="1:14">
      <c r="A318" s="3148">
        <v>316</v>
      </c>
      <c r="B318" s="3152" t="s">
        <v>3514</v>
      </c>
      <c r="C318" s="3152" t="s">
        <v>3829</v>
      </c>
      <c r="D318" s="3152">
        <v>36.56</v>
      </c>
      <c r="E318" s="3153">
        <v>11.21</v>
      </c>
      <c r="F318" s="3148" t="s">
        <v>4273</v>
      </c>
      <c r="I318" s="3148">
        <v>316</v>
      </c>
      <c r="J318" s="3152" t="s">
        <v>3935</v>
      </c>
      <c r="K318" s="3152" t="s">
        <v>4250</v>
      </c>
      <c r="L318" s="3152">
        <v>41.97</v>
      </c>
      <c r="M318" s="3153">
        <v>9.7100000000000009</v>
      </c>
      <c r="N318" s="3148" t="s">
        <v>4273</v>
      </c>
    </row>
    <row r="319" spans="1:14">
      <c r="A319" s="3148">
        <v>317</v>
      </c>
      <c r="B319" s="3152" t="s">
        <v>3514</v>
      </c>
      <c r="C319" s="3152" t="s">
        <v>3830</v>
      </c>
      <c r="D319" s="3152">
        <v>36.56</v>
      </c>
      <c r="E319" s="3153">
        <v>11.21</v>
      </c>
      <c r="F319" s="3148" t="s">
        <v>4273</v>
      </c>
      <c r="I319" s="3148">
        <v>317</v>
      </c>
      <c r="J319" s="3152" t="s">
        <v>3935</v>
      </c>
      <c r="K319" s="3152" t="s">
        <v>4251</v>
      </c>
      <c r="L319" s="3152">
        <v>43.78</v>
      </c>
      <c r="M319" s="3153">
        <v>10.130000000000001</v>
      </c>
      <c r="N319" s="3148" t="s">
        <v>4273</v>
      </c>
    </row>
    <row r="320" spans="1:14">
      <c r="A320" s="3148">
        <v>318</v>
      </c>
      <c r="B320" s="3152" t="s">
        <v>3514</v>
      </c>
      <c r="C320" s="3152" t="s">
        <v>3831</v>
      </c>
      <c r="D320" s="3152">
        <v>36.56</v>
      </c>
      <c r="E320" s="3153">
        <v>11.21</v>
      </c>
      <c r="F320" s="3148" t="s">
        <v>4273</v>
      </c>
      <c r="I320" s="3148">
        <v>318</v>
      </c>
      <c r="J320" s="3152" t="s">
        <v>3935</v>
      </c>
      <c r="K320" s="3152" t="s">
        <v>4252</v>
      </c>
      <c r="L320" s="3152">
        <v>41.97</v>
      </c>
      <c r="M320" s="3153">
        <v>9.7100000000000009</v>
      </c>
      <c r="N320" s="3148" t="s">
        <v>4273</v>
      </c>
    </row>
    <row r="321" spans="1:14">
      <c r="A321" s="3148">
        <v>319</v>
      </c>
      <c r="B321" s="3152" t="s">
        <v>3514</v>
      </c>
      <c r="C321" s="3152" t="s">
        <v>3832</v>
      </c>
      <c r="D321" s="3152">
        <v>36.56</v>
      </c>
      <c r="E321" s="3153">
        <v>11.21</v>
      </c>
      <c r="F321" s="3148" t="s">
        <v>4273</v>
      </c>
      <c r="I321" s="3148">
        <v>319</v>
      </c>
      <c r="J321" s="3152" t="s">
        <v>3935</v>
      </c>
      <c r="K321" s="3152" t="s">
        <v>4253</v>
      </c>
      <c r="L321" s="3152">
        <v>41.97</v>
      </c>
      <c r="M321" s="3153">
        <v>9.7100000000000009</v>
      </c>
      <c r="N321" s="3148" t="s">
        <v>4273</v>
      </c>
    </row>
    <row r="322" spans="1:14">
      <c r="A322" s="3148">
        <v>320</v>
      </c>
      <c r="B322" s="3152" t="s">
        <v>3514</v>
      </c>
      <c r="C322" s="3152" t="s">
        <v>3833</v>
      </c>
      <c r="D322" s="3152">
        <v>36.56</v>
      </c>
      <c r="E322" s="3153">
        <v>11.21</v>
      </c>
      <c r="F322" s="3148" t="s">
        <v>4273</v>
      </c>
      <c r="I322" s="3148">
        <v>320</v>
      </c>
      <c r="J322" s="3152" t="s">
        <v>3935</v>
      </c>
      <c r="K322" s="3152" t="s">
        <v>4254</v>
      </c>
      <c r="L322" s="3152">
        <v>43.78</v>
      </c>
      <c r="M322" s="3153">
        <v>10.130000000000001</v>
      </c>
      <c r="N322" s="3148" t="s">
        <v>4273</v>
      </c>
    </row>
    <row r="323" spans="1:14">
      <c r="A323" s="3148">
        <v>321</v>
      </c>
      <c r="B323" s="3152" t="s">
        <v>3514</v>
      </c>
      <c r="C323" s="3152" t="s">
        <v>3834</v>
      </c>
      <c r="D323" s="3152">
        <v>36.56</v>
      </c>
      <c r="E323" s="3153">
        <v>11.21</v>
      </c>
      <c r="F323" s="3148" t="s">
        <v>4273</v>
      </c>
      <c r="I323" s="3148">
        <v>321</v>
      </c>
      <c r="J323" s="3152" t="s">
        <v>3935</v>
      </c>
      <c r="K323" s="3152" t="s">
        <v>4255</v>
      </c>
      <c r="L323" s="3152">
        <v>41.97</v>
      </c>
      <c r="M323" s="3153">
        <v>9.7100000000000009</v>
      </c>
      <c r="N323" s="3148" t="s">
        <v>4273</v>
      </c>
    </row>
    <row r="324" spans="1:14">
      <c r="A324" s="3148">
        <v>322</v>
      </c>
      <c r="B324" s="3152" t="s">
        <v>3514</v>
      </c>
      <c r="C324" s="3152" t="s">
        <v>3835</v>
      </c>
      <c r="D324" s="3152">
        <v>38.130000000000003</v>
      </c>
      <c r="E324" s="3153">
        <v>11.69</v>
      </c>
      <c r="F324" s="3148" t="s">
        <v>4273</v>
      </c>
      <c r="I324" s="3148">
        <v>322</v>
      </c>
      <c r="J324" s="3152" t="s">
        <v>3935</v>
      </c>
      <c r="K324" s="3152" t="s">
        <v>4256</v>
      </c>
      <c r="L324" s="3152">
        <v>41.97</v>
      </c>
      <c r="M324" s="3153">
        <v>9.7100000000000009</v>
      </c>
      <c r="N324" s="3148" t="s">
        <v>4273</v>
      </c>
    </row>
    <row r="325" spans="1:14">
      <c r="A325" s="3148">
        <v>323</v>
      </c>
      <c r="B325" s="3152" t="s">
        <v>3514</v>
      </c>
      <c r="C325" s="3152" t="s">
        <v>3836</v>
      </c>
      <c r="D325" s="3152">
        <v>36.56</v>
      </c>
      <c r="E325" s="3153">
        <v>11.21</v>
      </c>
      <c r="F325" s="3148" t="s">
        <v>4273</v>
      </c>
      <c r="I325" s="3148">
        <v>323</v>
      </c>
      <c r="J325" s="3152" t="s">
        <v>3935</v>
      </c>
      <c r="K325" s="3152" t="s">
        <v>4257</v>
      </c>
      <c r="L325" s="3152">
        <v>43.78</v>
      </c>
      <c r="M325" s="3153">
        <v>10.130000000000001</v>
      </c>
      <c r="N325" s="3148" t="s">
        <v>4273</v>
      </c>
    </row>
    <row r="326" spans="1:14">
      <c r="A326" s="3148">
        <v>324</v>
      </c>
      <c r="B326" s="3152" t="s">
        <v>3514</v>
      </c>
      <c r="C326" s="3152" t="s">
        <v>3837</v>
      </c>
      <c r="D326" s="3152">
        <v>36.56</v>
      </c>
      <c r="E326" s="3153">
        <v>11.21</v>
      </c>
      <c r="F326" s="3148" t="s">
        <v>4273</v>
      </c>
      <c r="I326" s="3148">
        <v>324</v>
      </c>
      <c r="J326" s="3152" t="s">
        <v>3935</v>
      </c>
      <c r="K326" s="3152" t="s">
        <v>4258</v>
      </c>
      <c r="L326" s="3152">
        <v>41.97</v>
      </c>
      <c r="M326" s="3153">
        <v>9.7100000000000009</v>
      </c>
      <c r="N326" s="3148" t="s">
        <v>4273</v>
      </c>
    </row>
    <row r="327" spans="1:14">
      <c r="A327" s="3148">
        <v>325</v>
      </c>
      <c r="B327" s="3152" t="s">
        <v>3514</v>
      </c>
      <c r="C327" s="3152" t="s">
        <v>3838</v>
      </c>
      <c r="D327" s="3152">
        <v>38.130000000000003</v>
      </c>
      <c r="E327" s="3153">
        <v>11.69</v>
      </c>
      <c r="F327" s="3148" t="s">
        <v>4273</v>
      </c>
      <c r="I327" s="3148">
        <v>325</v>
      </c>
      <c r="J327" s="3152" t="s">
        <v>3935</v>
      </c>
      <c r="K327" s="3152" t="s">
        <v>4259</v>
      </c>
      <c r="L327" s="3152">
        <v>41.97</v>
      </c>
      <c r="M327" s="3153">
        <v>9.7100000000000009</v>
      </c>
      <c r="N327" s="3148" t="s">
        <v>4273</v>
      </c>
    </row>
    <row r="328" spans="1:14">
      <c r="A328" s="3148">
        <v>326</v>
      </c>
      <c r="B328" s="3152" t="s">
        <v>3514</v>
      </c>
      <c r="C328" s="3152" t="s">
        <v>3839</v>
      </c>
      <c r="D328" s="3152">
        <v>36.56</v>
      </c>
      <c r="E328" s="3153">
        <v>11.21</v>
      </c>
      <c r="F328" s="3148" t="s">
        <v>4273</v>
      </c>
      <c r="I328" s="3148">
        <v>326</v>
      </c>
      <c r="J328" s="3152" t="s">
        <v>3935</v>
      </c>
      <c r="K328" s="3152" t="s">
        <v>4260</v>
      </c>
      <c r="L328" s="3152">
        <v>43.78</v>
      </c>
      <c r="M328" s="3153">
        <v>10.130000000000001</v>
      </c>
      <c r="N328" s="3148" t="s">
        <v>4273</v>
      </c>
    </row>
    <row r="329" spans="1:14">
      <c r="A329" s="3148">
        <v>327</v>
      </c>
      <c r="B329" s="3152" t="s">
        <v>3514</v>
      </c>
      <c r="C329" s="3152" t="s">
        <v>3840</v>
      </c>
      <c r="D329" s="3152">
        <v>36.56</v>
      </c>
      <c r="E329" s="3153">
        <v>11.21</v>
      </c>
      <c r="F329" s="3148" t="s">
        <v>4273</v>
      </c>
      <c r="I329" s="3148">
        <v>327</v>
      </c>
      <c r="J329" s="3152" t="s">
        <v>3935</v>
      </c>
      <c r="K329" s="3152" t="s">
        <v>4261</v>
      </c>
      <c r="L329" s="3152">
        <v>41.97</v>
      </c>
      <c r="M329" s="3153">
        <v>9.7100000000000009</v>
      </c>
      <c r="N329" s="3148" t="s">
        <v>4273</v>
      </c>
    </row>
    <row r="330" spans="1:14">
      <c r="A330" s="3148">
        <v>328</v>
      </c>
      <c r="B330" s="3152" t="s">
        <v>3514</v>
      </c>
      <c r="C330" s="3152" t="s">
        <v>3841</v>
      </c>
      <c r="D330" s="3152">
        <v>38.130000000000003</v>
      </c>
      <c r="E330" s="3153">
        <v>11.69</v>
      </c>
      <c r="F330" s="3148" t="s">
        <v>4273</v>
      </c>
      <c r="I330" s="3148">
        <v>328</v>
      </c>
      <c r="J330" s="3152" t="s">
        <v>3935</v>
      </c>
      <c r="K330" s="3152" t="s">
        <v>4262</v>
      </c>
      <c r="L330" s="3152">
        <v>41.97</v>
      </c>
      <c r="M330" s="3153">
        <v>9.7100000000000009</v>
      </c>
      <c r="N330" s="3148" t="s">
        <v>4273</v>
      </c>
    </row>
    <row r="331" spans="1:14">
      <c r="A331" s="3148">
        <v>329</v>
      </c>
      <c r="B331" s="3152" t="s">
        <v>3514</v>
      </c>
      <c r="C331" s="3152" t="s">
        <v>3842</v>
      </c>
      <c r="D331" s="3152">
        <v>36.56</v>
      </c>
      <c r="E331" s="3153">
        <v>11.21</v>
      </c>
      <c r="F331" s="3148" t="s">
        <v>4273</v>
      </c>
      <c r="I331" s="3148">
        <v>329</v>
      </c>
      <c r="J331" s="3152" t="s">
        <v>3935</v>
      </c>
      <c r="K331" s="3152" t="s">
        <v>4263</v>
      </c>
      <c r="L331" s="3152">
        <v>43.78</v>
      </c>
      <c r="M331" s="3153">
        <v>10.130000000000001</v>
      </c>
      <c r="N331" s="3148" t="s">
        <v>4273</v>
      </c>
    </row>
    <row r="332" spans="1:14">
      <c r="A332" s="3148">
        <v>330</v>
      </c>
      <c r="B332" s="3152" t="s">
        <v>3514</v>
      </c>
      <c r="C332" s="3152" t="s">
        <v>3843</v>
      </c>
      <c r="D332" s="3152">
        <v>36.56</v>
      </c>
      <c r="E332" s="3153">
        <v>11.21</v>
      </c>
      <c r="F332" s="3148" t="s">
        <v>4273</v>
      </c>
      <c r="I332" s="3148">
        <v>330</v>
      </c>
      <c r="J332" s="3152" t="s">
        <v>3935</v>
      </c>
      <c r="K332" s="3152" t="s">
        <v>4264</v>
      </c>
      <c r="L332" s="3152">
        <v>41.97</v>
      </c>
      <c r="M332" s="3153">
        <v>9.7100000000000009</v>
      </c>
      <c r="N332" s="3148" t="s">
        <v>4273</v>
      </c>
    </row>
    <row r="333" spans="1:14">
      <c r="A333" s="3148">
        <v>331</v>
      </c>
      <c r="B333" s="3152" t="s">
        <v>3514</v>
      </c>
      <c r="C333" s="3152" t="s">
        <v>3844</v>
      </c>
      <c r="D333" s="3152">
        <v>38.130000000000003</v>
      </c>
      <c r="E333" s="3153">
        <v>11.69</v>
      </c>
      <c r="F333" s="3148" t="s">
        <v>4273</v>
      </c>
      <c r="I333" s="3148">
        <v>331</v>
      </c>
      <c r="J333" s="3152" t="s">
        <v>3935</v>
      </c>
      <c r="K333" s="3152" t="s">
        <v>4265</v>
      </c>
      <c r="L333" s="3152">
        <v>41.97</v>
      </c>
      <c r="M333" s="3153">
        <v>9.7100000000000009</v>
      </c>
      <c r="N333" s="3148" t="s">
        <v>4273</v>
      </c>
    </row>
    <row r="334" spans="1:14">
      <c r="A334" s="3148">
        <v>332</v>
      </c>
      <c r="B334" s="3152" t="s">
        <v>3514</v>
      </c>
      <c r="C334" s="3152" t="s">
        <v>3845</v>
      </c>
      <c r="D334" s="3152">
        <v>36.56</v>
      </c>
      <c r="E334" s="3153">
        <v>11.21</v>
      </c>
      <c r="F334" s="3148" t="s">
        <v>4273</v>
      </c>
      <c r="I334" s="3148">
        <v>332</v>
      </c>
      <c r="J334" s="3152" t="s">
        <v>3935</v>
      </c>
      <c r="K334" s="3152" t="s">
        <v>4266</v>
      </c>
      <c r="L334" s="3152">
        <v>41.97</v>
      </c>
      <c r="M334" s="3153">
        <v>9.7100000000000009</v>
      </c>
      <c r="N334" s="3148" t="s">
        <v>4273</v>
      </c>
    </row>
    <row r="335" spans="1:14">
      <c r="A335" s="3148">
        <v>333</v>
      </c>
      <c r="B335" s="3152" t="s">
        <v>3514</v>
      </c>
      <c r="C335" s="3152" t="s">
        <v>3846</v>
      </c>
      <c r="D335" s="3152">
        <v>36.56</v>
      </c>
      <c r="E335" s="3153">
        <v>11.21</v>
      </c>
      <c r="F335" s="3148" t="s">
        <v>4273</v>
      </c>
      <c r="I335" s="3148">
        <v>333</v>
      </c>
      <c r="J335" s="3152" t="s">
        <v>3935</v>
      </c>
      <c r="K335" s="3152" t="s">
        <v>4267</v>
      </c>
      <c r="L335" s="3152">
        <v>41.97</v>
      </c>
      <c r="M335" s="3153">
        <v>9.7100000000000009</v>
      </c>
      <c r="N335" s="3148" t="s">
        <v>4273</v>
      </c>
    </row>
    <row r="336" spans="1:14">
      <c r="A336" s="3148">
        <v>334</v>
      </c>
      <c r="B336" s="3152" t="s">
        <v>3514</v>
      </c>
      <c r="C336" s="3152" t="s">
        <v>3847</v>
      </c>
      <c r="D336" s="3152">
        <v>38.130000000000003</v>
      </c>
      <c r="E336" s="3153">
        <v>11.69</v>
      </c>
      <c r="F336" s="3148" t="s">
        <v>4273</v>
      </c>
      <c r="I336" s="3148">
        <v>334</v>
      </c>
      <c r="J336" s="3152" t="s">
        <v>3935</v>
      </c>
      <c r="K336" s="3152" t="s">
        <v>4268</v>
      </c>
      <c r="L336" s="3152">
        <v>43.78</v>
      </c>
      <c r="M336" s="3153">
        <v>10.130000000000001</v>
      </c>
      <c r="N336" s="3148" t="s">
        <v>4273</v>
      </c>
    </row>
    <row r="337" spans="1:14">
      <c r="A337" s="3148">
        <v>335</v>
      </c>
      <c r="B337" s="3152" t="s">
        <v>3514</v>
      </c>
      <c r="C337" s="3152" t="s">
        <v>3848</v>
      </c>
      <c r="D337" s="3152">
        <v>36.56</v>
      </c>
      <c r="E337" s="3153">
        <v>11.21</v>
      </c>
      <c r="F337" s="3148" t="s">
        <v>4273</v>
      </c>
      <c r="I337" s="3148">
        <v>335</v>
      </c>
      <c r="J337" s="3152" t="s">
        <v>3935</v>
      </c>
      <c r="K337" s="3152" t="s">
        <v>4269</v>
      </c>
      <c r="L337" s="3152">
        <v>43.78</v>
      </c>
      <c r="M337" s="3153">
        <v>10.130000000000001</v>
      </c>
      <c r="N337" s="3148" t="s">
        <v>4273</v>
      </c>
    </row>
    <row r="338" spans="1:14">
      <c r="A338" s="3148">
        <v>336</v>
      </c>
      <c r="B338" s="3152" t="s">
        <v>3514</v>
      </c>
      <c r="C338" s="3152" t="s">
        <v>3849</v>
      </c>
      <c r="D338" s="3152">
        <v>36.56</v>
      </c>
      <c r="E338" s="3153">
        <v>11.21</v>
      </c>
      <c r="F338" s="3148" t="s">
        <v>4273</v>
      </c>
      <c r="I338" s="3148">
        <v>336</v>
      </c>
      <c r="J338" s="3152" t="s">
        <v>3935</v>
      </c>
      <c r="K338" s="3152" t="s">
        <v>4270</v>
      </c>
      <c r="L338" s="3152">
        <v>41.97</v>
      </c>
      <c r="M338" s="3153">
        <v>9.7100000000000009</v>
      </c>
      <c r="N338" s="3148" t="s">
        <v>4273</v>
      </c>
    </row>
    <row r="339" spans="1:14">
      <c r="A339" s="3148">
        <v>337</v>
      </c>
      <c r="B339" s="3152" t="s">
        <v>3514</v>
      </c>
      <c r="C339" s="3152" t="s">
        <v>3850</v>
      </c>
      <c r="D339" s="3152">
        <v>38.130000000000003</v>
      </c>
      <c r="E339" s="3153">
        <v>11.69</v>
      </c>
      <c r="F339" s="3148" t="s">
        <v>4273</v>
      </c>
      <c r="I339" s="3148">
        <v>337</v>
      </c>
      <c r="J339" s="3152" t="s">
        <v>3935</v>
      </c>
      <c r="K339" s="3152" t="s">
        <v>4271</v>
      </c>
      <c r="L339" s="3152">
        <v>41.97</v>
      </c>
      <c r="M339" s="3153">
        <v>9.7100000000000009</v>
      </c>
      <c r="N339" s="3148" t="s">
        <v>4273</v>
      </c>
    </row>
    <row r="340" spans="1:14">
      <c r="A340" s="3148">
        <v>338</v>
      </c>
      <c r="B340" s="3152" t="s">
        <v>3514</v>
      </c>
      <c r="C340" s="3152" t="s">
        <v>3851</v>
      </c>
      <c r="D340" s="3152">
        <v>36.56</v>
      </c>
      <c r="E340" s="3153">
        <v>11.21</v>
      </c>
      <c r="F340" s="3148" t="s">
        <v>4273</v>
      </c>
      <c r="I340" s="3148">
        <v>338</v>
      </c>
      <c r="J340" s="3152" t="s">
        <v>3935</v>
      </c>
      <c r="K340" s="3152" t="s">
        <v>4272</v>
      </c>
      <c r="L340" s="3152">
        <v>40.130000000000003</v>
      </c>
      <c r="M340" s="3153">
        <v>9.2799999999999994</v>
      </c>
      <c r="N340" s="3148" t="s">
        <v>4273</v>
      </c>
    </row>
    <row r="341" spans="1:14">
      <c r="A341" s="3148">
        <v>339</v>
      </c>
      <c r="B341" s="3152" t="s">
        <v>3514</v>
      </c>
      <c r="C341" s="3152" t="s">
        <v>3852</v>
      </c>
      <c r="D341" s="3152">
        <v>36.56</v>
      </c>
      <c r="E341" s="3153">
        <v>11.21</v>
      </c>
      <c r="F341" s="3148" t="s">
        <v>4273</v>
      </c>
      <c r="I341" s="3148">
        <v>339</v>
      </c>
      <c r="J341" s="3152" t="s">
        <v>3935</v>
      </c>
      <c r="K341" s="3152">
        <v>-101</v>
      </c>
      <c r="L341" s="3152">
        <v>9581.2999999999993</v>
      </c>
      <c r="M341" s="3153">
        <v>2216.37</v>
      </c>
      <c r="N341" s="3148" t="s">
        <v>4276</v>
      </c>
    </row>
    <row r="342" spans="1:14">
      <c r="A342" s="3148">
        <v>340</v>
      </c>
      <c r="B342" s="3152" t="s">
        <v>3514</v>
      </c>
      <c r="C342" s="3152" t="s">
        <v>3853</v>
      </c>
      <c r="D342" s="3152">
        <v>38.130000000000003</v>
      </c>
      <c r="E342" s="3153">
        <v>11.69</v>
      </c>
      <c r="F342" s="3148" t="s">
        <v>4273</v>
      </c>
      <c r="I342" s="3148" t="s">
        <v>4288</v>
      </c>
      <c r="J342" s="3152"/>
      <c r="K342" s="3152"/>
      <c r="L342" s="3152">
        <f>SUM(L3:L341)</f>
        <v>68049.780000000173</v>
      </c>
      <c r="M342" s="3152">
        <f>ROUND(SUM(M3:M341),2)</f>
        <v>15742.02</v>
      </c>
      <c r="N342" s="3148"/>
    </row>
    <row r="343" spans="1:14">
      <c r="A343" s="3148">
        <v>341</v>
      </c>
      <c r="B343" s="3152" t="s">
        <v>3514</v>
      </c>
      <c r="C343" s="3152" t="s">
        <v>3854</v>
      </c>
      <c r="D343" s="3152">
        <v>36.56</v>
      </c>
      <c r="E343" s="3153">
        <v>11.21</v>
      </c>
      <c r="F343" s="3148" t="s">
        <v>4273</v>
      </c>
      <c r="I343" s="3154" t="s">
        <v>4290</v>
      </c>
      <c r="J343" s="3150"/>
      <c r="K343" s="3150"/>
      <c r="L343" s="3151">
        <f>L3+L341</f>
        <v>53721.66</v>
      </c>
      <c r="M343" s="3151">
        <f>M3+M341</f>
        <v>12427.02</v>
      </c>
    </row>
    <row r="344" spans="1:14">
      <c r="A344" s="3148">
        <v>342</v>
      </c>
      <c r="B344" s="3152" t="s">
        <v>3514</v>
      </c>
      <c r="C344" s="3152" t="s">
        <v>3855</v>
      </c>
      <c r="D344" s="3152">
        <v>36.56</v>
      </c>
      <c r="E344" s="3153">
        <v>11.21</v>
      </c>
      <c r="F344" s="3148" t="s">
        <v>4273</v>
      </c>
      <c r="I344" s="3154" t="s">
        <v>4291</v>
      </c>
      <c r="L344" s="3154">
        <f>SUM(L4:L340)</f>
        <v>14328.11999999997</v>
      </c>
      <c r="M344" s="3154">
        <f>SUM(M4:M340)</f>
        <v>3315.0000000000136</v>
      </c>
    </row>
    <row r="345" spans="1:14">
      <c r="A345" s="3148">
        <v>343</v>
      </c>
      <c r="B345" s="3152" t="s">
        <v>3514</v>
      </c>
      <c r="C345" s="3152" t="s">
        <v>3856</v>
      </c>
      <c r="D345" s="3152">
        <v>38.130000000000003</v>
      </c>
      <c r="E345" s="3153">
        <v>11.69</v>
      </c>
      <c r="F345" s="3148" t="s">
        <v>4273</v>
      </c>
      <c r="I345" s="3154" t="s">
        <v>4292</v>
      </c>
      <c r="L345" s="3154">
        <f>L341+L344</f>
        <v>23909.419999999969</v>
      </c>
      <c r="M345" s="3154">
        <f>M341+M344</f>
        <v>5531.3700000000135</v>
      </c>
    </row>
    <row r="346" spans="1:14">
      <c r="A346" s="3148">
        <v>344</v>
      </c>
      <c r="B346" s="3152" t="s">
        <v>3514</v>
      </c>
      <c r="C346" s="3152" t="s">
        <v>3857</v>
      </c>
      <c r="D346" s="3152">
        <v>36.56</v>
      </c>
      <c r="E346" s="3153">
        <v>11.21</v>
      </c>
      <c r="F346" s="3148" t="s">
        <v>4273</v>
      </c>
    </row>
    <row r="347" spans="1:14">
      <c r="A347" s="3148">
        <v>345</v>
      </c>
      <c r="B347" s="3152" t="s">
        <v>3514</v>
      </c>
      <c r="C347" s="3152" t="s">
        <v>3858</v>
      </c>
      <c r="D347" s="3152">
        <v>36.56</v>
      </c>
      <c r="E347" s="3153">
        <v>11.21</v>
      </c>
      <c r="F347" s="3148" t="s">
        <v>4273</v>
      </c>
    </row>
    <row r="348" spans="1:14">
      <c r="A348" s="3148">
        <v>346</v>
      </c>
      <c r="B348" s="3152" t="s">
        <v>3514</v>
      </c>
      <c r="C348" s="3152" t="s">
        <v>3859</v>
      </c>
      <c r="D348" s="3152">
        <v>38.130000000000003</v>
      </c>
      <c r="E348" s="3153">
        <v>11.69</v>
      </c>
      <c r="F348" s="3148" t="s">
        <v>4273</v>
      </c>
    </row>
    <row r="349" spans="1:14">
      <c r="A349" s="3148">
        <v>347</v>
      </c>
      <c r="B349" s="3152" t="s">
        <v>3514</v>
      </c>
      <c r="C349" s="3152" t="s">
        <v>3860</v>
      </c>
      <c r="D349" s="3152">
        <v>36.56</v>
      </c>
      <c r="E349" s="3153">
        <v>11.21</v>
      </c>
      <c r="F349" s="3148" t="s">
        <v>4273</v>
      </c>
    </row>
    <row r="350" spans="1:14">
      <c r="A350" s="3148">
        <v>348</v>
      </c>
      <c r="B350" s="3152" t="s">
        <v>3514</v>
      </c>
      <c r="C350" s="3152" t="s">
        <v>3861</v>
      </c>
      <c r="D350" s="3152">
        <v>36.56</v>
      </c>
      <c r="E350" s="3153">
        <v>11.21</v>
      </c>
      <c r="F350" s="3148" t="s">
        <v>4273</v>
      </c>
    </row>
    <row r="351" spans="1:14">
      <c r="A351" s="3148">
        <v>349</v>
      </c>
      <c r="B351" s="3152" t="s">
        <v>3514</v>
      </c>
      <c r="C351" s="3152" t="s">
        <v>3862</v>
      </c>
      <c r="D351" s="3152">
        <v>38.130000000000003</v>
      </c>
      <c r="E351" s="3153">
        <v>11.69</v>
      </c>
      <c r="F351" s="3148" t="s">
        <v>4273</v>
      </c>
    </row>
    <row r="352" spans="1:14">
      <c r="A352" s="3148">
        <v>350</v>
      </c>
      <c r="B352" s="3152" t="s">
        <v>3514</v>
      </c>
      <c r="C352" s="3152" t="s">
        <v>3863</v>
      </c>
      <c r="D352" s="3152">
        <v>36.56</v>
      </c>
      <c r="E352" s="3153">
        <v>11.21</v>
      </c>
      <c r="F352" s="3148" t="s">
        <v>4273</v>
      </c>
    </row>
    <row r="353" spans="1:6">
      <c r="A353" s="3148">
        <v>351</v>
      </c>
      <c r="B353" s="3152" t="s">
        <v>3514</v>
      </c>
      <c r="C353" s="3152" t="s">
        <v>3864</v>
      </c>
      <c r="D353" s="3152">
        <v>36.56</v>
      </c>
      <c r="E353" s="3153">
        <v>11.21</v>
      </c>
      <c r="F353" s="3148" t="s">
        <v>4273</v>
      </c>
    </row>
    <row r="354" spans="1:6">
      <c r="A354" s="3148">
        <v>352</v>
      </c>
      <c r="B354" s="3152" t="s">
        <v>3514</v>
      </c>
      <c r="C354" s="3152" t="s">
        <v>3865</v>
      </c>
      <c r="D354" s="3152">
        <v>38.130000000000003</v>
      </c>
      <c r="E354" s="3153">
        <v>11.69</v>
      </c>
      <c r="F354" s="3148" t="s">
        <v>4273</v>
      </c>
    </row>
    <row r="355" spans="1:6">
      <c r="A355" s="3148">
        <v>353</v>
      </c>
      <c r="B355" s="3152" t="s">
        <v>3514</v>
      </c>
      <c r="C355" s="3152" t="s">
        <v>3866</v>
      </c>
      <c r="D355" s="3152">
        <v>36.56</v>
      </c>
      <c r="E355" s="3153">
        <v>11.21</v>
      </c>
      <c r="F355" s="3148" t="s">
        <v>4273</v>
      </c>
    </row>
    <row r="356" spans="1:6">
      <c r="A356" s="3148">
        <v>354</v>
      </c>
      <c r="B356" s="3152" t="s">
        <v>3514</v>
      </c>
      <c r="C356" s="3152" t="s">
        <v>3867</v>
      </c>
      <c r="D356" s="3152">
        <v>36.56</v>
      </c>
      <c r="E356" s="3153">
        <v>11.21</v>
      </c>
      <c r="F356" s="3148" t="s">
        <v>4273</v>
      </c>
    </row>
    <row r="357" spans="1:6">
      <c r="A357" s="3148">
        <v>355</v>
      </c>
      <c r="B357" s="3152" t="s">
        <v>3514</v>
      </c>
      <c r="C357" s="3152" t="s">
        <v>3868</v>
      </c>
      <c r="D357" s="3152">
        <v>38.130000000000003</v>
      </c>
      <c r="E357" s="3153">
        <v>11.69</v>
      </c>
      <c r="F357" s="3148" t="s">
        <v>4273</v>
      </c>
    </row>
    <row r="358" spans="1:6">
      <c r="A358" s="3148">
        <v>356</v>
      </c>
      <c r="B358" s="3152" t="s">
        <v>3514</v>
      </c>
      <c r="C358" s="3152" t="s">
        <v>3869</v>
      </c>
      <c r="D358" s="3152">
        <v>36.56</v>
      </c>
      <c r="E358" s="3153">
        <v>11.21</v>
      </c>
      <c r="F358" s="3148" t="s">
        <v>4273</v>
      </c>
    </row>
    <row r="359" spans="1:6">
      <c r="A359" s="3148">
        <v>357</v>
      </c>
      <c r="B359" s="3152" t="s">
        <v>3514</v>
      </c>
      <c r="C359" s="3152" t="s">
        <v>3870</v>
      </c>
      <c r="D359" s="3152">
        <v>36.56</v>
      </c>
      <c r="E359" s="3153">
        <v>11.21</v>
      </c>
      <c r="F359" s="3148" t="s">
        <v>4273</v>
      </c>
    </row>
    <row r="360" spans="1:6">
      <c r="A360" s="3148">
        <v>358</v>
      </c>
      <c r="B360" s="3152" t="s">
        <v>3514</v>
      </c>
      <c r="C360" s="3152" t="s">
        <v>3871</v>
      </c>
      <c r="D360" s="3152">
        <v>38.130000000000003</v>
      </c>
      <c r="E360" s="3153">
        <v>11.69</v>
      </c>
      <c r="F360" s="3148" t="s">
        <v>4273</v>
      </c>
    </row>
    <row r="361" spans="1:6">
      <c r="A361" s="3148">
        <v>359</v>
      </c>
      <c r="B361" s="3152" t="s">
        <v>3514</v>
      </c>
      <c r="C361" s="3152" t="s">
        <v>3872</v>
      </c>
      <c r="D361" s="3152">
        <v>36.56</v>
      </c>
      <c r="E361" s="3153">
        <v>11.21</v>
      </c>
      <c r="F361" s="3148" t="s">
        <v>4273</v>
      </c>
    </row>
    <row r="362" spans="1:6">
      <c r="A362" s="3148">
        <v>360</v>
      </c>
      <c r="B362" s="3152" t="s">
        <v>3514</v>
      </c>
      <c r="C362" s="3152" t="s">
        <v>3873</v>
      </c>
      <c r="D362" s="3152">
        <v>36.56</v>
      </c>
      <c r="E362" s="3153">
        <v>11.21</v>
      </c>
      <c r="F362" s="3148" t="s">
        <v>4273</v>
      </c>
    </row>
    <row r="363" spans="1:6">
      <c r="A363" s="3148">
        <v>361</v>
      </c>
      <c r="B363" s="3152" t="s">
        <v>3514</v>
      </c>
      <c r="C363" s="3152" t="s">
        <v>3874</v>
      </c>
      <c r="D363" s="3152">
        <v>38.130000000000003</v>
      </c>
      <c r="E363" s="3153">
        <v>11.69</v>
      </c>
      <c r="F363" s="3148" t="s">
        <v>4273</v>
      </c>
    </row>
    <row r="364" spans="1:6">
      <c r="A364" s="3148">
        <v>362</v>
      </c>
      <c r="B364" s="3152" t="s">
        <v>3514</v>
      </c>
      <c r="C364" s="3152" t="s">
        <v>3875</v>
      </c>
      <c r="D364" s="3152">
        <v>36.56</v>
      </c>
      <c r="E364" s="3153">
        <v>11.21</v>
      </c>
      <c r="F364" s="3148" t="s">
        <v>4273</v>
      </c>
    </row>
    <row r="365" spans="1:6">
      <c r="A365" s="3148">
        <v>363</v>
      </c>
      <c r="B365" s="3152" t="s">
        <v>3514</v>
      </c>
      <c r="C365" s="3152" t="s">
        <v>3876</v>
      </c>
      <c r="D365" s="3152">
        <v>36.56</v>
      </c>
      <c r="E365" s="3153">
        <v>11.21</v>
      </c>
      <c r="F365" s="3148" t="s">
        <v>4273</v>
      </c>
    </row>
    <row r="366" spans="1:6">
      <c r="A366" s="3148">
        <v>364</v>
      </c>
      <c r="B366" s="3152" t="s">
        <v>3514</v>
      </c>
      <c r="C366" s="3152" t="s">
        <v>3877</v>
      </c>
      <c r="D366" s="3152">
        <v>38.130000000000003</v>
      </c>
      <c r="E366" s="3153">
        <v>11.69</v>
      </c>
      <c r="F366" s="3148" t="s">
        <v>4273</v>
      </c>
    </row>
    <row r="367" spans="1:6">
      <c r="A367" s="3148">
        <v>365</v>
      </c>
      <c r="B367" s="3152" t="s">
        <v>3514</v>
      </c>
      <c r="C367" s="3152" t="s">
        <v>3878</v>
      </c>
      <c r="D367" s="3152">
        <v>36.56</v>
      </c>
      <c r="E367" s="3153">
        <v>11.21</v>
      </c>
      <c r="F367" s="3148" t="s">
        <v>4273</v>
      </c>
    </row>
    <row r="368" spans="1:6">
      <c r="A368" s="3148">
        <v>366</v>
      </c>
      <c r="B368" s="3152" t="s">
        <v>3514</v>
      </c>
      <c r="C368" s="3152" t="s">
        <v>3879</v>
      </c>
      <c r="D368" s="3152">
        <v>36.56</v>
      </c>
      <c r="E368" s="3153">
        <v>11.21</v>
      </c>
      <c r="F368" s="3148" t="s">
        <v>4273</v>
      </c>
    </row>
    <row r="369" spans="1:6">
      <c r="A369" s="3148">
        <v>367</v>
      </c>
      <c r="B369" s="3152" t="s">
        <v>3514</v>
      </c>
      <c r="C369" s="3152" t="s">
        <v>3880</v>
      </c>
      <c r="D369" s="3152">
        <v>38.130000000000003</v>
      </c>
      <c r="E369" s="3153">
        <v>11.69</v>
      </c>
      <c r="F369" s="3148" t="s">
        <v>4273</v>
      </c>
    </row>
    <row r="370" spans="1:6">
      <c r="A370" s="3148">
        <v>368</v>
      </c>
      <c r="B370" s="3152" t="s">
        <v>3514</v>
      </c>
      <c r="C370" s="3152" t="s">
        <v>3881</v>
      </c>
      <c r="D370" s="3152">
        <v>36.56</v>
      </c>
      <c r="E370" s="3153">
        <v>11.21</v>
      </c>
      <c r="F370" s="3148" t="s">
        <v>4273</v>
      </c>
    </row>
    <row r="371" spans="1:6">
      <c r="A371" s="3148">
        <v>369</v>
      </c>
      <c r="B371" s="3152" t="s">
        <v>3514</v>
      </c>
      <c r="C371" s="3152" t="s">
        <v>3882</v>
      </c>
      <c r="D371" s="3152">
        <v>36.56</v>
      </c>
      <c r="E371" s="3153">
        <v>11.21</v>
      </c>
      <c r="F371" s="3148" t="s">
        <v>4273</v>
      </c>
    </row>
    <row r="372" spans="1:6">
      <c r="A372" s="3148">
        <v>370</v>
      </c>
      <c r="B372" s="3152" t="s">
        <v>3514</v>
      </c>
      <c r="C372" s="3152" t="s">
        <v>3883</v>
      </c>
      <c r="D372" s="3152">
        <v>38.130000000000003</v>
      </c>
      <c r="E372" s="3153">
        <v>11.69</v>
      </c>
      <c r="F372" s="3148" t="s">
        <v>4273</v>
      </c>
    </row>
    <row r="373" spans="1:6">
      <c r="A373" s="3148">
        <v>371</v>
      </c>
      <c r="B373" s="3152" t="s">
        <v>3514</v>
      </c>
      <c r="C373" s="3152" t="s">
        <v>3884</v>
      </c>
      <c r="D373" s="3152">
        <v>36.56</v>
      </c>
      <c r="E373" s="3153">
        <v>11.21</v>
      </c>
      <c r="F373" s="3148" t="s">
        <v>4273</v>
      </c>
    </row>
    <row r="374" spans="1:6">
      <c r="A374" s="3148">
        <v>372</v>
      </c>
      <c r="B374" s="3152" t="s">
        <v>3514</v>
      </c>
      <c r="C374" s="3152" t="s">
        <v>3885</v>
      </c>
      <c r="D374" s="3152">
        <v>36.56</v>
      </c>
      <c r="E374" s="3153">
        <v>11.21</v>
      </c>
      <c r="F374" s="3148" t="s">
        <v>4273</v>
      </c>
    </row>
    <row r="375" spans="1:6">
      <c r="A375" s="3148">
        <v>373</v>
      </c>
      <c r="B375" s="3152" t="s">
        <v>3514</v>
      </c>
      <c r="C375" s="3152" t="s">
        <v>3886</v>
      </c>
      <c r="D375" s="3152">
        <v>38.130000000000003</v>
      </c>
      <c r="E375" s="3153">
        <v>11.69</v>
      </c>
      <c r="F375" s="3148" t="s">
        <v>4273</v>
      </c>
    </row>
    <row r="376" spans="1:6">
      <c r="A376" s="3148">
        <v>374</v>
      </c>
      <c r="B376" s="3152" t="s">
        <v>3514</v>
      </c>
      <c r="C376" s="3152" t="s">
        <v>3887</v>
      </c>
      <c r="D376" s="3152">
        <v>36.56</v>
      </c>
      <c r="E376" s="3153">
        <v>11.21</v>
      </c>
      <c r="F376" s="3148" t="s">
        <v>4273</v>
      </c>
    </row>
    <row r="377" spans="1:6">
      <c r="A377" s="3148">
        <v>375</v>
      </c>
      <c r="B377" s="3152" t="s">
        <v>3514</v>
      </c>
      <c r="C377" s="3152" t="s">
        <v>3888</v>
      </c>
      <c r="D377" s="3152">
        <v>36.56</v>
      </c>
      <c r="E377" s="3153">
        <v>11.21</v>
      </c>
      <c r="F377" s="3148" t="s">
        <v>4273</v>
      </c>
    </row>
    <row r="378" spans="1:6">
      <c r="A378" s="3148">
        <v>376</v>
      </c>
      <c r="B378" s="3152" t="s">
        <v>3514</v>
      </c>
      <c r="C378" s="3152" t="s">
        <v>3889</v>
      </c>
      <c r="D378" s="3152">
        <v>38.130000000000003</v>
      </c>
      <c r="E378" s="3153">
        <v>11.69</v>
      </c>
      <c r="F378" s="3148" t="s">
        <v>4273</v>
      </c>
    </row>
    <row r="379" spans="1:6">
      <c r="A379" s="3148">
        <v>377</v>
      </c>
      <c r="B379" s="3152" t="s">
        <v>3514</v>
      </c>
      <c r="C379" s="3152" t="s">
        <v>3890</v>
      </c>
      <c r="D379" s="3152">
        <v>36.56</v>
      </c>
      <c r="E379" s="3153">
        <v>11.21</v>
      </c>
      <c r="F379" s="3148" t="s">
        <v>4273</v>
      </c>
    </row>
    <row r="380" spans="1:6">
      <c r="A380" s="3148">
        <v>378</v>
      </c>
      <c r="B380" s="3152" t="s">
        <v>3514</v>
      </c>
      <c r="C380" s="3152" t="s">
        <v>3891</v>
      </c>
      <c r="D380" s="3152">
        <v>36.56</v>
      </c>
      <c r="E380" s="3153">
        <v>11.21</v>
      </c>
      <c r="F380" s="3148" t="s">
        <v>4273</v>
      </c>
    </row>
    <row r="381" spans="1:6">
      <c r="A381" s="3148">
        <v>379</v>
      </c>
      <c r="B381" s="3152" t="s">
        <v>3514</v>
      </c>
      <c r="C381" s="3152" t="s">
        <v>3892</v>
      </c>
      <c r="D381" s="3152">
        <v>38.130000000000003</v>
      </c>
      <c r="E381" s="3153">
        <v>11.69</v>
      </c>
      <c r="F381" s="3148" t="s">
        <v>4273</v>
      </c>
    </row>
    <row r="382" spans="1:6">
      <c r="A382" s="3148">
        <v>380</v>
      </c>
      <c r="B382" s="3152" t="s">
        <v>3514</v>
      </c>
      <c r="C382" s="3152" t="s">
        <v>3893</v>
      </c>
      <c r="D382" s="3152">
        <v>36.56</v>
      </c>
      <c r="E382" s="3153">
        <v>11.21</v>
      </c>
      <c r="F382" s="3148" t="s">
        <v>4273</v>
      </c>
    </row>
    <row r="383" spans="1:6">
      <c r="A383" s="3148">
        <v>381</v>
      </c>
      <c r="B383" s="3152" t="s">
        <v>3514</v>
      </c>
      <c r="C383" s="3152" t="s">
        <v>3894</v>
      </c>
      <c r="D383" s="3152">
        <v>36.56</v>
      </c>
      <c r="E383" s="3153">
        <v>11.21</v>
      </c>
      <c r="F383" s="3148" t="s">
        <v>4273</v>
      </c>
    </row>
    <row r="384" spans="1:6">
      <c r="A384" s="3148">
        <v>382</v>
      </c>
      <c r="B384" s="3152" t="s">
        <v>3514</v>
      </c>
      <c r="C384" s="3152" t="s">
        <v>3895</v>
      </c>
      <c r="D384" s="3152">
        <v>36.56</v>
      </c>
      <c r="E384" s="3153">
        <v>11.21</v>
      </c>
      <c r="F384" s="3148" t="s">
        <v>4273</v>
      </c>
    </row>
    <row r="385" spans="1:6">
      <c r="A385" s="3148">
        <v>383</v>
      </c>
      <c r="B385" s="3152" t="s">
        <v>3514</v>
      </c>
      <c r="C385" s="3152" t="s">
        <v>3896</v>
      </c>
      <c r="D385" s="3152">
        <v>36.56</v>
      </c>
      <c r="E385" s="3153">
        <v>11.21</v>
      </c>
      <c r="F385" s="3148" t="s">
        <v>4273</v>
      </c>
    </row>
    <row r="386" spans="1:6">
      <c r="A386" s="3148">
        <v>384</v>
      </c>
      <c r="B386" s="3152" t="s">
        <v>3514</v>
      </c>
      <c r="C386" s="3152" t="s">
        <v>3897</v>
      </c>
      <c r="D386" s="3152">
        <v>38.130000000000003</v>
      </c>
      <c r="E386" s="3153">
        <v>11.69</v>
      </c>
      <c r="F386" s="3148" t="s">
        <v>4273</v>
      </c>
    </row>
    <row r="387" spans="1:6">
      <c r="A387" s="3148">
        <v>385</v>
      </c>
      <c r="B387" s="3152" t="s">
        <v>3514</v>
      </c>
      <c r="C387" s="3152" t="s">
        <v>3898</v>
      </c>
      <c r="D387" s="3152">
        <v>36.56</v>
      </c>
      <c r="E387" s="3153">
        <v>11.21</v>
      </c>
      <c r="F387" s="3148" t="s">
        <v>4273</v>
      </c>
    </row>
    <row r="388" spans="1:6">
      <c r="A388" s="3148">
        <v>386</v>
      </c>
      <c r="B388" s="3152" t="s">
        <v>3514</v>
      </c>
      <c r="C388" s="3152" t="s">
        <v>3899</v>
      </c>
      <c r="D388" s="3152">
        <v>36.56</v>
      </c>
      <c r="E388" s="3153">
        <v>11.21</v>
      </c>
      <c r="F388" s="3148" t="s">
        <v>4273</v>
      </c>
    </row>
    <row r="389" spans="1:6">
      <c r="A389" s="3148">
        <v>387</v>
      </c>
      <c r="B389" s="3152" t="s">
        <v>3514</v>
      </c>
      <c r="C389" s="3152" t="s">
        <v>3900</v>
      </c>
      <c r="D389" s="3152">
        <v>38.130000000000003</v>
      </c>
      <c r="E389" s="3153">
        <v>11.69</v>
      </c>
      <c r="F389" s="3148" t="s">
        <v>4273</v>
      </c>
    </row>
    <row r="390" spans="1:6">
      <c r="A390" s="3148">
        <v>388</v>
      </c>
      <c r="B390" s="3152" t="s">
        <v>3514</v>
      </c>
      <c r="C390" s="3152" t="s">
        <v>3901</v>
      </c>
      <c r="D390" s="3152">
        <v>36.56</v>
      </c>
      <c r="E390" s="3153">
        <v>11.21</v>
      </c>
      <c r="F390" s="3148" t="s">
        <v>4273</v>
      </c>
    </row>
    <row r="391" spans="1:6">
      <c r="A391" s="3148">
        <v>389</v>
      </c>
      <c r="B391" s="3152" t="s">
        <v>3514</v>
      </c>
      <c r="C391" s="3152" t="s">
        <v>3902</v>
      </c>
      <c r="D391" s="3152">
        <v>36.56</v>
      </c>
      <c r="E391" s="3153">
        <v>11.21</v>
      </c>
      <c r="F391" s="3148" t="s">
        <v>4273</v>
      </c>
    </row>
    <row r="392" spans="1:6">
      <c r="A392" s="3148">
        <v>390</v>
      </c>
      <c r="B392" s="3152" t="s">
        <v>3514</v>
      </c>
      <c r="C392" s="3152" t="s">
        <v>3903</v>
      </c>
      <c r="D392" s="3152">
        <v>36.56</v>
      </c>
      <c r="E392" s="3153">
        <v>11.21</v>
      </c>
      <c r="F392" s="3148" t="s">
        <v>4273</v>
      </c>
    </row>
    <row r="393" spans="1:6">
      <c r="A393" s="3148">
        <v>391</v>
      </c>
      <c r="B393" s="3152" t="s">
        <v>3514</v>
      </c>
      <c r="C393" s="3152" t="s">
        <v>3904</v>
      </c>
      <c r="D393" s="3152">
        <v>38.130000000000003</v>
      </c>
      <c r="E393" s="3153">
        <v>11.69</v>
      </c>
      <c r="F393" s="3148" t="s">
        <v>4273</v>
      </c>
    </row>
    <row r="394" spans="1:6">
      <c r="A394" s="3148">
        <v>392</v>
      </c>
      <c r="B394" s="3152" t="s">
        <v>3514</v>
      </c>
      <c r="C394" s="3152" t="s">
        <v>3905</v>
      </c>
      <c r="D394" s="3152">
        <v>36.56</v>
      </c>
      <c r="E394" s="3153">
        <v>11.21</v>
      </c>
      <c r="F394" s="3148" t="s">
        <v>4273</v>
      </c>
    </row>
    <row r="395" spans="1:6">
      <c r="A395" s="3148">
        <v>393</v>
      </c>
      <c r="B395" s="3152" t="s">
        <v>3514</v>
      </c>
      <c r="C395" s="3152" t="s">
        <v>3906</v>
      </c>
      <c r="D395" s="3152">
        <v>36.56</v>
      </c>
      <c r="E395" s="3153">
        <v>11.21</v>
      </c>
      <c r="F395" s="3148" t="s">
        <v>4273</v>
      </c>
    </row>
    <row r="396" spans="1:6">
      <c r="A396" s="3148">
        <v>394</v>
      </c>
      <c r="B396" s="3152" t="s">
        <v>3514</v>
      </c>
      <c r="C396" s="3152" t="s">
        <v>3907</v>
      </c>
      <c r="D396" s="3152">
        <v>36.56</v>
      </c>
      <c r="E396" s="3153">
        <v>11.21</v>
      </c>
      <c r="F396" s="3148" t="s">
        <v>4273</v>
      </c>
    </row>
    <row r="397" spans="1:6">
      <c r="A397" s="3148">
        <v>395</v>
      </c>
      <c r="B397" s="3152" t="s">
        <v>3514</v>
      </c>
      <c r="C397" s="3152" t="s">
        <v>3908</v>
      </c>
      <c r="D397" s="3152">
        <v>36.56</v>
      </c>
      <c r="E397" s="3153">
        <v>11.21</v>
      </c>
      <c r="F397" s="3148" t="s">
        <v>4273</v>
      </c>
    </row>
    <row r="398" spans="1:6">
      <c r="A398" s="3148">
        <v>396</v>
      </c>
      <c r="B398" s="3152" t="s">
        <v>3514</v>
      </c>
      <c r="C398" s="3152" t="s">
        <v>3909</v>
      </c>
      <c r="D398" s="3152">
        <v>36.56</v>
      </c>
      <c r="E398" s="3153">
        <v>11.21</v>
      </c>
      <c r="F398" s="3148" t="s">
        <v>4273</v>
      </c>
    </row>
    <row r="399" spans="1:6">
      <c r="A399" s="3148">
        <v>397</v>
      </c>
      <c r="B399" s="3152" t="s">
        <v>3514</v>
      </c>
      <c r="C399" s="3152" t="s">
        <v>3910</v>
      </c>
      <c r="D399" s="3152">
        <v>36.56</v>
      </c>
      <c r="E399" s="3153">
        <v>11.21</v>
      </c>
      <c r="F399" s="3148" t="s">
        <v>4273</v>
      </c>
    </row>
    <row r="400" spans="1:6">
      <c r="A400" s="3148">
        <v>398</v>
      </c>
      <c r="B400" s="3152" t="s">
        <v>3514</v>
      </c>
      <c r="C400" s="3152" t="s">
        <v>3911</v>
      </c>
      <c r="D400" s="3152">
        <v>38.130000000000003</v>
      </c>
      <c r="E400" s="3153">
        <v>11.69</v>
      </c>
      <c r="F400" s="3148" t="s">
        <v>4273</v>
      </c>
    </row>
    <row r="401" spans="1:6">
      <c r="A401" s="3148">
        <v>399</v>
      </c>
      <c r="B401" s="3152" t="s">
        <v>3514</v>
      </c>
      <c r="C401" s="3152" t="s">
        <v>3912</v>
      </c>
      <c r="D401" s="3152">
        <v>36.56</v>
      </c>
      <c r="E401" s="3153">
        <v>11.21</v>
      </c>
      <c r="F401" s="3148" t="s">
        <v>4273</v>
      </c>
    </row>
    <row r="402" spans="1:6">
      <c r="A402" s="3148">
        <v>400</v>
      </c>
      <c r="B402" s="3152" t="s">
        <v>3514</v>
      </c>
      <c r="C402" s="3152" t="s">
        <v>3913</v>
      </c>
      <c r="D402" s="3152">
        <v>36.56</v>
      </c>
      <c r="E402" s="3153">
        <v>11.21</v>
      </c>
      <c r="F402" s="3148" t="s">
        <v>4273</v>
      </c>
    </row>
    <row r="403" spans="1:6">
      <c r="A403" s="3148">
        <v>401</v>
      </c>
      <c r="B403" s="3152" t="s">
        <v>3514</v>
      </c>
      <c r="C403" s="3152" t="s">
        <v>3914</v>
      </c>
      <c r="D403" s="3152">
        <v>36.56</v>
      </c>
      <c r="E403" s="3153">
        <v>11.21</v>
      </c>
      <c r="F403" s="3148" t="s">
        <v>4273</v>
      </c>
    </row>
    <row r="404" spans="1:6">
      <c r="A404" s="3148">
        <v>402</v>
      </c>
      <c r="B404" s="3152" t="s">
        <v>3514</v>
      </c>
      <c r="C404" s="3152" t="s">
        <v>3915</v>
      </c>
      <c r="D404" s="3152">
        <v>36.56</v>
      </c>
      <c r="E404" s="3153">
        <v>11.21</v>
      </c>
      <c r="F404" s="3148" t="s">
        <v>4273</v>
      </c>
    </row>
    <row r="405" spans="1:6">
      <c r="A405" s="3148">
        <v>403</v>
      </c>
      <c r="B405" s="3152" t="s">
        <v>3514</v>
      </c>
      <c r="C405" s="3152" t="s">
        <v>3916</v>
      </c>
      <c r="D405" s="3152">
        <v>36.56</v>
      </c>
      <c r="E405" s="3153">
        <v>11.21</v>
      </c>
      <c r="F405" s="3148" t="s">
        <v>4273</v>
      </c>
    </row>
    <row r="406" spans="1:6">
      <c r="A406" s="3148">
        <v>404</v>
      </c>
      <c r="B406" s="3152" t="s">
        <v>3514</v>
      </c>
      <c r="C406" s="3152" t="s">
        <v>3917</v>
      </c>
      <c r="D406" s="3152">
        <v>36.56</v>
      </c>
      <c r="E406" s="3153">
        <v>11.21</v>
      </c>
      <c r="F406" s="3148" t="s">
        <v>4273</v>
      </c>
    </row>
    <row r="407" spans="1:6">
      <c r="A407" s="3148">
        <v>405</v>
      </c>
      <c r="B407" s="3152" t="s">
        <v>3514</v>
      </c>
      <c r="C407" s="3152" t="s">
        <v>3918</v>
      </c>
      <c r="D407" s="3152">
        <v>38.130000000000003</v>
      </c>
      <c r="E407" s="3153">
        <v>11.69</v>
      </c>
      <c r="F407" s="3148" t="s">
        <v>4273</v>
      </c>
    </row>
    <row r="408" spans="1:6">
      <c r="A408" s="3148">
        <v>406</v>
      </c>
      <c r="B408" s="3152" t="s">
        <v>3514</v>
      </c>
      <c r="C408" s="3152" t="s">
        <v>3919</v>
      </c>
      <c r="D408" s="3152">
        <v>36.56</v>
      </c>
      <c r="E408" s="3153">
        <v>11.21</v>
      </c>
      <c r="F408" s="3148" t="s">
        <v>4273</v>
      </c>
    </row>
    <row r="409" spans="1:6">
      <c r="A409" s="3148">
        <v>407</v>
      </c>
      <c r="B409" s="3152" t="s">
        <v>3514</v>
      </c>
      <c r="C409" s="3152" t="s">
        <v>3920</v>
      </c>
      <c r="D409" s="3152">
        <v>36.56</v>
      </c>
      <c r="E409" s="3153">
        <v>11.21</v>
      </c>
      <c r="F409" s="3148" t="s">
        <v>4273</v>
      </c>
    </row>
    <row r="410" spans="1:6">
      <c r="A410" s="3148">
        <v>408</v>
      </c>
      <c r="B410" s="3152" t="s">
        <v>3514</v>
      </c>
      <c r="C410" s="3152" t="s">
        <v>3921</v>
      </c>
      <c r="D410" s="3152">
        <v>38.130000000000003</v>
      </c>
      <c r="E410" s="3153">
        <v>11.69</v>
      </c>
      <c r="F410" s="3148" t="s">
        <v>4273</v>
      </c>
    </row>
    <row r="411" spans="1:6">
      <c r="A411" s="3148">
        <v>409</v>
      </c>
      <c r="B411" s="3152" t="s">
        <v>3514</v>
      </c>
      <c r="C411" s="3152" t="s">
        <v>3922</v>
      </c>
      <c r="D411" s="3152">
        <v>36.56</v>
      </c>
      <c r="E411" s="3153">
        <v>11.21</v>
      </c>
      <c r="F411" s="3148" t="s">
        <v>4273</v>
      </c>
    </row>
    <row r="412" spans="1:6">
      <c r="A412" s="3148">
        <v>410</v>
      </c>
      <c r="B412" s="3152" t="s">
        <v>3514</v>
      </c>
      <c r="C412" s="3152" t="s">
        <v>3923</v>
      </c>
      <c r="D412" s="3152">
        <v>36.56</v>
      </c>
      <c r="E412" s="3153">
        <v>11.21</v>
      </c>
      <c r="F412" s="3148" t="s">
        <v>4273</v>
      </c>
    </row>
    <row r="413" spans="1:6">
      <c r="A413" s="3148">
        <v>411</v>
      </c>
      <c r="B413" s="3152" t="s">
        <v>3514</v>
      </c>
      <c r="C413" s="3152" t="s">
        <v>3924</v>
      </c>
      <c r="D413" s="3152">
        <v>38.130000000000003</v>
      </c>
      <c r="E413" s="3153">
        <v>11.69</v>
      </c>
      <c r="F413" s="3148" t="s">
        <v>4273</v>
      </c>
    </row>
    <row r="414" spans="1:6">
      <c r="A414" s="3148">
        <v>412</v>
      </c>
      <c r="B414" s="3152" t="s">
        <v>3514</v>
      </c>
      <c r="C414" s="3152" t="s">
        <v>3925</v>
      </c>
      <c r="D414" s="3152">
        <v>36.56</v>
      </c>
      <c r="E414" s="3153">
        <v>11.21</v>
      </c>
      <c r="F414" s="3148" t="s">
        <v>4273</v>
      </c>
    </row>
    <row r="415" spans="1:6">
      <c r="A415" s="3148">
        <v>413</v>
      </c>
      <c r="B415" s="3152" t="s">
        <v>3514</v>
      </c>
      <c r="C415" s="3152" t="s">
        <v>3926</v>
      </c>
      <c r="D415" s="3152">
        <v>36.56</v>
      </c>
      <c r="E415" s="3153">
        <v>11.21</v>
      </c>
      <c r="F415" s="3148" t="s">
        <v>4273</v>
      </c>
    </row>
    <row r="416" spans="1:6">
      <c r="A416" s="3148">
        <v>414</v>
      </c>
      <c r="B416" s="3152" t="s">
        <v>3514</v>
      </c>
      <c r="C416" s="3152" t="s">
        <v>3927</v>
      </c>
      <c r="D416" s="3152">
        <v>38.130000000000003</v>
      </c>
      <c r="E416" s="3153">
        <v>11.69</v>
      </c>
      <c r="F416" s="3148" t="s">
        <v>4273</v>
      </c>
    </row>
    <row r="417" spans="1:6">
      <c r="A417" s="3148">
        <v>415</v>
      </c>
      <c r="B417" s="3152" t="s">
        <v>3514</v>
      </c>
      <c r="C417" s="3152" t="s">
        <v>3928</v>
      </c>
      <c r="D417" s="3152">
        <v>36.56</v>
      </c>
      <c r="E417" s="3153">
        <v>11.21</v>
      </c>
      <c r="F417" s="3148" t="s">
        <v>4273</v>
      </c>
    </row>
    <row r="418" spans="1:6">
      <c r="A418" s="3148">
        <v>416</v>
      </c>
      <c r="B418" s="3152" t="s">
        <v>3514</v>
      </c>
      <c r="C418" s="3152" t="s">
        <v>3929</v>
      </c>
      <c r="D418" s="3152">
        <v>36.56</v>
      </c>
      <c r="E418" s="3153">
        <v>11.21</v>
      </c>
      <c r="F418" s="3148" t="s">
        <v>4273</v>
      </c>
    </row>
    <row r="419" spans="1:6">
      <c r="A419" s="3148">
        <v>417</v>
      </c>
      <c r="B419" s="3152" t="s">
        <v>3514</v>
      </c>
      <c r="C419" s="3152" t="s">
        <v>3930</v>
      </c>
      <c r="D419" s="3152">
        <v>38.130000000000003</v>
      </c>
      <c r="E419" s="3153">
        <v>11.69</v>
      </c>
      <c r="F419" s="3148" t="s">
        <v>4273</v>
      </c>
    </row>
    <row r="420" spans="1:6">
      <c r="A420" s="3148">
        <v>418</v>
      </c>
      <c r="B420" s="3152" t="s">
        <v>3514</v>
      </c>
      <c r="C420" s="3152" t="s">
        <v>3931</v>
      </c>
      <c r="D420" s="3152">
        <v>36.56</v>
      </c>
      <c r="E420" s="3153">
        <v>11.21</v>
      </c>
      <c r="F420" s="3148" t="s">
        <v>4273</v>
      </c>
    </row>
    <row r="421" spans="1:6">
      <c r="A421" s="3148">
        <v>419</v>
      </c>
      <c r="B421" s="3152" t="s">
        <v>3514</v>
      </c>
      <c r="C421" s="3152" t="s">
        <v>3932</v>
      </c>
      <c r="D421" s="3152">
        <v>36.56</v>
      </c>
      <c r="E421" s="3153">
        <v>11.21</v>
      </c>
      <c r="F421" s="3148" t="s">
        <v>4273</v>
      </c>
    </row>
    <row r="422" spans="1:6">
      <c r="A422" s="3148">
        <v>420</v>
      </c>
      <c r="B422" s="3152" t="s">
        <v>3514</v>
      </c>
      <c r="C422" s="3152" t="s">
        <v>3933</v>
      </c>
      <c r="D422" s="3152">
        <v>36.56</v>
      </c>
      <c r="E422" s="3153">
        <v>11.21</v>
      </c>
      <c r="F422" s="3148" t="s">
        <v>4273</v>
      </c>
    </row>
    <row r="423" spans="1:6">
      <c r="A423" s="3148">
        <v>421</v>
      </c>
      <c r="B423" s="3152" t="s">
        <v>3514</v>
      </c>
      <c r="C423" s="3152">
        <v>-101</v>
      </c>
      <c r="D423" s="3152">
        <v>7514.68</v>
      </c>
      <c r="E423" s="3153">
        <v>2304.17</v>
      </c>
      <c r="F423" s="3148" t="s">
        <v>4277</v>
      </c>
    </row>
    <row r="424" spans="1:6" ht="14.25" customHeight="1">
      <c r="A424" s="3148" t="s">
        <v>4275</v>
      </c>
      <c r="B424" s="3152"/>
      <c r="C424" s="3152"/>
      <c r="D424" s="3153">
        <f>SUM(D3:D423)</f>
        <v>66017.299999998999</v>
      </c>
      <c r="E424" s="3153">
        <f>ROUND(SUM(E3:E423),2)</f>
        <v>20242.14</v>
      </c>
      <c r="F424" s="3148"/>
    </row>
    <row r="425" spans="1:6" ht="14.25" customHeight="1">
      <c r="A425" s="3154" t="s">
        <v>4278</v>
      </c>
      <c r="B425" s="3150"/>
      <c r="C425" s="3150"/>
      <c r="D425" s="3151">
        <f>D3+D423</f>
        <v>50377.97</v>
      </c>
      <c r="E425" s="3151">
        <f>E3+E423</f>
        <v>15447</v>
      </c>
    </row>
    <row r="426" spans="1:6" ht="14.25" customHeight="1">
      <c r="A426" s="3154" t="s">
        <v>4279</v>
      </c>
      <c r="D426" s="3154">
        <f>SUM(D4:D422)</f>
        <v>15639.329999999913</v>
      </c>
      <c r="E426" s="3154">
        <f>SUM(E4:E422)</f>
        <v>4795.1400000000076</v>
      </c>
    </row>
    <row r="427" spans="1:6">
      <c r="A427" s="3154" t="s">
        <v>4280</v>
      </c>
      <c r="D427" s="3154">
        <f>D426+D423</f>
        <v>23154.009999999915</v>
      </c>
      <c r="E427" s="3154">
        <f>E426+E423</f>
        <v>7099.3100000000077</v>
      </c>
    </row>
    <row r="766" spans="7:7">
      <c r="G766" s="3154">
        <f>L342-L341-L3</f>
        <v>14328.12000000017</v>
      </c>
    </row>
    <row r="771" spans="5:5">
      <c r="E771" s="3154">
        <f>M343-M344</f>
        <v>9112.0199999999859</v>
      </c>
    </row>
  </sheetData>
  <autoFilter ref="I2:N345"/>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workbookViewId="0">
      <selection activeCell="G11" sqref="G11:G12"/>
    </sheetView>
  </sheetViews>
  <sheetFormatPr defaultRowHeight="13.5"/>
  <cols>
    <col min="2" max="2" width="16.625" customWidth="1"/>
  </cols>
  <sheetData>
    <row r="3" spans="2:5">
      <c r="C3" s="1402" t="s">
        <v>4360</v>
      </c>
    </row>
    <row r="4" spans="2:5">
      <c r="B4" s="1402" t="s">
        <v>4359</v>
      </c>
      <c r="C4">
        <f>ROUND(57993139.41/10000,0)</f>
        <v>5799</v>
      </c>
    </row>
    <row r="5" spans="2:5">
      <c r="B5" s="1402" t="s">
        <v>4361</v>
      </c>
      <c r="C5">
        <f>ROUND(161652154.56/10000,0)</f>
        <v>16165</v>
      </c>
    </row>
    <row r="6" spans="2:5">
      <c r="B6" s="1402" t="s">
        <v>4362</v>
      </c>
      <c r="C6">
        <f>ROUND(176487889.98/10000,0)</f>
        <v>17649</v>
      </c>
    </row>
    <row r="7" spans="2:5">
      <c r="B7" s="1402" t="s">
        <v>4363</v>
      </c>
      <c r="C7">
        <f>ROUND(100695233.97/10000,0)</f>
        <v>10070</v>
      </c>
    </row>
    <row r="8" spans="2:5">
      <c r="E8" s="1402"/>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11"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8" style="1558" customWidth="1"/>
    <col min="32" max="33" width="7.25" style="1558" customWidth="1"/>
    <col min="34" max="34" width="10.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1159</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1160</v>
      </c>
      <c r="B2" s="982">
        <f>项目基本情况!D3</f>
        <v>45604</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1161</v>
      </c>
      <c r="B4" s="1561"/>
      <c r="C4" s="1562"/>
      <c r="D4" s="1563"/>
      <c r="E4" s="1562" t="s">
        <v>1162</v>
      </c>
      <c r="F4" s="1562"/>
      <c r="G4" s="1562"/>
      <c r="H4" s="1562"/>
      <c r="I4" s="1562"/>
      <c r="J4" s="1564"/>
      <c r="K4" s="1565"/>
      <c r="L4" s="1566"/>
      <c r="M4" s="1562"/>
      <c r="N4" s="1562" t="s">
        <v>1163</v>
      </c>
      <c r="O4" s="1562"/>
      <c r="P4" s="1562"/>
      <c r="Q4" s="1562"/>
      <c r="R4" s="1562"/>
      <c r="S4" s="1564"/>
      <c r="T4" s="2435" t="str">
        <f>'数据-汇总表'!I17</f>
        <v>按面积比例</v>
      </c>
      <c r="U4" s="1561" t="s">
        <v>1164</v>
      </c>
      <c r="V4" s="1562"/>
      <c r="W4" s="1562"/>
      <c r="X4" s="1562"/>
      <c r="Y4" s="1564"/>
      <c r="Z4" s="1532" t="s">
        <v>1165</v>
      </c>
      <c r="AA4" s="1532"/>
      <c r="AB4" s="1532"/>
      <c r="AC4" s="1532"/>
      <c r="AD4" s="1532"/>
      <c r="AE4" s="1530" t="s">
        <v>1166</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0.5">
      <c r="A5" s="1568" t="s">
        <v>1167</v>
      </c>
      <c r="B5" s="1569" t="s">
        <v>1168</v>
      </c>
      <c r="C5" s="1570" t="s">
        <v>1169</v>
      </c>
      <c r="D5" s="1571" t="s">
        <v>1170</v>
      </c>
      <c r="E5" s="502" t="s">
        <v>1171</v>
      </c>
      <c r="F5" s="1572" t="s">
        <v>1172</v>
      </c>
      <c r="G5" s="502" t="s">
        <v>1173</v>
      </c>
      <c r="H5" s="502" t="s">
        <v>1174</v>
      </c>
      <c r="I5" s="502" t="s">
        <v>1175</v>
      </c>
      <c r="J5" s="1244" t="s">
        <v>1176</v>
      </c>
      <c r="K5" s="1573" t="s">
        <v>1177</v>
      </c>
      <c r="L5" s="1574" t="s">
        <v>1178</v>
      </c>
      <c r="M5" s="1575" t="s">
        <v>1179</v>
      </c>
      <c r="N5" s="1576" t="s">
        <v>4308</v>
      </c>
      <c r="O5" s="1574" t="s">
        <v>1180</v>
      </c>
      <c r="P5" s="1577" t="s">
        <v>1181</v>
      </c>
      <c r="Q5" s="58" t="s">
        <v>1182</v>
      </c>
      <c r="R5" s="1578" t="s">
        <v>1183</v>
      </c>
      <c r="S5" s="1579" t="s">
        <v>1184</v>
      </c>
      <c r="T5" s="1580" t="s">
        <v>1185</v>
      </c>
      <c r="U5" s="983" t="s">
        <v>1186</v>
      </c>
      <c r="V5" s="502" t="s">
        <v>1187</v>
      </c>
      <c r="W5" s="502" t="s">
        <v>1188</v>
      </c>
      <c r="X5" s="60"/>
      <c r="Y5" s="59" t="s">
        <v>1189</v>
      </c>
      <c r="Z5" s="1098" t="s">
        <v>1186</v>
      </c>
      <c r="AA5" s="502" t="s">
        <v>1187</v>
      </c>
      <c r="AB5" s="502" t="s">
        <v>1188</v>
      </c>
      <c r="AC5" s="60"/>
      <c r="AD5" s="60" t="s">
        <v>1189</v>
      </c>
      <c r="AE5" s="983" t="s">
        <v>1190</v>
      </c>
      <c r="AF5" s="502" t="s">
        <v>1191</v>
      </c>
      <c r="AG5" s="59" t="s">
        <v>1192</v>
      </c>
      <c r="AH5" s="983" t="s">
        <v>1193</v>
      </c>
      <c r="AI5" s="1098" t="s">
        <v>1194</v>
      </c>
      <c r="AJ5" s="1098" t="s">
        <v>1195</v>
      </c>
      <c r="AK5" s="502" t="s">
        <v>1196</v>
      </c>
      <c r="AL5" s="502" t="s">
        <v>1197</v>
      </c>
      <c r="AM5" s="59" t="s">
        <v>1198</v>
      </c>
      <c r="AN5" s="1581" t="s">
        <v>1199</v>
      </c>
      <c r="AO5" s="1451" t="s">
        <v>1200</v>
      </c>
      <c r="AP5" s="966" t="s">
        <v>1201</v>
      </c>
      <c r="AQ5" s="1582" t="s">
        <v>1202</v>
      </c>
      <c r="AR5" s="1582"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商业综合体</v>
      </c>
      <c r="B6" s="1584" t="str">
        <f>IF(A6=0,"","经营性")</f>
        <v>经营性</v>
      </c>
      <c r="C6" s="1585" t="s">
        <v>672</v>
      </c>
      <c r="D6" s="803">
        <f>SUMIF(项目基本情况!C$12:I$12,C6,项目基本情况!C$14:I$14)</f>
        <v>40</v>
      </c>
      <c r="E6" s="802">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89">
        <v>0.05</v>
      </c>
      <c r="I6" s="689">
        <v>0.06</v>
      </c>
      <c r="J6" s="63">
        <v>7.4999999999999997E-2</v>
      </c>
      <c r="K6" s="968">
        <f>SUMIF('数据-汇总表'!C$19:C$33,A6,'数据-汇总表'!E$19:E$33)</f>
        <v>68049.77999999997</v>
      </c>
      <c r="L6" s="3183">
        <v>5600</v>
      </c>
      <c r="M6" s="64">
        <f t="shared" ref="M6:M14" si="0">ROUND(K6*L6/10000,0)</f>
        <v>38108</v>
      </c>
      <c r="N6" s="688">
        <f>ROUND(1-(1-0%)*(2024-N18)/60,2)</f>
        <v>0.95</v>
      </c>
      <c r="O6" s="64" t="str">
        <f>IF($N$5="成新度","——",ROUND(M6*N6,0))</f>
        <v>——</v>
      </c>
      <c r="P6" s="65" t="str">
        <f>IF($N$5="成新度","——",M6-O6)</f>
        <v>——</v>
      </c>
      <c r="Q6" s="691">
        <v>0.25</v>
      </c>
      <c r="R6" s="66">
        <f ca="1">SUMIF('数据-汇总表'!C$19:C$33,A6,'数据-汇总表'!R$19:R$27)</f>
        <v>15742.02</v>
      </c>
      <c r="S6" s="49">
        <f>IF('数据-汇总表'!$I$17="按面积比例",SUMIF('数据-汇总表'!C$19:C$33,A6,'数据-汇总表'!K$19:K$33),SUMIF('数据-汇总表'!C$19:C$33,A6,'数据-汇总表'!N$19:N$33))</f>
        <v>0</v>
      </c>
      <c r="T6" s="1090">
        <f>ROUND($L$14*S6/10000,0)</f>
        <v>0</v>
      </c>
      <c r="U6" s="3177">
        <v>4</v>
      </c>
      <c r="V6" s="67">
        <v>0</v>
      </c>
      <c r="W6" s="67">
        <v>0.1</v>
      </c>
      <c r="X6" s="977"/>
      <c r="Y6" s="68">
        <f>N6</f>
        <v>0.95</v>
      </c>
      <c r="Z6" s="69"/>
      <c r="AA6" s="63"/>
      <c r="AB6" s="63"/>
      <c r="AC6" s="977"/>
      <c r="AD6" s="70"/>
      <c r="AE6" s="978">
        <f ca="1">IF(AN6="",0,SUMIF(INDIRECT("'"&amp;AN6&amp;"'"&amp;"!E:E"),$AE$5,INDIRECT("'"&amp;AN6&amp;"'"&amp;"!F:F")))</f>
        <v>32.15</v>
      </c>
      <c r="AF6" s="74"/>
      <c r="AG6" s="128">
        <f>IF(AF6="",0,AE6-AF6)</f>
        <v>0</v>
      </c>
      <c r="AH6" s="3179"/>
      <c r="AI6" s="73">
        <v>365</v>
      </c>
      <c r="AJ6" s="74"/>
      <c r="AK6" s="3181">
        <v>5.0000000000000001E-3</v>
      </c>
      <c r="AL6" s="76">
        <v>1E-3</v>
      </c>
      <c r="AM6" s="3178">
        <v>1.4999999999999999E-2</v>
      </c>
      <c r="AN6" s="1586" t="s">
        <v>4322</v>
      </c>
      <c r="AO6" s="50">
        <f ca="1">SUMIF(INDIRECT("'"&amp;AN6&amp;"'"&amp;"!A:A"),"总价",INDIRECT("'"&amp;AN6&amp;"'"&amp;"!B:B"))</f>
        <v>100536</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5"/>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1204</v>
      </c>
      <c r="B14" s="1584" t="s">
        <v>1205</v>
      </c>
      <c r="C14" s="1589" t="s">
        <v>1204</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1206</v>
      </c>
      <c r="B15" s="1584" t="s">
        <v>1205</v>
      </c>
      <c r="C15" s="1589" t="s">
        <v>1207</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1208</v>
      </c>
      <c r="B16" s="82"/>
      <c r="C16" s="781"/>
      <c r="D16" s="1591"/>
      <c r="E16" s="82"/>
      <c r="F16" s="82"/>
      <c r="G16" s="83">
        <f>ROUND(SUMPRODUCT(G6:G13,K6:K13)/SUMPRODUCT((G6:G13&gt;0)*(K6:K13)),3)</f>
        <v>0.92300000000000004</v>
      </c>
      <c r="H16" s="84">
        <f>ROUND(SUMPRODUCT(H6:H13,K6:K13)/SUMPRODUCT((H6:H13&gt;0)*(K6:K13)),3)</f>
        <v>0.05</v>
      </c>
      <c r="I16" s="85"/>
      <c r="J16" s="85"/>
      <c r="K16" s="86">
        <f>SUM(K6:K15)</f>
        <v>68049.77999999997</v>
      </c>
      <c r="L16" s="87">
        <f>ROUND(M16*10000/SUM(K6:K14),0)</f>
        <v>5600</v>
      </c>
      <c r="M16" s="87">
        <f>SUM(M6:M14)</f>
        <v>38108</v>
      </c>
      <c r="N16" s="88">
        <f>ROUND(SUMPRODUCT(M6:M14,N6:N14)/M16,3)</f>
        <v>0.95</v>
      </c>
      <c r="O16" s="87">
        <f>SUM(O6:O14)</f>
        <v>0</v>
      </c>
      <c r="P16" s="87">
        <f>SUM(P6:P14)</f>
        <v>0</v>
      </c>
      <c r="Q16" s="89">
        <f>ROUND(SUMPRODUCT(Q6:Q13,K6:K13)/SUMPRODUCT((Q6:Q13&gt;0)*(K6:K13)),2)</f>
        <v>0.25</v>
      </c>
      <c r="R16" s="972">
        <f ca="1">SUM(R6:R13)</f>
        <v>15742.02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6"/>
      <c r="D18" s="2449"/>
      <c r="E18" s="2436"/>
      <c r="F18" s="2436"/>
      <c r="G18" s="2436"/>
      <c r="H18" s="2436">
        <v>5</v>
      </c>
      <c r="I18" s="2436">
        <v>6</v>
      </c>
      <c r="J18" s="2436">
        <v>7.5</v>
      </c>
      <c r="K18" s="2447"/>
      <c r="L18" s="2447">
        <v>5200</v>
      </c>
      <c r="M18" s="2446"/>
      <c r="N18" s="2446">
        <v>2021</v>
      </c>
      <c r="O18" s="2446"/>
      <c r="P18" s="2446"/>
      <c r="Q18" s="2446">
        <v>30</v>
      </c>
      <c r="R18" s="2446"/>
      <c r="S18" s="2446"/>
      <c r="T18" s="2446"/>
      <c r="U18" s="2446">
        <v>5</v>
      </c>
      <c r="V18" s="2446"/>
      <c r="W18" s="2446"/>
      <c r="X18" s="2446"/>
      <c r="Y18" s="2446"/>
      <c r="Z18" s="2446"/>
      <c r="AA18" s="2446"/>
      <c r="AB18" s="2446"/>
      <c r="AC18" s="2446"/>
      <c r="AD18" s="2446"/>
      <c r="AE18" s="2446"/>
      <c r="AF18" s="2446"/>
      <c r="AG18" s="2446"/>
      <c r="AH18" s="2446">
        <v>53721.66</v>
      </c>
      <c r="AI18" s="2446"/>
      <c r="AJ18" s="2446"/>
      <c r="AK18" s="2446">
        <v>1</v>
      </c>
      <c r="AL18" s="2446">
        <v>0.1</v>
      </c>
      <c r="AM18" s="2446">
        <v>2</v>
      </c>
      <c r="AN18" s="2446"/>
      <c r="AO18" s="2446"/>
      <c r="AP18" s="2446"/>
      <c r="AQ18" s="2446"/>
      <c r="AR18" s="2446"/>
    </row>
    <row r="19" spans="1:44" ht="14.25">
      <c r="A19" s="1593" t="s">
        <v>1210</v>
      </c>
      <c r="B19" s="97">
        <v>0</v>
      </c>
      <c r="C19" s="2558" t="s">
        <v>2298</v>
      </c>
      <c r="D19" s="2449"/>
      <c r="E19" s="2436"/>
      <c r="F19" s="2436"/>
      <c r="G19" s="2436"/>
      <c r="H19" s="2436"/>
      <c r="I19" s="2436"/>
      <c r="J19" s="2436"/>
      <c r="K19" s="2447"/>
      <c r="L19" s="2447"/>
      <c r="M19" s="2446"/>
      <c r="N19" s="2446"/>
      <c r="O19" s="2446"/>
      <c r="P19" s="2446"/>
      <c r="Q19" s="2446">
        <f>Q16/B20</f>
        <v>8.3333333333333329E-2</v>
      </c>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1211</v>
      </c>
      <c r="B20" s="98">
        <v>3</v>
      </c>
      <c r="C20" s="2559" t="s">
        <v>2296</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1212</v>
      </c>
      <c r="B21" s="98">
        <f>B20</f>
        <v>3</v>
      </c>
      <c r="C21" s="2436"/>
      <c r="D21" s="2449"/>
      <c r="E21" s="2436">
        <v>3</v>
      </c>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1213</v>
      </c>
      <c r="B22" s="99">
        <f>B19+B20</f>
        <v>3</v>
      </c>
      <c r="C22" s="2436"/>
      <c r="D22" s="2449"/>
      <c r="E22" s="2436"/>
      <c r="F22" s="2436"/>
      <c r="G22" s="2436"/>
      <c r="H22" s="2436"/>
      <c r="I22" s="2436"/>
      <c r="J22" s="2436"/>
      <c r="K22" s="2447"/>
      <c r="L22" s="2447"/>
      <c r="M22" s="2446"/>
      <c r="N22" s="2446"/>
      <c r="O22" s="2446"/>
      <c r="P22" s="2446"/>
      <c r="Q22" s="2446"/>
      <c r="R22" s="3156" t="s">
        <v>4309</v>
      </c>
      <c r="S22" s="3156" t="s">
        <v>4370</v>
      </c>
      <c r="T22" s="3156" t="s">
        <v>4310</v>
      </c>
      <c r="U22" s="3156" t="s">
        <v>4311</v>
      </c>
      <c r="V22" s="2447"/>
      <c r="W22" s="2447"/>
      <c r="X22" s="2447"/>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1214</v>
      </c>
      <c r="B23" s="99">
        <f>B19+B21</f>
        <v>3</v>
      </c>
      <c r="C23" s="2436"/>
      <c r="D23" s="2449"/>
      <c r="E23" s="2436"/>
      <c r="F23" s="2436"/>
      <c r="G23" s="2436"/>
      <c r="H23" s="2436"/>
      <c r="I23" s="2436"/>
      <c r="J23" s="2436"/>
      <c r="K23" s="2447"/>
      <c r="L23" s="2447"/>
      <c r="M23" s="2446"/>
      <c r="N23" s="2446"/>
      <c r="O23" s="2446"/>
      <c r="P23" s="2446"/>
      <c r="Q23" s="2446"/>
      <c r="R23" s="2447">
        <v>1</v>
      </c>
      <c r="S23" s="2447">
        <f>面积指标!I20</f>
        <v>8714.39</v>
      </c>
      <c r="T23" s="2447">
        <v>1</v>
      </c>
      <c r="U23" s="2447">
        <v>7</v>
      </c>
      <c r="V23" s="2447">
        <f>S23*U23</f>
        <v>61000.729999999996</v>
      </c>
      <c r="W23" s="2447"/>
      <c r="X23" s="2447">
        <v>8</v>
      </c>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1215</v>
      </c>
      <c r="B24" s="100">
        <f>B20-B21</f>
        <v>0</v>
      </c>
      <c r="C24" s="2436"/>
      <c r="D24" s="2449"/>
      <c r="E24" s="2436"/>
      <c r="F24" s="2436"/>
      <c r="G24" s="2436"/>
      <c r="H24" s="2436"/>
      <c r="I24" s="2436"/>
      <c r="J24" s="2447" t="s">
        <v>4365</v>
      </c>
      <c r="K24" s="3156" t="s">
        <v>4298</v>
      </c>
      <c r="L24" s="3163" t="s">
        <v>4299</v>
      </c>
      <c r="M24" s="3163" t="s">
        <v>4300</v>
      </c>
      <c r="N24" s="2446"/>
      <c r="O24" s="2446"/>
      <c r="P24" s="2446"/>
      <c r="Q24" s="2446"/>
      <c r="R24" s="2447">
        <v>2</v>
      </c>
      <c r="S24" s="2447">
        <f>面积指标!I21</f>
        <v>8586.61</v>
      </c>
      <c r="T24" s="2447">
        <v>0.75</v>
      </c>
      <c r="U24" s="2447">
        <f>$U$23*T24</f>
        <v>5.25</v>
      </c>
      <c r="V24" s="2447">
        <f t="shared" ref="V24:V29" si="12">S24*U24</f>
        <v>45079.702499999999</v>
      </c>
      <c r="W24" s="2447"/>
      <c r="X24" s="2447"/>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3159" t="s">
        <v>4301</v>
      </c>
      <c r="K25" s="3160"/>
      <c r="L25" s="3160">
        <f>ROUND(M31/K26,0)</f>
        <v>5015</v>
      </c>
      <c r="M25" s="3160"/>
      <c r="N25" s="2446"/>
      <c r="O25" s="2446"/>
      <c r="P25" s="2446"/>
      <c r="Q25" s="2446"/>
      <c r="R25" s="2447">
        <v>3</v>
      </c>
      <c r="S25" s="2447">
        <f>面积指标!I22</f>
        <v>8708.4500000000007</v>
      </c>
      <c r="T25" s="2447">
        <v>0.65</v>
      </c>
      <c r="U25" s="2447">
        <f t="shared" ref="U25:U29" si="13">$U$23*T25</f>
        <v>4.55</v>
      </c>
      <c r="V25" s="2447">
        <f t="shared" si="12"/>
        <v>39623.447500000002</v>
      </c>
      <c r="W25" s="2447"/>
      <c r="X25" s="2447"/>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59" t="s">
        <v>1216</v>
      </c>
      <c r="B26" s="1597" t="s">
        <v>1217</v>
      </c>
      <c r="C26" s="2450" t="s">
        <v>1218</v>
      </c>
      <c r="D26" s="2449"/>
      <c r="E26" s="2436"/>
      <c r="F26" s="2436"/>
      <c r="G26" s="2436"/>
      <c r="H26" s="2436"/>
      <c r="I26" s="2436"/>
      <c r="J26" s="3161" t="s">
        <v>4302</v>
      </c>
      <c r="K26" s="3162">
        <f>K27+K28</f>
        <v>79648.209999999992</v>
      </c>
      <c r="L26" s="3162">
        <f>ROUND(M26/K26,0)</f>
        <v>3115</v>
      </c>
      <c r="M26" s="3162">
        <f>M27+M28</f>
        <v>248066045</v>
      </c>
      <c r="N26" s="3158"/>
      <c r="O26" s="2446"/>
      <c r="P26" s="2446"/>
      <c r="Q26" s="2446"/>
      <c r="R26" s="2447">
        <v>4</v>
      </c>
      <c r="S26" s="2447">
        <f>面积指标!I23</f>
        <v>8552.11</v>
      </c>
      <c r="T26" s="2447">
        <v>0.6</v>
      </c>
      <c r="U26" s="2447">
        <f t="shared" si="13"/>
        <v>4.2</v>
      </c>
      <c r="V26" s="2447">
        <f t="shared" si="12"/>
        <v>35918.862000000001</v>
      </c>
      <c r="W26" s="2447"/>
      <c r="X26" s="2447"/>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8" t="s">
        <v>1219</v>
      </c>
      <c r="B27" s="101">
        <v>150</v>
      </c>
      <c r="C27" s="2560" t="s">
        <v>2300</v>
      </c>
      <c r="D27" s="2452"/>
      <c r="E27" s="2437"/>
      <c r="F27" s="2437"/>
      <c r="G27" s="2436"/>
      <c r="H27" s="2436"/>
      <c r="I27" s="2436"/>
      <c r="J27" s="3161" t="s">
        <v>4303</v>
      </c>
      <c r="K27" s="3162">
        <f>面积指标!I28</f>
        <v>44140.36</v>
      </c>
      <c r="L27" s="3162">
        <v>2000</v>
      </c>
      <c r="M27" s="3162">
        <f>L27*K27</f>
        <v>88280720</v>
      </c>
      <c r="N27" s="2446"/>
      <c r="O27" s="2446"/>
      <c r="P27" s="2446"/>
      <c r="Q27" s="2446"/>
      <c r="R27" s="2447">
        <v>5</v>
      </c>
      <c r="S27" s="2447">
        <f>面积指标!I24</f>
        <v>7982.25</v>
      </c>
      <c r="T27" s="2447">
        <f>T26</f>
        <v>0.6</v>
      </c>
      <c r="U27" s="2447">
        <f t="shared" si="13"/>
        <v>4.2</v>
      </c>
      <c r="V27" s="2447">
        <f t="shared" si="12"/>
        <v>33525.450000000004</v>
      </c>
      <c r="W27" s="2447"/>
      <c r="X27" s="2447"/>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1220</v>
      </c>
      <c r="B28" s="103">
        <v>190</v>
      </c>
      <c r="C28" s="2453"/>
      <c r="D28" s="2452"/>
      <c r="E28" s="2437"/>
      <c r="F28" s="2437"/>
      <c r="G28" s="2436"/>
      <c r="H28" s="2436"/>
      <c r="I28" s="2436"/>
      <c r="J28" s="3161" t="s">
        <v>4304</v>
      </c>
      <c r="K28" s="3164">
        <f>面积指标!D25+面积指标!D28</f>
        <v>35507.85</v>
      </c>
      <c r="L28" s="3162">
        <v>4500</v>
      </c>
      <c r="M28" s="3162">
        <f t="shared" ref="M28:M30" si="14">L28*K28</f>
        <v>159785325</v>
      </c>
      <c r="N28" s="2446"/>
      <c r="O28" s="2446"/>
      <c r="P28" s="2446"/>
      <c r="Q28" s="2446"/>
      <c r="R28" s="2447">
        <v>6</v>
      </c>
      <c r="S28" s="2447">
        <f>面积指标!I25+面积指标!I26+面积指标!I27</f>
        <v>1596.5500000000002</v>
      </c>
      <c r="T28" s="2447">
        <f>T26</f>
        <v>0.6</v>
      </c>
      <c r="U28" s="2447">
        <f t="shared" si="13"/>
        <v>4.2</v>
      </c>
      <c r="V28" s="2447">
        <f t="shared" si="12"/>
        <v>6705.5100000000011</v>
      </c>
      <c r="W28" s="2447"/>
      <c r="X28" s="2447"/>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1221</v>
      </c>
      <c r="B29" s="105">
        <f ca="1">成本法!C10</f>
        <v>1293</v>
      </c>
      <c r="C29" s="2561" t="s">
        <v>2289</v>
      </c>
      <c r="D29" s="2452"/>
      <c r="E29" s="2437"/>
      <c r="F29" s="2437"/>
      <c r="G29" s="2436"/>
      <c r="H29" s="2436"/>
      <c r="I29" s="2436"/>
      <c r="J29" s="3161" t="s">
        <v>4305</v>
      </c>
      <c r="K29" s="3162">
        <f>K26</f>
        <v>79648.209999999992</v>
      </c>
      <c r="L29" s="3162">
        <v>700</v>
      </c>
      <c r="M29" s="3162">
        <f t="shared" si="14"/>
        <v>55753746.999999993</v>
      </c>
      <c r="N29" s="2446"/>
      <c r="O29" s="2446"/>
      <c r="P29" s="2446"/>
      <c r="Q29" s="2446"/>
      <c r="R29" s="3167" t="s">
        <v>4313</v>
      </c>
      <c r="S29" s="2447">
        <f>面积指标!D21</f>
        <v>9581.2999999999993</v>
      </c>
      <c r="T29" s="2447">
        <v>0.7</v>
      </c>
      <c r="U29" s="2447">
        <f t="shared" si="13"/>
        <v>4.8999999999999995</v>
      </c>
      <c r="V29" s="2447">
        <f t="shared" si="12"/>
        <v>46948.369999999988</v>
      </c>
      <c r="W29" s="2447"/>
      <c r="X29" s="2447"/>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1222</v>
      </c>
      <c r="B30" s="636">
        <v>200</v>
      </c>
      <c r="C30" s="2453"/>
      <c r="D30" s="2452"/>
      <c r="E30" s="2437"/>
      <c r="F30" s="2437"/>
      <c r="G30" s="2436"/>
      <c r="H30" s="2436"/>
      <c r="I30" s="2436"/>
      <c r="J30" s="3161" t="s">
        <v>4306</v>
      </c>
      <c r="K30" s="3162">
        <f>K26</f>
        <v>79648.209999999992</v>
      </c>
      <c r="L30" s="3162">
        <v>1200</v>
      </c>
      <c r="M30" s="3162">
        <f t="shared" si="14"/>
        <v>95577851.999999985</v>
      </c>
      <c r="N30" s="2446"/>
      <c r="O30" s="2446"/>
      <c r="P30" s="2446"/>
      <c r="Q30" s="2446"/>
      <c r="R30" s="3156" t="s">
        <v>4300</v>
      </c>
      <c r="S30" s="2447">
        <f>S23+S24+S25+S26+S27+S28+S29</f>
        <v>53721.66</v>
      </c>
      <c r="T30" s="2447"/>
      <c r="U30" s="2447">
        <f>ROUND(V30/S30,1)</f>
        <v>5</v>
      </c>
      <c r="V30" s="2447">
        <f t="shared" ref="V30" si="15">V23+V24+V25+V26+V27+V28+V29</f>
        <v>268802.07199999999</v>
      </c>
      <c r="W30" s="2447"/>
      <c r="X30" s="2447"/>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1223</v>
      </c>
      <c r="B31" s="104">
        <f>B30-B32</f>
        <v>200</v>
      </c>
      <c r="C31" s="2451"/>
      <c r="D31" s="2452"/>
      <c r="E31" s="2437"/>
      <c r="F31" s="2437"/>
      <c r="G31" s="2436"/>
      <c r="H31" s="2436"/>
      <c r="I31" s="2436"/>
      <c r="J31" s="3159" t="s">
        <v>4307</v>
      </c>
      <c r="K31" s="3157">
        <f>K16</f>
        <v>68049.77999999997</v>
      </c>
      <c r="L31" s="3160">
        <f>ROUND(M31/K31,0)</f>
        <v>5869</v>
      </c>
      <c r="M31" s="3160">
        <f>M26+M29+M30</f>
        <v>399397644</v>
      </c>
      <c r="N31" s="2446"/>
      <c r="O31" s="2446"/>
      <c r="P31" s="2446"/>
      <c r="Q31" s="2446"/>
      <c r="R31" s="2447"/>
      <c r="S31" s="2447"/>
      <c r="T31" s="2447"/>
      <c r="U31" s="2447"/>
      <c r="V31" s="2447"/>
      <c r="W31" s="2447"/>
      <c r="X31" s="2447"/>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1224</v>
      </c>
      <c r="B32" s="637"/>
      <c r="C32" s="2453"/>
      <c r="D32" s="2449"/>
      <c r="E32" s="2436"/>
      <c r="F32" s="2436"/>
      <c r="G32" s="2436"/>
      <c r="H32" s="2436"/>
      <c r="I32" s="2436"/>
      <c r="J32" s="3165"/>
      <c r="K32" s="3166"/>
      <c r="L32" s="3166"/>
      <c r="M32" s="3166"/>
      <c r="N32" s="2446"/>
      <c r="O32" s="2446"/>
      <c r="P32" s="2446"/>
      <c r="Q32" s="2446"/>
      <c r="R32" s="3156"/>
      <c r="S32" s="3156" t="s">
        <v>4312</v>
      </c>
      <c r="T32" s="3156" t="s">
        <v>4315</v>
      </c>
      <c r="U32" s="3156" t="s">
        <v>4311</v>
      </c>
      <c r="V32" s="2447"/>
      <c r="W32" s="3156" t="s">
        <v>4317</v>
      </c>
      <c r="X32" s="2447"/>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1225</v>
      </c>
      <c r="B33" s="638">
        <v>0.05</v>
      </c>
      <c r="C33" s="2562" t="s">
        <v>3373</v>
      </c>
      <c r="D33" s="2449"/>
      <c r="E33" s="2436">
        <v>5</v>
      </c>
      <c r="F33" s="2436"/>
      <c r="G33" s="2436"/>
      <c r="H33" s="2436"/>
      <c r="I33" s="2436"/>
      <c r="J33" s="2436"/>
      <c r="K33" s="2447"/>
      <c r="L33" s="2447"/>
      <c r="M33" s="2446"/>
      <c r="N33" s="2446"/>
      <c r="O33" s="2446"/>
      <c r="P33" s="2446"/>
      <c r="Q33" s="2446"/>
      <c r="R33" s="3156" t="s">
        <v>4314</v>
      </c>
      <c r="S33" s="2447">
        <f>面积指标!D20</f>
        <v>14328.11999999997</v>
      </c>
      <c r="T33" s="2447">
        <f>面积指标!E20</f>
        <v>337</v>
      </c>
      <c r="U33" s="2447">
        <f>ROUND(660/W33/30,1)</f>
        <v>0.5</v>
      </c>
      <c r="V33" s="2447">
        <f>U33*S33</f>
        <v>7164.0599999999849</v>
      </c>
      <c r="W33" s="2447">
        <f>ROUND(S33/T33,0)</f>
        <v>43</v>
      </c>
      <c r="X33" s="2447"/>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1226</v>
      </c>
      <c r="B34" s="106">
        <v>0</v>
      </c>
      <c r="C34" s="2562" t="s">
        <v>2290</v>
      </c>
      <c r="D34" s="2457" t="s">
        <v>2297</v>
      </c>
      <c r="E34" s="2455"/>
      <c r="F34" s="2436"/>
      <c r="G34" s="2436"/>
      <c r="H34" s="2436"/>
      <c r="I34" s="2436"/>
      <c r="J34" s="2436"/>
      <c r="K34" s="2447"/>
      <c r="L34" s="2447"/>
      <c r="M34" s="2446"/>
      <c r="N34" s="2446"/>
      <c r="O34" s="2446"/>
      <c r="P34" s="2446"/>
      <c r="Q34" s="2446"/>
      <c r="R34" s="3167" t="s">
        <v>4316</v>
      </c>
      <c r="S34" s="2447">
        <f>S30+S33</f>
        <v>68049.77999999997</v>
      </c>
      <c r="T34" s="2447"/>
      <c r="U34" s="2447">
        <f>ROUND(V34/S34,1)</f>
        <v>4.0999999999999996</v>
      </c>
      <c r="V34" s="2447">
        <f>V30+V33</f>
        <v>275966.13199999998</v>
      </c>
      <c r="W34" s="2447"/>
      <c r="X34" s="2447"/>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1227</v>
      </c>
      <c r="B35" s="103">
        <v>200</v>
      </c>
      <c r="C35" s="2562" t="s">
        <v>2291</v>
      </c>
      <c r="D35" s="2452"/>
      <c r="E35" s="2437"/>
      <c r="F35" s="2437"/>
      <c r="G35" s="2436"/>
      <c r="H35" s="2436"/>
      <c r="I35" s="2436"/>
      <c r="J35" s="2436"/>
      <c r="K35" s="2447"/>
      <c r="L35" s="2447"/>
      <c r="M35" s="2446"/>
      <c r="N35" s="2446"/>
      <c r="O35" s="2446"/>
      <c r="P35" s="2446"/>
      <c r="Q35" s="2446"/>
      <c r="R35" s="2447"/>
      <c r="S35" s="2447"/>
      <c r="T35" s="2447"/>
      <c r="U35" s="2447"/>
      <c r="V35" s="2447"/>
      <c r="W35" s="2447"/>
      <c r="X35" s="2447"/>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1228</v>
      </c>
      <c r="B36" s="3182">
        <v>0.02</v>
      </c>
      <c r="C36" s="2562" t="s">
        <v>3374</v>
      </c>
      <c r="D36" s="2449"/>
      <c r="E36" s="2436">
        <v>1.5</v>
      </c>
      <c r="F36" s="2436"/>
      <c r="G36" s="2436"/>
      <c r="H36" s="2436"/>
      <c r="I36" s="2436"/>
      <c r="J36" s="2436"/>
      <c r="K36" s="2447"/>
      <c r="L36" s="2447"/>
      <c r="M36" s="2446"/>
      <c r="N36" s="2446"/>
      <c r="O36" s="2446"/>
      <c r="P36" s="2446"/>
      <c r="Q36" s="2446"/>
      <c r="R36" s="2447"/>
      <c r="S36" s="2447"/>
      <c r="T36" s="2447"/>
      <c r="U36" s="2447"/>
      <c r="V36" s="2447"/>
      <c r="W36" s="2447"/>
      <c r="X36" s="2447"/>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1229</v>
      </c>
      <c r="B37" s="107">
        <v>0.03</v>
      </c>
      <c r="C37" s="2562" t="s">
        <v>2292</v>
      </c>
      <c r="D37" s="2449"/>
      <c r="E37" s="2436">
        <v>3</v>
      </c>
      <c r="F37" s="2436"/>
      <c r="G37" s="2436"/>
      <c r="H37" s="2436"/>
      <c r="I37" s="2436"/>
      <c r="J37" s="2436"/>
      <c r="K37" s="2447"/>
      <c r="L37" s="2447"/>
      <c r="M37" s="2446"/>
      <c r="N37" s="2446"/>
      <c r="O37" s="2446"/>
      <c r="P37" s="2446"/>
      <c r="Q37" s="2446"/>
      <c r="R37" s="2447"/>
      <c r="S37" s="2447"/>
      <c r="T37" s="2447"/>
      <c r="U37" s="2447"/>
      <c r="V37" s="2447"/>
      <c r="W37" s="2447"/>
      <c r="X37" s="2447"/>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1230</v>
      </c>
      <c r="B38" s="106">
        <v>0.03</v>
      </c>
      <c r="C38" s="2562" t="s">
        <v>2292</v>
      </c>
      <c r="D38" s="2449"/>
      <c r="E38" s="2436">
        <v>3</v>
      </c>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1231</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2307</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1232</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1233</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1234</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1235</v>
      </c>
      <c r="B44" s="3180">
        <v>7.0000000000000007E-2</v>
      </c>
      <c r="C44" s="2562" t="s">
        <v>2301</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1236</v>
      </c>
      <c r="B45" s="109">
        <v>0.03</v>
      </c>
      <c r="C45" s="2561" t="s">
        <v>2293</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1237</v>
      </c>
      <c r="B46" s="109">
        <v>0.02</v>
      </c>
      <c r="C46" s="2561" t="s">
        <v>2294</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1238</v>
      </c>
      <c r="B47" s="111"/>
      <c r="C47" s="2564" t="s">
        <v>2302</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1239</v>
      </c>
      <c r="B48" s="112">
        <v>0.03</v>
      </c>
      <c r="C48" s="2561" t="s">
        <v>2293</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1240</v>
      </c>
      <c r="B49" s="109">
        <v>5.0000000000000001E-4</v>
      </c>
      <c r="C49" s="2561" t="s">
        <v>2295</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1241</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1242</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1243</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1244</v>
      </c>
      <c r="B53" s="1608" t="s">
        <v>29</v>
      </c>
      <c r="C53" s="2437" t="s">
        <v>1245</v>
      </c>
      <c r="D53" s="2563" t="s">
        <v>2299</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1246</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1247</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1248</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1249</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1250</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1251</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1252</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1253</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1254</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1255</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273" t="s">
        <v>2281</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2276</v>
      </c>
      <c r="D2" s="1592"/>
      <c r="E2" s="2257"/>
      <c r="F2" s="2260"/>
      <c r="G2" s="2259" t="s">
        <v>2277</v>
      </c>
      <c r="H2" s="749"/>
      <c r="I2" s="749"/>
      <c r="J2" s="749"/>
      <c r="K2" s="749"/>
      <c r="L2" s="749"/>
      <c r="M2" s="749"/>
      <c r="N2" s="749"/>
      <c r="O2" s="749"/>
      <c r="P2" s="749"/>
      <c r="Q2" s="749"/>
    </row>
    <row r="3" spans="1:29" ht="48">
      <c r="A3" s="2244" t="s">
        <v>2278</v>
      </c>
      <c r="B3" s="2261" t="s">
        <v>2247</v>
      </c>
      <c r="C3" s="2262" t="s">
        <v>2279</v>
      </c>
      <c r="D3" s="2263"/>
      <c r="E3" s="2245" t="s">
        <v>2278</v>
      </c>
      <c r="F3" s="2264" t="s">
        <v>2248</v>
      </c>
      <c r="G3" s="2265" t="s">
        <v>2280</v>
      </c>
      <c r="H3" s="749"/>
      <c r="I3" s="749"/>
      <c r="J3" s="749"/>
      <c r="K3" s="749"/>
      <c r="L3" s="749"/>
      <c r="M3" s="749"/>
      <c r="N3" s="749"/>
      <c r="O3" s="749"/>
      <c r="P3" s="749"/>
      <c r="Q3" s="749"/>
    </row>
    <row r="4" spans="1:29" ht="36.75">
      <c r="A4" s="2245"/>
      <c r="B4" s="313" t="s">
        <v>2249</v>
      </c>
      <c r="C4" s="2266" t="s">
        <v>2250</v>
      </c>
      <c r="D4" s="2263"/>
      <c r="E4" s="2267"/>
      <c r="F4" s="1278" t="s">
        <v>2251</v>
      </c>
      <c r="G4" s="2268" t="s">
        <v>2252</v>
      </c>
      <c r="H4" s="749"/>
      <c r="I4" s="749"/>
      <c r="J4" s="749"/>
      <c r="K4" s="749"/>
      <c r="L4" s="749"/>
      <c r="M4" s="749"/>
      <c r="N4" s="749"/>
      <c r="O4" s="749"/>
      <c r="P4" s="749"/>
      <c r="Q4" s="749"/>
    </row>
    <row r="5" spans="1:29" ht="36.75">
      <c r="A5" s="2245"/>
      <c r="B5" s="313" t="s">
        <v>2253</v>
      </c>
      <c r="C5" s="2266" t="s">
        <v>2254</v>
      </c>
      <c r="D5" s="2263"/>
      <c r="E5" s="2267"/>
      <c r="F5" s="313" t="s">
        <v>2255</v>
      </c>
      <c r="G5" s="2268" t="s">
        <v>2256</v>
      </c>
      <c r="H5" s="749"/>
      <c r="I5" s="749"/>
      <c r="J5" s="749"/>
      <c r="K5" s="749"/>
      <c r="L5" s="749"/>
      <c r="M5" s="749"/>
      <c r="N5" s="749"/>
      <c r="O5" s="749"/>
      <c r="P5" s="749"/>
      <c r="Q5" s="749"/>
    </row>
    <row r="6" spans="1:29" ht="36">
      <c r="A6" s="2245"/>
      <c r="B6" s="313" t="s">
        <v>2257</v>
      </c>
      <c r="C6" s="2268" t="s">
        <v>2252</v>
      </c>
      <c r="D6" s="2263"/>
      <c r="E6" s="2267"/>
      <c r="F6" s="313" t="s">
        <v>2258</v>
      </c>
      <c r="G6" s="2268" t="s">
        <v>2259</v>
      </c>
      <c r="H6" s="749"/>
      <c r="I6" s="749"/>
      <c r="J6" s="749"/>
      <c r="K6" s="749"/>
      <c r="L6" s="749"/>
      <c r="M6" s="749"/>
      <c r="N6" s="749"/>
      <c r="O6" s="749"/>
      <c r="P6" s="749"/>
      <c r="Q6" s="749"/>
    </row>
    <row r="7" spans="1:29" ht="24.75" thickBot="1">
      <c r="A7" s="2245"/>
      <c r="B7" s="313" t="s">
        <v>2255</v>
      </c>
      <c r="C7" s="2268" t="s">
        <v>2256</v>
      </c>
      <c r="D7" s="2242"/>
      <c r="E7" s="2269"/>
      <c r="F7" s="2270" t="s">
        <v>2260</v>
      </c>
      <c r="G7" s="2271" t="s">
        <v>2261</v>
      </c>
      <c r="H7" s="749"/>
      <c r="I7" s="749"/>
      <c r="J7" s="749"/>
      <c r="K7" s="749"/>
      <c r="L7" s="749"/>
      <c r="M7" s="749"/>
      <c r="N7" s="749"/>
      <c r="O7" s="749"/>
      <c r="P7" s="749"/>
      <c r="Q7" s="749"/>
    </row>
    <row r="8" spans="1:29">
      <c r="A8" s="2245"/>
      <c r="B8" s="313" t="s">
        <v>2258</v>
      </c>
      <c r="C8" s="2268" t="s">
        <v>2259</v>
      </c>
      <c r="D8" s="2242"/>
      <c r="E8" s="2242"/>
      <c r="F8" s="119"/>
      <c r="G8" s="119"/>
      <c r="H8" s="749"/>
      <c r="I8" s="749"/>
      <c r="J8" s="749"/>
      <c r="K8" s="749"/>
      <c r="L8" s="749"/>
      <c r="M8" s="749"/>
      <c r="N8" s="749"/>
      <c r="O8" s="749"/>
      <c r="P8" s="749"/>
      <c r="Q8" s="749"/>
    </row>
    <row r="9" spans="1:29" ht="24">
      <c r="A9" s="2245"/>
      <c r="B9" s="313" t="s">
        <v>2262</v>
      </c>
      <c r="C9" s="2266" t="s">
        <v>2263</v>
      </c>
      <c r="D9" s="2263"/>
      <c r="E9" s="2242"/>
      <c r="F9" s="119"/>
      <c r="G9" s="119"/>
      <c r="H9" s="749"/>
      <c r="I9" s="749"/>
      <c r="J9" s="749"/>
      <c r="K9" s="749"/>
      <c r="L9" s="749"/>
      <c r="M9" s="749"/>
      <c r="N9" s="749"/>
      <c r="O9" s="749"/>
      <c r="P9" s="749"/>
      <c r="Q9" s="749"/>
    </row>
    <row r="10" spans="1:29" ht="15" thickBot="1">
      <c r="A10" s="2246"/>
      <c r="B10" s="2272" t="s">
        <v>2264</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2282</v>
      </c>
      <c r="B13" s="2277"/>
      <c r="C13" s="2277"/>
      <c r="D13" s="2276"/>
      <c r="E13" s="2277"/>
      <c r="F13" s="2277"/>
      <c r="G13" s="2277"/>
    </row>
    <row r="14" spans="1:29" ht="15" thickBot="1">
      <c r="A14" s="2282"/>
      <c r="B14" s="2282"/>
      <c r="C14" s="2283" t="s">
        <v>2265</v>
      </c>
      <c r="D14" s="2263"/>
      <c r="E14" s="2284"/>
      <c r="F14" s="2284"/>
      <c r="G14" s="2259" t="s">
        <v>2266</v>
      </c>
    </row>
    <row r="15" spans="1:29" ht="51">
      <c r="A15" s="2247" t="s">
        <v>2267</v>
      </c>
      <c r="B15" s="2285" t="s">
        <v>2247</v>
      </c>
      <c r="C15" s="2286" t="str">
        <f>C3</f>
        <v>估价对象周边居住用地比例、居住小区规模和社区发展完善程度，综合评价居住社区成熟度一般</v>
      </c>
      <c r="D15" s="2263"/>
      <c r="E15" s="2248" t="s">
        <v>2268</v>
      </c>
      <c r="F15" s="2285" t="s">
        <v>2269</v>
      </c>
      <c r="G15" s="2287" t="str">
        <f>G3</f>
        <v>估价对象位于XX开发区，园区建设成熟度XX，产业集聚程度XX</v>
      </c>
    </row>
    <row r="16" spans="1:29" ht="38.25">
      <c r="A16" s="2249"/>
      <c r="B16" s="2288" t="s">
        <v>2249</v>
      </c>
      <c r="C16" s="2289" t="str">
        <f>C4</f>
        <v>估价对象位于XX商圈，周边商业氛围成熟，人流量大，商业繁华度好</v>
      </c>
      <c r="D16" s="2263"/>
      <c r="E16" s="2250"/>
      <c r="F16" s="2290" t="s">
        <v>2251</v>
      </c>
      <c r="G16" s="2291" t="str">
        <f>G4</f>
        <v>估价对象周边道路状况、公共交通通达情况、停车便捷程度，综合评价交通便捷度较好</v>
      </c>
    </row>
    <row r="17" spans="1:17" ht="38.25">
      <c r="A17" s="2249"/>
      <c r="B17" s="2288" t="s">
        <v>2253</v>
      </c>
      <c r="C17" s="2289" t="str">
        <f>C5</f>
        <v>估价对象位于XX商圈，周边办公楼项目较多，入驻率高，办公集聚程度较好</v>
      </c>
      <c r="D17" s="2242"/>
      <c r="E17" s="2250"/>
      <c r="F17" s="2290" t="s">
        <v>2270</v>
      </c>
      <c r="G17" s="2292"/>
    </row>
    <row r="18" spans="1:17" ht="38.25">
      <c r="A18" s="2249"/>
      <c r="B18" s="2290" t="s">
        <v>2257</v>
      </c>
      <c r="C18" s="2291" t="str">
        <f>C6</f>
        <v>估价对象周边道路状况、公共交通通达情况、停车便捷程度，综合评价交通便捷度较好</v>
      </c>
      <c r="D18" s="2242"/>
      <c r="E18" s="2250"/>
      <c r="F18" s="2290" t="s">
        <v>2260</v>
      </c>
      <c r="G18" s="2291" t="str">
        <f>G7</f>
        <v>该园区内是否有污染型企业，绿化情况，卫生条件，整体环境状况判断</v>
      </c>
    </row>
    <row r="19" spans="1:17" ht="25.5">
      <c r="A19" s="2249"/>
      <c r="B19" s="2290" t="s">
        <v>2271</v>
      </c>
      <c r="C19" s="2292"/>
      <c r="D19" s="2263"/>
      <c r="E19" s="2250"/>
      <c r="F19" s="313" t="s">
        <v>2255</v>
      </c>
      <c r="G19" s="2291" t="str">
        <f>G5</f>
        <v>估价对象所在区域公共配套设施齐备情况</v>
      </c>
    </row>
    <row r="20" spans="1:17" ht="25.5">
      <c r="A20" s="2249"/>
      <c r="B20" s="2290" t="s">
        <v>2272</v>
      </c>
      <c r="C20" s="2289" t="str">
        <f>C9</f>
        <v>区域自然环境：；人文环境；综合评价环境状况一般</v>
      </c>
      <c r="D20" s="2242"/>
      <c r="E20" s="2250"/>
      <c r="F20" s="313" t="s">
        <v>2258</v>
      </c>
      <c r="G20" s="2291" t="str">
        <f>G6</f>
        <v>估价对象所在区域基础设施水平</v>
      </c>
    </row>
    <row r="21" spans="1:17" ht="25.5">
      <c r="A21" s="2249"/>
      <c r="B21" s="313" t="s">
        <v>2255</v>
      </c>
      <c r="C21" s="2291" t="str">
        <f>C7</f>
        <v>估价对象所在区域公共配套设施齐备情况</v>
      </c>
      <c r="D21" s="2263"/>
      <c r="E21" s="2250"/>
      <c r="F21" s="2290" t="s">
        <v>2273</v>
      </c>
      <c r="G21" s="2293"/>
    </row>
    <row r="22" spans="1:17" ht="13.5" customHeight="1">
      <c r="A22" s="2249"/>
      <c r="B22" s="313" t="s">
        <v>2258</v>
      </c>
      <c r="C22" s="2291" t="str">
        <f>C8</f>
        <v>估价对象所在区域基础设施水平</v>
      </c>
      <c r="D22" s="2263"/>
      <c r="E22" s="2250"/>
      <c r="F22" s="2290" t="s">
        <v>2264</v>
      </c>
      <c r="G22" s="2292"/>
    </row>
    <row r="23" spans="1:17" s="749" customFormat="1" ht="15" thickBot="1">
      <c r="A23" s="2249"/>
      <c r="B23" s="2290" t="s">
        <v>2273</v>
      </c>
      <c r="C23" s="2293"/>
      <c r="D23" s="1611"/>
      <c r="E23" s="2251"/>
      <c r="F23" s="2294" t="s">
        <v>2274</v>
      </c>
      <c r="G23" s="2295"/>
      <c r="H23" s="2274"/>
      <c r="I23" s="2274"/>
      <c r="J23" s="2274"/>
      <c r="K23" s="2274"/>
      <c r="L23" s="2274"/>
      <c r="M23" s="2274"/>
      <c r="N23" s="2274"/>
      <c r="O23" s="2274"/>
      <c r="P23" s="2274"/>
      <c r="Q23" s="2274"/>
    </row>
    <row r="24" spans="1:17" s="749" customFormat="1" ht="15" thickBot="1">
      <c r="A24" s="2252"/>
      <c r="B24" s="2294" t="s">
        <v>2275</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4" t="str">
        <f>项目基本情况!B1</f>
        <v>北京市房地产抵押价值预评估</v>
      </c>
      <c r="C37" s="3184"/>
      <c r="D37" s="3184"/>
      <c r="E37" s="3184"/>
      <c r="F37" s="3184"/>
      <c r="G37" s="3184"/>
      <c r="H37" s="3184"/>
      <c r="I37" s="3184"/>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664</v>
      </c>
      <c r="B1" s="2297">
        <f>SUM(B14:B23)</f>
        <v>68049.77999999997</v>
      </c>
      <c r="C1" s="2459"/>
      <c r="D1" s="2459"/>
      <c r="E1" s="2459"/>
      <c r="F1" s="2459"/>
      <c r="G1" s="2460"/>
      <c r="H1" s="2460"/>
      <c r="I1" s="2460"/>
      <c r="J1" s="2460"/>
      <c r="K1" s="2460"/>
    </row>
    <row r="2" spans="1:11" ht="16.5">
      <c r="A2" s="2297" t="s">
        <v>652</v>
      </c>
      <c r="B2" s="2297">
        <f>SUM(C14:C23)</f>
        <v>15742.02</v>
      </c>
      <c r="C2" s="2459"/>
      <c r="D2" s="2459"/>
      <c r="E2" s="2459"/>
      <c r="F2" s="2459"/>
      <c r="G2" s="2460"/>
      <c r="H2" s="2460"/>
      <c r="I2" s="2460"/>
      <c r="J2" s="2460"/>
      <c r="K2" s="2460"/>
    </row>
    <row r="3" spans="1:11" ht="16.5">
      <c r="A3" s="2297" t="s">
        <v>661</v>
      </c>
      <c r="B3" s="2299">
        <f>项目基本情况!D3</f>
        <v>45604</v>
      </c>
      <c r="C3" s="2459"/>
      <c r="D3" s="2459"/>
      <c r="E3" s="2459"/>
      <c r="F3" s="2459"/>
      <c r="G3" s="2460"/>
      <c r="H3" s="2460"/>
      <c r="I3" s="2460"/>
      <c r="J3" s="2460"/>
      <c r="K3" s="2460"/>
    </row>
    <row r="4" spans="1:11" ht="33">
      <c r="A4" s="2297" t="s">
        <v>660</v>
      </c>
      <c r="B4" s="2297" t="s">
        <v>659</v>
      </c>
      <c r="C4" s="2297" t="s">
        <v>658</v>
      </c>
      <c r="D4" s="2297" t="s">
        <v>657</v>
      </c>
      <c r="E4" s="2459"/>
      <c r="F4" s="2460"/>
      <c r="G4" s="2460"/>
      <c r="H4" s="2460"/>
      <c r="I4" s="2460"/>
      <c r="J4" s="2460"/>
      <c r="K4" s="2460"/>
    </row>
    <row r="5" spans="1:11" ht="16.5">
      <c r="A5" s="2297" t="s">
        <v>656</v>
      </c>
      <c r="B5" s="2297">
        <f ca="1">SUM(D14:D23)</f>
        <v>129666</v>
      </c>
      <c r="C5" s="2297">
        <f ca="1">IF(B5=D14,结果表!H102,ROUND(B5*10000/$B$1,0))</f>
        <v>19055</v>
      </c>
      <c r="D5" s="2297">
        <f ca="1">ROUND(B5*10000/$B$2,0)</f>
        <v>82369</v>
      </c>
      <c r="E5" s="2459"/>
      <c r="F5" s="2460"/>
      <c r="G5" s="2460"/>
      <c r="H5" s="2460"/>
      <c r="I5" s="2460"/>
      <c r="J5" s="2460"/>
      <c r="K5" s="2460"/>
    </row>
    <row r="6" spans="1:11" ht="16.5">
      <c r="A6" s="2297" t="s">
        <v>655</v>
      </c>
      <c r="B6" s="2297">
        <f ca="1">SUM(G14:G23)</f>
        <v>129666</v>
      </c>
      <c r="C6" s="2297">
        <f ca="1">IF(B6=G14,结果表!H108,ROUND(B6*10000/$B$1,0))</f>
        <v>19055</v>
      </c>
      <c r="D6" s="2297">
        <f ca="1">ROUND(B6*10000/$B$2,0)</f>
        <v>82369</v>
      </c>
      <c r="E6" s="2459"/>
      <c r="F6" s="2460"/>
      <c r="G6" s="2460"/>
      <c r="H6" s="2460"/>
      <c r="I6" s="2460"/>
      <c r="J6" s="2460"/>
      <c r="K6" s="2460"/>
    </row>
    <row r="7" spans="1:11" ht="16.5">
      <c r="A7" s="2297" t="s">
        <v>663</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654</v>
      </c>
      <c r="B9" s="1241"/>
      <c r="C9" s="2459"/>
      <c r="D9" s="2459"/>
      <c r="E9" s="2459"/>
      <c r="F9" s="2460"/>
      <c r="G9" s="2460"/>
      <c r="H9" s="2460"/>
      <c r="I9" s="2460"/>
      <c r="J9" s="2460"/>
      <c r="K9" s="2460"/>
    </row>
    <row r="10" spans="1:11" ht="16.5">
      <c r="A10" s="2297" t="s">
        <v>653</v>
      </c>
      <c r="B10" s="2297">
        <f>IF(E10="",0,ROUND(B1*(E10*365/G10)/10000,0))</f>
        <v>0</v>
      </c>
      <c r="C10" s="2297" t="s">
        <v>3353</v>
      </c>
      <c r="D10" s="2297" t="s">
        <v>3354</v>
      </c>
      <c r="E10" s="3134"/>
      <c r="F10" s="3138" t="s">
        <v>3355</v>
      </c>
      <c r="G10" s="3135"/>
      <c r="H10" s="2460"/>
      <c r="I10" s="2460"/>
      <c r="J10" s="2460"/>
      <c r="K10" s="2460"/>
    </row>
    <row r="11" spans="1:11" ht="16.5">
      <c r="A11" s="2297" t="s">
        <v>669</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668</v>
      </c>
      <c r="B13" s="2301" t="s">
        <v>665</v>
      </c>
      <c r="C13" s="2301" t="s">
        <v>667</v>
      </c>
      <c r="D13" s="2301" t="s">
        <v>666</v>
      </c>
      <c r="E13" s="2297" t="s">
        <v>658</v>
      </c>
      <c r="F13" s="2297" t="s">
        <v>657</v>
      </c>
      <c r="G13" s="2301" t="s">
        <v>651</v>
      </c>
      <c r="H13" s="2301" t="s">
        <v>662</v>
      </c>
      <c r="I13" s="2301" t="s">
        <v>650</v>
      </c>
      <c r="J13" s="2460"/>
      <c r="K13" s="2460"/>
    </row>
    <row r="14" spans="1:11" ht="16.5">
      <c r="A14" s="2302" t="s">
        <v>4282</v>
      </c>
      <c r="B14" s="2303">
        <f>结果表!B118</f>
        <v>68049.77999999997</v>
      </c>
      <c r="C14" s="2303">
        <f>结果表!C118</f>
        <v>15742.02</v>
      </c>
      <c r="D14" s="2303">
        <f ca="1">结果表!H101</f>
        <v>129666</v>
      </c>
      <c r="E14" s="2303">
        <f ca="1">ROUND(D14*10000/B14,0)</f>
        <v>19055</v>
      </c>
      <c r="F14" s="2303">
        <f ca="1">ROUND(D14*10000/C14,0)</f>
        <v>82369</v>
      </c>
      <c r="G14" s="2303">
        <f ca="1">结果表!H107</f>
        <v>129666</v>
      </c>
      <c r="H14" s="2303"/>
      <c r="I14" s="2303"/>
      <c r="J14" s="2460">
        <v>131554</v>
      </c>
      <c r="K14" s="2460"/>
    </row>
    <row r="15" spans="1:11" ht="16.5">
      <c r="A15" s="2302" t="s">
        <v>649</v>
      </c>
      <c r="B15" s="2304"/>
      <c r="C15" s="2304"/>
      <c r="D15" s="2304"/>
      <c r="E15" s="2303" t="e">
        <f t="shared" ref="E15:E23" si="0">ROUND(D15*10000/B15,0)</f>
        <v>#DIV/0!</v>
      </c>
      <c r="F15" s="2303" t="e">
        <f t="shared" ref="F15:F23" si="1">ROUND(D15*10000/C15,0)</f>
        <v>#DIV/0!</v>
      </c>
      <c r="G15" s="1241"/>
      <c r="H15" s="1241"/>
      <c r="I15" s="2304"/>
      <c r="J15" s="2460"/>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5" zoomScaleNormal="100" zoomScaleSheetLayoutView="100" zoomScalePageLayoutView="80" workbookViewId="0">
      <selection activeCell="C105" sqref="C105"/>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1261</v>
      </c>
      <c r="B1" s="644"/>
      <c r="C1" s="1617"/>
      <c r="D1" s="644"/>
      <c r="E1" s="644"/>
      <c r="F1" s="1618" t="s">
        <v>1262</v>
      </c>
      <c r="G1" s="1450"/>
      <c r="H1" s="1618" t="str">
        <f>IF(G1="现房","——","估价对象范围")</f>
        <v>估价对象范围</v>
      </c>
      <c r="I1" s="1619"/>
    </row>
    <row r="2" spans="1:12" ht="21.75" customHeight="1" thickBot="1">
      <c r="A2" s="3309" t="str">
        <f>项目基本情况!S2</f>
        <v>北京市房地产</v>
      </c>
      <c r="B2" s="3310"/>
      <c r="C2" s="3310"/>
      <c r="D2" s="3310"/>
      <c r="E2" s="3310"/>
      <c r="F2" s="3310"/>
      <c r="G2" s="3310"/>
      <c r="H2" s="3310"/>
      <c r="I2" s="3311"/>
    </row>
    <row r="3" spans="1:12" ht="12.75">
      <c r="A3" s="3313" t="s">
        <v>1263</v>
      </c>
      <c r="B3" s="3314"/>
      <c r="C3" s="3314"/>
      <c r="D3" s="3314"/>
      <c r="E3" s="3314"/>
      <c r="F3" s="3314"/>
      <c r="G3" s="3314"/>
      <c r="H3" s="3314"/>
      <c r="I3" s="3314"/>
    </row>
    <row r="4" spans="1:12" ht="14.25">
      <c r="A4" s="1621" t="s">
        <v>1264</v>
      </c>
      <c r="B4" s="1622" t="s">
        <v>1265</v>
      </c>
      <c r="C4" s="1623" t="s">
        <v>4358</v>
      </c>
      <c r="D4" s="1623" t="s">
        <v>4322</v>
      </c>
      <c r="E4" s="3315" t="s">
        <v>1266</v>
      </c>
      <c r="F4" s="3316"/>
      <c r="G4" s="3316"/>
      <c r="H4" s="3316"/>
      <c r="I4" s="3317"/>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289" t="s">
        <v>1267</v>
      </c>
      <c r="B5" s="3276">
        <v>25</v>
      </c>
      <c r="C5" s="3292"/>
      <c r="D5" s="3312"/>
      <c r="E5" s="121" t="s">
        <v>1268</v>
      </c>
      <c r="F5" s="1624"/>
      <c r="G5" s="1624"/>
      <c r="H5" s="1624"/>
      <c r="I5" s="1278"/>
    </row>
    <row r="6" spans="1:12" ht="12.75">
      <c r="A6" s="3289"/>
      <c r="B6" s="3276"/>
      <c r="C6" s="3293"/>
      <c r="D6" s="3312"/>
      <c r="E6" s="121" t="s">
        <v>1269</v>
      </c>
      <c r="F6" s="1624"/>
      <c r="G6" s="1624"/>
      <c r="H6" s="1624"/>
      <c r="I6" s="1278"/>
    </row>
    <row r="7" spans="1:12" ht="12.75">
      <c r="A7" s="3289"/>
      <c r="B7" s="3276"/>
      <c r="C7" s="3294"/>
      <c r="D7" s="3312"/>
      <c r="E7" s="121" t="s">
        <v>1270</v>
      </c>
      <c r="F7" s="1624"/>
      <c r="G7" s="1624"/>
      <c r="H7" s="1624"/>
      <c r="I7" s="1278"/>
    </row>
    <row r="8" spans="1:12" ht="12.75">
      <c r="A8" s="3289" t="s">
        <v>1271</v>
      </c>
      <c r="B8" s="3276">
        <v>15</v>
      </c>
      <c r="C8" s="3292"/>
      <c r="D8" s="3312"/>
      <c r="E8" s="121" t="s">
        <v>1272</v>
      </c>
      <c r="F8" s="1624"/>
      <c r="G8" s="1624"/>
      <c r="H8" s="1624"/>
      <c r="I8" s="1278"/>
    </row>
    <row r="9" spans="1:12" ht="12.75">
      <c r="A9" s="3289"/>
      <c r="B9" s="3276"/>
      <c r="C9" s="3294"/>
      <c r="D9" s="3312"/>
      <c r="E9" s="121" t="s">
        <v>1273</v>
      </c>
      <c r="F9" s="1624"/>
      <c r="G9" s="1624"/>
      <c r="H9" s="1624"/>
      <c r="I9" s="1278"/>
    </row>
    <row r="10" spans="1:12" ht="12.75">
      <c r="A10" s="3289" t="s">
        <v>1274</v>
      </c>
      <c r="B10" s="3276">
        <v>15</v>
      </c>
      <c r="C10" s="3292"/>
      <c r="D10" s="3312"/>
      <c r="E10" s="121" t="s">
        <v>1275</v>
      </c>
      <c r="F10" s="1624"/>
      <c r="G10" s="1624"/>
      <c r="H10" s="1624"/>
      <c r="I10" s="1278"/>
    </row>
    <row r="11" spans="1:12" ht="12.75">
      <c r="A11" s="3289"/>
      <c r="B11" s="3276"/>
      <c r="C11" s="3294"/>
      <c r="D11" s="3312"/>
      <c r="E11" s="121" t="s">
        <v>1276</v>
      </c>
      <c r="F11" s="1624"/>
      <c r="G11" s="1624"/>
      <c r="H11" s="1624"/>
      <c r="I11" s="1278"/>
    </row>
    <row r="12" spans="1:12" ht="12.75">
      <c r="A12" s="3289" t="s">
        <v>1277</v>
      </c>
      <c r="B12" s="3276">
        <v>15</v>
      </c>
      <c r="C12" s="3292"/>
      <c r="D12" s="3312"/>
      <c r="E12" s="121" t="s">
        <v>1278</v>
      </c>
      <c r="F12" s="1624"/>
      <c r="G12" s="1624"/>
      <c r="H12" s="1624"/>
      <c r="I12" s="1278"/>
    </row>
    <row r="13" spans="1:12" ht="12.75">
      <c r="A13" s="3289"/>
      <c r="B13" s="3276"/>
      <c r="C13" s="3294"/>
      <c r="D13" s="3312"/>
      <c r="E13" s="121" t="s">
        <v>1279</v>
      </c>
      <c r="F13" s="1624"/>
      <c r="G13" s="1624"/>
      <c r="H13" s="1624"/>
      <c r="I13" s="1278"/>
    </row>
    <row r="14" spans="1:12" ht="12.75">
      <c r="A14" s="3289" t="s">
        <v>1280</v>
      </c>
      <c r="B14" s="3276">
        <v>30</v>
      </c>
      <c r="C14" s="3292">
        <v>5</v>
      </c>
      <c r="D14" s="3312">
        <v>5</v>
      </c>
      <c r="E14" s="121" t="s">
        <v>1281</v>
      </c>
      <c r="F14" s="1624"/>
      <c r="G14" s="1624"/>
      <c r="H14" s="1624"/>
      <c r="I14" s="1278"/>
    </row>
    <row r="15" spans="1:12" ht="12.75">
      <c r="A15" s="3289"/>
      <c r="B15" s="3276"/>
      <c r="C15" s="3293"/>
      <c r="D15" s="3312"/>
      <c r="E15" s="121" t="s">
        <v>1282</v>
      </c>
      <c r="F15" s="1624"/>
      <c r="G15" s="1624"/>
      <c r="H15" s="1624"/>
      <c r="I15" s="1278"/>
    </row>
    <row r="16" spans="1:12" ht="12.75">
      <c r="A16" s="3289"/>
      <c r="B16" s="3276"/>
      <c r="C16" s="3294"/>
      <c r="D16" s="3312"/>
      <c r="E16" s="121" t="s">
        <v>1283</v>
      </c>
      <c r="F16" s="1624"/>
      <c r="G16" s="1624"/>
      <c r="H16" s="1624"/>
      <c r="I16" s="1278"/>
    </row>
    <row r="17" spans="1:36" ht="15">
      <c r="A17" s="1625" t="s">
        <v>1284</v>
      </c>
      <c r="B17" s="54"/>
      <c r="C17" s="122">
        <f>SUM(C5:C16)</f>
        <v>5</v>
      </c>
      <c r="D17" s="122">
        <f>SUM(D5:D16)</f>
        <v>5</v>
      </c>
      <c r="E17" s="119"/>
      <c r="F17" s="119"/>
      <c r="G17" s="119"/>
      <c r="H17" s="119"/>
      <c r="I17" s="119"/>
      <c r="K17" s="292"/>
      <c r="L17" s="292" t="s">
        <v>1285</v>
      </c>
      <c r="M17" s="292" t="s">
        <v>1286</v>
      </c>
    </row>
    <row r="18" spans="1:36" ht="31.9" customHeight="1" thickBot="1">
      <c r="A18" s="1626" t="s">
        <v>1287</v>
      </c>
      <c r="B18" s="1539"/>
      <c r="C18" s="123">
        <f>ROUND(C17/SUM(C17:D17),2)</f>
        <v>0.5</v>
      </c>
      <c r="D18" s="123">
        <f>1-C18</f>
        <v>0.5</v>
      </c>
      <c r="E18" s="3299" t="s">
        <v>2126</v>
      </c>
      <c r="F18" s="3300"/>
      <c r="G18" s="3300"/>
      <c r="H18" s="3300"/>
      <c r="I18" s="3300"/>
      <c r="K18" s="292" t="s">
        <v>1288</v>
      </c>
      <c r="L18" s="292">
        <f>IF(C1="",'数据-汇总表'!E3,SUMIF(项目类型,C1,'数据-汇总表'!E17:E26)+SUMIF(项目类型,C1,'数据-汇总表'!I17:I26))</f>
        <v>68049.77999999997</v>
      </c>
      <c r="M18" s="292">
        <f>IF(C1="",'数据-汇总表'!E3,SUMIF(项目类型,C1,'数据-汇总表'!E17:E26))</f>
        <v>68049.77999999997</v>
      </c>
    </row>
    <row r="19" spans="1:36" ht="15">
      <c r="A19" s="1627" t="s">
        <v>1289</v>
      </c>
      <c r="B19" s="1628" t="s">
        <v>1290</v>
      </c>
      <c r="C19" s="124">
        <f ca="1">SUMIF(INDIRECT("'"&amp;C4&amp;"'"&amp;"!A:A"),结果表!B19,INDIRECT("'"&amp;C4&amp;"'"&amp;"!B:B"))</f>
        <v>158795</v>
      </c>
      <c r="D19" s="125">
        <f ca="1">SUMIF(INDIRECT("'"&amp;D4&amp;"'"&amp;"!A:A"),结果表!B19,INDIRECT("'"&amp;D4&amp;"'"&amp;"!B:B"))</f>
        <v>100536</v>
      </c>
      <c r="E19" s="1627" t="s">
        <v>1291</v>
      </c>
      <c r="F19" s="1628" t="s">
        <v>1290</v>
      </c>
      <c r="G19" s="126">
        <f ca="1">ROUND(C19*$C$18+D19*$D$18,0)</f>
        <v>129666</v>
      </c>
      <c r="H19" s="1629" t="s">
        <v>1292</v>
      </c>
      <c r="I19" s="119"/>
      <c r="J19" s="682">
        <v>131554</v>
      </c>
      <c r="K19" s="292" t="s">
        <v>1293</v>
      </c>
      <c r="L19" s="292">
        <f>IF(C1="",'数据-汇总表'!D3,SUMIF(项目类型,C1,'数据-汇总表'!D17:D26)+SUMIF(项目类型,C1,'数据-汇总表'!H17:H27))</f>
        <v>15742.02</v>
      </c>
      <c r="M19" s="292">
        <f>IF(C1="",'数据-汇总表'!D3,SUMIF(项目类型,C1,'数据-汇总表'!D17:D26))</f>
        <v>15742.02</v>
      </c>
    </row>
    <row r="20" spans="1:36" ht="15">
      <c r="A20" s="1630"/>
      <c r="B20" s="43" t="s">
        <v>1294</v>
      </c>
      <c r="C20" s="127">
        <f ca="1">SUMIF(INDIRECT("'"&amp;C4&amp;"'"&amp;"!A:A"),结果表!B20,INDIRECT("'"&amp;C4&amp;"'"&amp;"!B:B"))</f>
        <v>23335</v>
      </c>
      <c r="D20" s="128">
        <f ca="1">SUMIF(INDIRECT("'"&amp;D4&amp;"'"&amp;"!A:A"),结果表!B20,INDIRECT("'"&amp;D4&amp;"'"&amp;"!B:B"))</f>
        <v>14774</v>
      </c>
      <c r="E20" s="1630"/>
      <c r="F20" s="43" t="s">
        <v>1294</v>
      </c>
      <c r="G20" s="129">
        <f ca="1">ROUND(C20*$C$18+D20*$D$18,0)</f>
        <v>19055</v>
      </c>
      <c r="H20" s="758" t="s">
        <v>1295</v>
      </c>
      <c r="I20" s="119"/>
      <c r="J20" s="682">
        <v>19332</v>
      </c>
    </row>
    <row r="21" spans="1:36" ht="15" customHeight="1" thickBot="1">
      <c r="A21" s="447"/>
      <c r="B21" s="93" t="s">
        <v>1296</v>
      </c>
      <c r="C21" s="676">
        <f ca="1">ROUND(C19*10000/L19,0)</f>
        <v>100873</v>
      </c>
      <c r="D21" s="677">
        <f ca="1">ROUND(D19*10000/L19,0)</f>
        <v>63865</v>
      </c>
      <c r="E21" s="447"/>
      <c r="F21" s="93" t="s">
        <v>1296</v>
      </c>
      <c r="G21" s="130">
        <f ca="1">ROUND(G19*10000/L19,0)</f>
        <v>82369</v>
      </c>
      <c r="H21" s="1631" t="s">
        <v>1295</v>
      </c>
      <c r="I21" s="119"/>
      <c r="J21" s="682">
        <v>83569</v>
      </c>
    </row>
    <row r="22" spans="1:36" ht="15" thickBot="1">
      <c r="A22" s="1561" t="s">
        <v>1297</v>
      </c>
      <c r="B22" s="1632"/>
      <c r="C22" s="1633"/>
      <c r="D22" s="678">
        <f ca="1">IF(C19&lt;D19,D19/C19-1,C19/D19-1)</f>
        <v>0.57948396594254792</v>
      </c>
      <c r="E22" s="119"/>
      <c r="F22" s="119"/>
      <c r="G22" s="119"/>
      <c r="H22" s="119"/>
      <c r="I22" s="119"/>
    </row>
    <row r="23" spans="1:36" ht="13.5" thickBot="1">
      <c r="A23" s="644"/>
      <c r="B23" s="644"/>
      <c r="C23" s="644"/>
      <c r="D23" s="644"/>
      <c r="E23" s="119"/>
      <c r="F23" s="119"/>
      <c r="G23" s="119"/>
      <c r="H23" s="119"/>
      <c r="I23" s="119"/>
    </row>
    <row r="24" spans="1:36" ht="14.25">
      <c r="A24" s="3283" t="s">
        <v>1298</v>
      </c>
      <c r="B24" s="1628" t="s">
        <v>1290</v>
      </c>
      <c r="C24" s="126">
        <f>IF(B30=0,0,D30)</f>
        <v>0</v>
      </c>
      <c r="D24" s="1634"/>
      <c r="E24" s="119"/>
      <c r="F24" s="119"/>
      <c r="G24" s="119"/>
      <c r="H24" s="119"/>
      <c r="I24" s="119"/>
    </row>
    <row r="25" spans="1:36" ht="14.25">
      <c r="A25" s="3284"/>
      <c r="B25" s="43" t="s">
        <v>1294</v>
      </c>
      <c r="C25" s="131">
        <f>IF(B30=0,0,C30)</f>
        <v>0</v>
      </c>
      <c r="D25" s="1635"/>
      <c r="E25" s="119"/>
      <c r="F25" s="119"/>
      <c r="G25" s="119"/>
      <c r="H25" s="119"/>
      <c r="I25" s="119"/>
    </row>
    <row r="26" spans="1:36" ht="13.5" customHeight="1">
      <c r="A26" s="1636" t="s">
        <v>1299</v>
      </c>
      <c r="B26" s="132" t="s">
        <v>1300</v>
      </c>
      <c r="C26" s="132" t="s">
        <v>1301</v>
      </c>
      <c r="D26" s="133" t="s">
        <v>1302</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1303</v>
      </c>
      <c r="B30" s="132"/>
      <c r="C30" s="132"/>
      <c r="D30" s="132"/>
      <c r="E30" s="2124" t="s">
        <v>2127</v>
      </c>
      <c r="F30" s="119"/>
      <c r="G30" s="119"/>
      <c r="H30" s="119"/>
      <c r="I30" s="119"/>
    </row>
    <row r="31" spans="1:36" s="2130" customFormat="1" ht="26.45" customHeight="1" thickTop="1" thickBot="1">
      <c r="A31" s="2125"/>
      <c r="B31" s="2126"/>
      <c r="C31" s="2126"/>
      <c r="D31" s="2126"/>
      <c r="E31" s="2126"/>
      <c r="F31" s="2126"/>
      <c r="G31" s="2126"/>
      <c r="H31" s="2126"/>
      <c r="I31" s="2127" t="s">
        <v>2128</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1304</v>
      </c>
      <c r="B32" s="1532"/>
      <c r="C32" s="134">
        <f ca="1">IF(D32="总价",G19-C24,G20-C25)</f>
        <v>129666</v>
      </c>
      <c r="D32" s="1638" t="s">
        <v>4356</v>
      </c>
      <c r="E32" s="119"/>
      <c r="F32" s="119"/>
      <c r="G32" s="119"/>
      <c r="H32" s="119"/>
      <c r="I32" s="119"/>
    </row>
    <row r="33" spans="1:15" ht="15">
      <c r="A33" s="738" t="s">
        <v>1305</v>
      </c>
      <c r="B33" s="121"/>
      <c r="C33" s="1639" t="s">
        <v>4357</v>
      </c>
      <c r="D33" s="1640" t="s">
        <v>4358</v>
      </c>
      <c r="E33" s="1641" t="s">
        <v>1306</v>
      </c>
      <c r="F33" s="1642" t="str">
        <f>IF(D32="楼面单价","取值（单价）","取值（总价）")</f>
        <v>取值（总价）</v>
      </c>
      <c r="G33" s="119"/>
      <c r="H33" s="119"/>
      <c r="I33" s="119"/>
    </row>
    <row r="34" spans="1:15" ht="15">
      <c r="A34" s="1643"/>
      <c r="B34" s="1644" t="s">
        <v>1307</v>
      </c>
      <c r="C34" s="138">
        <f ca="1">IF(C33="自定义",F34,C32-C35)</f>
        <v>81560</v>
      </c>
      <c r="D34" s="806">
        <f ca="1">IF(C33="自定义",ROUND(C34/C32,3),IF(C33="收益比率",SUMIF(INDIRECT("'"&amp;D33&amp;"'"&amp;"!b:b"),"土地收益比率",INDIRECT("'"&amp;D33&amp;"'"&amp;"!c:c")),SUMIF(INDIRECT("'"&amp;D33&amp;"'"&amp;"!b:b"),"土地成本比率",INDIRECT("'"&amp;D33&amp;"'"&amp;"!c:c"))))</f>
        <v>0.629</v>
      </c>
      <c r="E34" s="1645" t="s">
        <v>1308</v>
      </c>
      <c r="F34" s="1240"/>
      <c r="G34" s="119"/>
      <c r="H34" s="119"/>
      <c r="I34" s="119"/>
    </row>
    <row r="35" spans="1:15" ht="15.75" thickBot="1">
      <c r="A35" s="1646"/>
      <c r="B35" s="1647" t="s">
        <v>1309</v>
      </c>
      <c r="C35" s="1088">
        <f ca="1">IF(C33="自定义",F35,ROUND(C32*D35,0))</f>
        <v>48106</v>
      </c>
      <c r="D35" s="1089">
        <f ca="1">IF(C33="自定义",ROUND(C35/C32,3),IF(C33="收益比率",SUMIF(INDIRECT("'"&amp;D33&amp;"'"&amp;"!b:b"),"建筑物收益比率",INDIRECT("'"&amp;D33&amp;"'"&amp;"!c:c")),SUMIF(INDIRECT("'"&amp;D33&amp;"'"&amp;"!b:b"),"建筑物成本比率",INDIRECT("'"&amp;D33&amp;"'"&amp;"!c:c"))))</f>
        <v>0.371</v>
      </c>
      <c r="E35" s="1648" t="s">
        <v>1310</v>
      </c>
      <c r="F35" s="144"/>
      <c r="G35" s="119"/>
      <c r="H35" s="119"/>
      <c r="I35" s="119"/>
    </row>
    <row r="36" spans="1:15" ht="15.75" thickBot="1">
      <c r="A36" s="3303" t="s">
        <v>1311</v>
      </c>
      <c r="B36" s="1649" t="s">
        <v>1312</v>
      </c>
      <c r="C36" s="135"/>
      <c r="D36" s="1650"/>
      <c r="E36" s="1564"/>
      <c r="F36" s="1651"/>
      <c r="G36" s="119"/>
      <c r="H36" s="119"/>
      <c r="I36" s="119"/>
    </row>
    <row r="37" spans="1:15" ht="15.75" thickBot="1">
      <c r="A37" s="3304"/>
      <c r="B37" s="1552" t="s">
        <v>1313</v>
      </c>
      <c r="C37" s="137"/>
      <c r="D37" s="1069"/>
      <c r="E37" s="1069"/>
      <c r="F37" s="1651"/>
      <c r="G37" s="119"/>
      <c r="H37" s="119"/>
      <c r="I37" s="119"/>
    </row>
    <row r="38" spans="1:15" ht="15.75" thickBot="1">
      <c r="A38" s="3305"/>
      <c r="B38" s="1652" t="s">
        <v>1314</v>
      </c>
      <c r="C38" s="639"/>
      <c r="D38" s="1653" t="s">
        <v>1315</v>
      </c>
      <c r="E38" s="1069"/>
      <c r="F38" s="1651"/>
      <c r="G38" s="119"/>
      <c r="H38" s="119"/>
      <c r="I38" s="119"/>
    </row>
    <row r="39" spans="1:15" ht="15">
      <c r="A39" s="1630" t="s">
        <v>1316</v>
      </c>
      <c r="B39" s="1654" t="s">
        <v>1317</v>
      </c>
      <c r="C39" s="1655" t="s">
        <v>1318</v>
      </c>
      <c r="D39" s="1655" t="s">
        <v>1319</v>
      </c>
      <c r="E39" s="1656" t="s">
        <v>1320</v>
      </c>
      <c r="F39" s="1651"/>
      <c r="G39" s="119"/>
      <c r="H39" s="119"/>
      <c r="I39" s="119"/>
    </row>
    <row r="40" spans="1:15" ht="14.25">
      <c r="A40" s="1657" t="s">
        <v>1321</v>
      </c>
      <c r="B40" s="139"/>
      <c r="C40" s="140"/>
      <c r="D40" s="140"/>
      <c r="E40" s="141"/>
      <c r="F40" s="1651"/>
      <c r="G40" s="119"/>
      <c r="H40" s="119"/>
      <c r="I40" s="119"/>
    </row>
    <row r="41" spans="1:15" ht="14.25">
      <c r="A41" s="1657" t="s">
        <v>1322</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1323</v>
      </c>
      <c r="B44" s="1661"/>
      <c r="C44" s="1661"/>
      <c r="D44" s="1662"/>
      <c r="E44" s="1662"/>
      <c r="F44" s="1663"/>
      <c r="G44" s="1663"/>
      <c r="H44" s="1663"/>
      <c r="I44" s="1663"/>
      <c r="J44" s="1664" t="s">
        <v>1324</v>
      </c>
      <c r="K44" s="4"/>
      <c r="L44" s="4"/>
      <c r="M44" s="4"/>
      <c r="N44" s="4"/>
      <c r="O44" s="4"/>
    </row>
    <row r="45" spans="1:15" ht="14.25" customHeight="1" thickBot="1">
      <c r="A45" s="3280" t="s">
        <v>1325</v>
      </c>
      <c r="B45" s="3281"/>
      <c r="C45" s="3282"/>
      <c r="D45" s="145">
        <f ca="1">ROUND(H101*F45,0)</f>
        <v>129666</v>
      </c>
      <c r="E45" s="146" t="s">
        <v>1326</v>
      </c>
      <c r="F45" s="147">
        <v>1</v>
      </c>
      <c r="G45" s="148" t="s">
        <v>1327</v>
      </c>
      <c r="H45" s="119"/>
      <c r="I45" s="119"/>
      <c r="J45" s="3358" t="s">
        <v>1328</v>
      </c>
      <c r="K45" s="3358"/>
      <c r="L45" s="3358"/>
      <c r="M45" s="3358"/>
      <c r="N45" s="3358"/>
      <c r="O45" s="3358"/>
    </row>
    <row r="46" spans="1:15" ht="14.25" customHeight="1">
      <c r="A46" s="3277" t="s">
        <v>1329</v>
      </c>
      <c r="B46" s="3278"/>
      <c r="C46" s="3278"/>
      <c r="D46" s="3278"/>
      <c r="E46" s="3278"/>
      <c r="F46" s="3278"/>
      <c r="G46" s="3279"/>
      <c r="H46" s="1665"/>
      <c r="I46" s="149"/>
      <c r="J46" s="2307">
        <v>1</v>
      </c>
      <c r="K46" s="3339" t="s">
        <v>1330</v>
      </c>
      <c r="L46" s="3339"/>
      <c r="M46" s="3359"/>
      <c r="N46" s="3359"/>
      <c r="O46" s="3359"/>
    </row>
    <row r="47" spans="1:15" ht="12" customHeight="1">
      <c r="A47" s="150" t="s">
        <v>1331</v>
      </c>
      <c r="B47" s="151"/>
      <c r="C47" s="152"/>
      <c r="D47" s="1022" t="s">
        <v>1332</v>
      </c>
      <c r="E47" s="292" t="s">
        <v>1333</v>
      </c>
      <c r="F47" s="153" t="s">
        <v>1334</v>
      </c>
      <c r="G47" s="2330" t="s">
        <v>1335</v>
      </c>
      <c r="H47" s="2331"/>
      <c r="I47" s="149"/>
      <c r="J47" s="2307">
        <v>2</v>
      </c>
      <c r="K47" s="3339" t="s">
        <v>1336</v>
      </c>
      <c r="L47" s="3339"/>
      <c r="M47" s="3360">
        <f>'数据-取费表'!B2</f>
        <v>45604</v>
      </c>
      <c r="N47" s="3360"/>
      <c r="O47" s="3360"/>
    </row>
    <row r="48" spans="1:15" ht="25.5">
      <c r="A48" s="3308" t="s">
        <v>1337</v>
      </c>
      <c r="B48" s="3291"/>
      <c r="C48" s="3291"/>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1338</v>
      </c>
      <c r="H48" s="2334"/>
      <c r="I48" s="1665"/>
      <c r="J48" s="2307">
        <v>3</v>
      </c>
      <c r="K48" s="3339" t="s">
        <v>1339</v>
      </c>
      <c r="L48" s="3339"/>
      <c r="M48" s="3361">
        <f ca="1">H101</f>
        <v>129666</v>
      </c>
      <c r="N48" s="3361"/>
      <c r="O48" s="3361"/>
    </row>
    <row r="49" spans="1:35" ht="25.5" customHeight="1">
      <c r="A49" s="2149" t="s">
        <v>1340</v>
      </c>
      <c r="B49" s="3275" t="s">
        <v>1341</v>
      </c>
      <c r="C49" s="3275"/>
      <c r="D49" s="1475">
        <v>0</v>
      </c>
      <c r="E49" s="314" t="s">
        <v>1342</v>
      </c>
      <c r="F49" s="2230" t="s">
        <v>28</v>
      </c>
      <c r="G49" s="3345"/>
      <c r="H49" s="2131" t="s">
        <v>2129</v>
      </c>
      <c r="I49" s="2132"/>
      <c r="J49" s="2307">
        <v>4</v>
      </c>
      <c r="K49" s="3339" t="str">
        <f>IF(项目基本情况!E8="房地产抵押价值","房地产抵押价值","抵押担保权已注销时的房地产抵押价值")</f>
        <v>房地产抵押价值</v>
      </c>
      <c r="L49" s="3339"/>
      <c r="M49" s="3361">
        <f ca="1">IF(项目基本情况!E8="房地产抵押价值",H107,H109)</f>
        <v>129666</v>
      </c>
      <c r="N49" s="3361"/>
      <c r="O49" s="3361"/>
    </row>
    <row r="50" spans="1:35" ht="25.5" customHeight="1">
      <c r="A50" s="2335"/>
      <c r="B50" s="3275" t="s">
        <v>1343</v>
      </c>
      <c r="C50" s="3275"/>
      <c r="D50" s="2186"/>
      <c r="E50" s="321"/>
      <c r="F50" s="2230"/>
      <c r="G50" s="3346"/>
      <c r="H50" s="2133" t="s">
        <v>2130</v>
      </c>
      <c r="I50" s="2132"/>
      <c r="J50" s="3358" t="s">
        <v>1344</v>
      </c>
      <c r="K50" s="3358"/>
      <c r="L50" s="3358"/>
      <c r="M50" s="3358"/>
      <c r="N50" s="3358"/>
      <c r="O50" s="3358"/>
    </row>
    <row r="51" spans="1:35" ht="20.45" customHeight="1">
      <c r="A51" s="2336"/>
      <c r="B51" s="3275" t="s">
        <v>1345</v>
      </c>
      <c r="C51" s="3275"/>
      <c r="D51" s="1022"/>
      <c r="E51" s="317"/>
      <c r="F51" s="2230"/>
      <c r="G51" s="3347"/>
      <c r="H51" s="2133" t="s">
        <v>2131</v>
      </c>
      <c r="I51" s="2132"/>
      <c r="J51" s="2308" t="s">
        <v>1346</v>
      </c>
      <c r="K51" s="3339" t="s">
        <v>1347</v>
      </c>
      <c r="L51" s="3339"/>
      <c r="M51" s="2308" t="s">
        <v>1348</v>
      </c>
      <c r="N51" s="2308" t="s">
        <v>1349</v>
      </c>
      <c r="O51" s="2308" t="s">
        <v>1350</v>
      </c>
    </row>
    <row r="52" spans="1:35" ht="24" customHeight="1">
      <c r="A52" s="2150" t="s">
        <v>1351</v>
      </c>
      <c r="B52" s="3275" t="s">
        <v>1352</v>
      </c>
      <c r="C52" s="3275"/>
      <c r="D52" s="1022">
        <f ca="1">ROUND(D45*'数据-取费表'!B41/(1+'数据-取费表'!C42),0)</f>
        <v>6916</v>
      </c>
      <c r="E52" s="1253" t="s">
        <v>1353</v>
      </c>
      <c r="F52" s="2337">
        <f>'数据-取费表'!B41</f>
        <v>5.6000000000000001E-2</v>
      </c>
      <c r="G52" s="2338"/>
      <c r="H52" s="2328"/>
      <c r="I52" s="1666"/>
      <c r="J52" s="2307">
        <v>1</v>
      </c>
      <c r="K52" s="3340" t="s">
        <v>1354</v>
      </c>
      <c r="L52" s="3340"/>
      <c r="M52" s="2309" t="b">
        <f>D48</f>
        <v>0</v>
      </c>
      <c r="N52" s="2307" t="str">
        <f>E48</f>
        <v>销售额×税（费）率</v>
      </c>
      <c r="O52" s="2310">
        <f>F48</f>
        <v>5.6000000000000001E-2</v>
      </c>
    </row>
    <row r="53" spans="1:35" ht="12" customHeight="1">
      <c r="A53" s="2150" t="s">
        <v>1355</v>
      </c>
      <c r="B53" s="3301" t="s">
        <v>2286</v>
      </c>
      <c r="C53" s="3302"/>
      <c r="D53" s="1022">
        <f ca="1">ROUND(D45*'数据-取费表'!B41/(1+'数据-取费表'!C42),0)</f>
        <v>6916</v>
      </c>
      <c r="E53" s="1253" t="s">
        <v>1353</v>
      </c>
      <c r="F53" s="2337">
        <f>'数据-取费表'!B41</f>
        <v>5.6000000000000001E-2</v>
      </c>
      <c r="G53" s="2338"/>
      <c r="H53" s="2328"/>
      <c r="I53" s="1666"/>
      <c r="J53" s="2307">
        <v>2</v>
      </c>
      <c r="K53" s="3340" t="s">
        <v>1356</v>
      </c>
      <c r="L53" s="3340"/>
      <c r="M53" s="2309">
        <f t="shared" ref="M53:O54" ca="1" si="0">D55</f>
        <v>65</v>
      </c>
      <c r="N53" s="2307" t="str">
        <f t="shared" si="0"/>
        <v>销售额×税（费）率</v>
      </c>
      <c r="O53" s="2310" t="str">
        <f t="shared" si="0"/>
        <v>免征</v>
      </c>
    </row>
    <row r="54" spans="1:35" ht="12" customHeight="1">
      <c r="A54" s="2150" t="s">
        <v>1357</v>
      </c>
      <c r="B54" s="3301" t="s">
        <v>2287</v>
      </c>
      <c r="C54" s="3302"/>
      <c r="D54" s="1022">
        <f ca="1">C68</f>
        <v>6915</v>
      </c>
      <c r="E54" s="317" t="s">
        <v>1358</v>
      </c>
      <c r="F54" s="2337">
        <f>'数据-取费表'!B41</f>
        <v>5.6000000000000001E-2</v>
      </c>
      <c r="G54" s="2338"/>
      <c r="H54" s="2339"/>
      <c r="I54" s="1666"/>
      <c r="J54" s="2307">
        <v>3</v>
      </c>
      <c r="K54" s="3340" t="s">
        <v>1359</v>
      </c>
      <c r="L54" s="3340"/>
      <c r="M54" s="2309">
        <f t="shared" ca="1" si="0"/>
        <v>73391</v>
      </c>
      <c r="N54" s="2307" t="str">
        <f t="shared" si="0"/>
        <v>增值额×税（费）率</v>
      </c>
      <c r="O54" s="2311" t="str">
        <f t="shared" si="0"/>
        <v>免征</v>
      </c>
    </row>
    <row r="55" spans="1:35" ht="24" customHeight="1">
      <c r="A55" s="3290" t="s">
        <v>1360</v>
      </c>
      <c r="B55" s="3291"/>
      <c r="C55" s="3291"/>
      <c r="D55" s="12">
        <f ca="1">IF(H55="个人住宅",0,ROUND(D45*I55,0))</f>
        <v>65</v>
      </c>
      <c r="E55" s="1253" t="s">
        <v>1361</v>
      </c>
      <c r="F55" s="2337" t="str">
        <f>IF(H55="正常",I55,"免征")</f>
        <v>免征</v>
      </c>
      <c r="G55" s="2338"/>
      <c r="H55" s="2334"/>
      <c r="I55" s="155">
        <f>'数据-取费表'!B49</f>
        <v>5.0000000000000001E-4</v>
      </c>
      <c r="J55" s="2307">
        <f>IF(H59="非个人房产","",4)</f>
        <v>4</v>
      </c>
      <c r="K55" s="3340" t="str">
        <f>IF(H59="非个人房产","——","个人所得税")</f>
        <v>个人所得税</v>
      </c>
      <c r="L55" s="3340"/>
      <c r="M55" s="2312">
        <f ca="1">D59</f>
        <v>1235</v>
      </c>
      <c r="N55" s="1880" t="str">
        <f>E59</f>
        <v>差额计税</v>
      </c>
      <c r="O55" s="2313">
        <f>F59</f>
        <v>0.01</v>
      </c>
    </row>
    <row r="56" spans="1:35" ht="24.75">
      <c r="A56" s="3290" t="s">
        <v>1362</v>
      </c>
      <c r="B56" s="3291"/>
      <c r="C56" s="3291"/>
      <c r="D56" s="12">
        <f ca="1">IF(H56="个人住宅",D57,D58)</f>
        <v>73391</v>
      </c>
      <c r="E56" s="1253" t="s">
        <v>1363</v>
      </c>
      <c r="F56" s="2337" t="str">
        <f>IF(H56="正常",F58,"免征")</f>
        <v>免征</v>
      </c>
      <c r="G56" s="2340" t="s">
        <v>1364</v>
      </c>
      <c r="H56" s="2341"/>
      <c r="I56" s="1667"/>
      <c r="J56" s="2307" t="str">
        <f>IF(项目基本情况!K6="上海银行",IF(J55="",4,J55+1),"")</f>
        <v/>
      </c>
      <c r="K56" s="3363" t="str">
        <f>IF(项目基本情况!K6="上海银行","其他处置费用","")</f>
        <v/>
      </c>
      <c r="L56" s="3364"/>
      <c r="M56" s="2309" t="str">
        <f>IF(项目基本情况!K6="上海银行",M69,"")</f>
        <v/>
      </c>
      <c r="N56" s="3363" t="str">
        <f>IF(项目基本情况!K6="上海银行","包含处置中涉及的律师、诉讼、拍卖、评估等费用","")</f>
        <v/>
      </c>
      <c r="O56" s="3366"/>
    </row>
    <row r="57" spans="1:35" ht="12.75">
      <c r="A57" s="2150" t="s">
        <v>1340</v>
      </c>
      <c r="B57" s="3301" t="s">
        <v>1365</v>
      </c>
      <c r="C57" s="3302"/>
      <c r="D57" s="1475">
        <v>0</v>
      </c>
      <c r="E57" s="314" t="s">
        <v>1342</v>
      </c>
      <c r="F57" s="292"/>
      <c r="G57" s="2338"/>
      <c r="H57" s="2342"/>
      <c r="I57" s="1667"/>
      <c r="J57" s="3340">
        <f>IF(AND(J55="",J56=""),4,IF(项目基本情况!K6="上海银行",结果表!J56+1,结果表!J55+1))</f>
        <v>5</v>
      </c>
      <c r="K57" s="3340" t="s">
        <v>1366</v>
      </c>
      <c r="L57" s="2314" t="s">
        <v>1367</v>
      </c>
      <c r="M57" s="2315"/>
      <c r="N57" s="2316">
        <f ca="1">SUMIF(M52:M56,"&lt;9e307")</f>
        <v>74691</v>
      </c>
      <c r="O57" s="2317"/>
      <c r="P57" s="2462">
        <f ca="1">N57/M49</f>
        <v>0.57602609782055436</v>
      </c>
    </row>
    <row r="58" spans="1:35" ht="24.75">
      <c r="A58" s="2150" t="s">
        <v>1351</v>
      </c>
      <c r="B58" s="3301" t="s">
        <v>1368</v>
      </c>
      <c r="C58" s="3275"/>
      <c r="D58" s="12">
        <f ca="1">IF(H58="转让取得",C81,C97)</f>
        <v>73391</v>
      </c>
      <c r="E58" s="1253" t="s">
        <v>1363</v>
      </c>
      <c r="F58" s="292" t="s">
        <v>28</v>
      </c>
      <c r="G58" s="2338"/>
      <c r="H58" s="2341"/>
      <c r="I58" s="1667"/>
      <c r="J58" s="3340"/>
      <c r="K58" s="3340"/>
      <c r="L58" s="2314" t="s">
        <v>1369</v>
      </c>
      <c r="M58" s="2318"/>
      <c r="N58" s="2319" t="str">
        <f ca="1">NUMBERSTRING(INT(N57*10000),2)&amp;"元整"</f>
        <v>柒亿肆仟陆佰玖拾壹万元整</v>
      </c>
      <c r="O58" s="2320"/>
    </row>
    <row r="59" spans="1:35" ht="24.75" thickBot="1">
      <c r="A59" s="3343" t="s">
        <v>1370</v>
      </c>
      <c r="B59" s="3344"/>
      <c r="C59" s="3344"/>
      <c r="D59" s="2343">
        <f ca="1">IF(H59="非个人房产","——",IF(H59="个人住宅（满五唯一有凭证）",0,IF(H59="个人其他（无凭证）",ROUND(D45*F59,0),ROUND(C67*F59,0))))</f>
        <v>1235</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5"/>
      <c r="I59" s="2134" t="s">
        <v>2132</v>
      </c>
      <c r="J59" s="3341">
        <f>J57+1</f>
        <v>6</v>
      </c>
      <c r="K59" s="3340" t="s">
        <v>1371</v>
      </c>
      <c r="L59" s="2307" t="s">
        <v>1367</v>
      </c>
      <c r="M59" s="2321"/>
      <c r="N59" s="2322">
        <f ca="1">M49-N57</f>
        <v>54975</v>
      </c>
      <c r="O59" s="2323"/>
    </row>
    <row r="60" spans="1:35" ht="12" customHeight="1">
      <c r="A60" s="1668"/>
      <c r="B60" s="644"/>
      <c r="C60" s="644"/>
      <c r="D60" s="644"/>
      <c r="E60" s="1463"/>
      <c r="F60" s="1667"/>
      <c r="G60" s="1667"/>
      <c r="H60" s="149"/>
      <c r="I60" s="119"/>
      <c r="J60" s="3342"/>
      <c r="K60" s="3340"/>
      <c r="L60" s="2314" t="s">
        <v>1369</v>
      </c>
      <c r="M60" s="2318"/>
      <c r="N60" s="2319" t="str">
        <f ca="1">NUMBERSTRING(INT(N59*10000),2)&amp;"元整"</f>
        <v>伍亿肆仟玖佰柒拾伍万元整</v>
      </c>
      <c r="O60" s="2320"/>
    </row>
    <row r="61" spans="1:35" ht="13.5" thickBot="1">
      <c r="A61" s="3288" t="s">
        <v>1372</v>
      </c>
      <c r="B61" s="3288"/>
      <c r="C61" s="3288"/>
      <c r="D61" s="3288"/>
      <c r="E61" s="3288"/>
      <c r="F61" s="1667"/>
      <c r="G61" s="1667"/>
      <c r="H61" s="149"/>
      <c r="I61" s="119"/>
      <c r="J61" s="2307">
        <f>J59+1</f>
        <v>7</v>
      </c>
      <c r="K61" s="3340" t="s">
        <v>1373</v>
      </c>
      <c r="L61" s="3340"/>
      <c r="M61" s="2324"/>
      <c r="N61" s="2325">
        <f ca="1">ROUND(N59*10000/'数据-汇总表'!E3,0)</f>
        <v>8079</v>
      </c>
      <c r="O61" s="2326"/>
    </row>
    <row r="62" spans="1:35" ht="12.75">
      <c r="A62" s="3306" t="s">
        <v>1374</v>
      </c>
      <c r="B62" s="3307"/>
      <c r="C62" s="1862"/>
      <c r="D62" s="1862" t="s">
        <v>1375</v>
      </c>
      <c r="E62" s="156" t="s">
        <v>1376</v>
      </c>
      <c r="F62" s="1667"/>
      <c r="G62" s="1667"/>
      <c r="H62" s="149"/>
      <c r="I62" s="119"/>
    </row>
    <row r="63" spans="1:35" ht="12.75">
      <c r="A63" s="163" t="s">
        <v>330</v>
      </c>
      <c r="B63" s="157" t="s">
        <v>1377</v>
      </c>
      <c r="C63" s="2347">
        <f ca="1">ROUND((C64+C65)/(1+'数据-取费表'!C42),0)</f>
        <v>123491</v>
      </c>
      <c r="D63" s="157"/>
      <c r="E63" s="158"/>
      <c r="F63" s="1667"/>
      <c r="G63" s="1667"/>
      <c r="H63" s="149"/>
      <c r="I63" s="119"/>
      <c r="J63" s="3365" t="s">
        <v>1378</v>
      </c>
      <c r="K63" s="1242" t="s">
        <v>1379</v>
      </c>
      <c r="L63" s="1242">
        <f ca="1">IF(M49&gt;10000,M49*0.5%,IF(AND(M49&gt;1000,M49&lt;=10000),M49*1%,IF(AND(M49&gt;100,M49&lt;=1000),M49*3%,IF(AND(M49&gt;10,M49&lt;=100),M49*5%,M49*8%))))</f>
        <v>648.33000000000004</v>
      </c>
      <c r="M63" s="292">
        <f ca="1">ROUND(L63,1)</f>
        <v>648.29999999999995</v>
      </c>
      <c r="N63" s="2327"/>
      <c r="Z63" s="1620"/>
      <c r="AI63" s="1558"/>
    </row>
    <row r="64" spans="1:35" ht="14.25" customHeight="1">
      <c r="A64" s="159" t="s">
        <v>325</v>
      </c>
      <c r="B64" s="160" t="s">
        <v>1380</v>
      </c>
      <c r="C64" s="2348">
        <f ca="1">D45</f>
        <v>129666</v>
      </c>
      <c r="D64" s="160" t="s">
        <v>26</v>
      </c>
      <c r="E64" s="162"/>
      <c r="F64" s="1667"/>
      <c r="G64" s="1667"/>
      <c r="H64" s="149"/>
      <c r="I64" s="119"/>
      <c r="J64" s="3365"/>
      <c r="K64" s="1242" t="s">
        <v>1381</v>
      </c>
      <c r="L64" s="1242">
        <f ca="1">IF(M49&gt;2000,M49*0.5%,IF(AND(M49&gt;1000,M49&lt;=2000),M49*0.6%,IF(AND(M49&gt;500,M49&lt;=1000),M49*0.7%,IF(AND(M49&gt;200,M49&lt;=500),M49*0.8%,IF(AND(M49&gt;100,M49&lt;=200),M49*0.9%,IF(AND(M49&gt;50,M49&lt;=100),M49*1%,IF(AND(M49&gt;20,M49&lt;=50),M49*1.5%,IF(AND(M49&gt;10,M49&lt;=20),M49*2%,IF(AND(M49&gt;1,M49&lt;=10),M49*2.5%)))))))))</f>
        <v>648.33000000000004</v>
      </c>
      <c r="M64" s="292">
        <f t="shared" ref="M64:M65" ca="1" si="1">ROUND(L64,1)</f>
        <v>648.29999999999995</v>
      </c>
      <c r="N64" s="2328" t="s">
        <v>1382</v>
      </c>
      <c r="Z64" s="1620"/>
      <c r="AI64" s="1558"/>
    </row>
    <row r="65" spans="1:35" ht="14.25" customHeight="1">
      <c r="A65" s="159" t="s">
        <v>326</v>
      </c>
      <c r="B65" s="160" t="s">
        <v>1383</v>
      </c>
      <c r="C65" s="2349"/>
      <c r="D65" s="160"/>
      <c r="E65" s="162"/>
      <c r="F65" s="1667"/>
      <c r="G65" s="1667"/>
      <c r="H65" s="149"/>
      <c r="I65" s="119"/>
      <c r="J65" s="3365"/>
      <c r="K65" s="1242" t="s">
        <v>1384</v>
      </c>
      <c r="L65" s="1242">
        <f ca="1">IF(M49&gt;1000,M49*0.1%,IF(AND(M49&gt;500,M49&lt;=1000),M49*0.5%,IF(AND(M49&gt;50,M49&lt;=500),M49*1%,IF(AND(M49&gt;1,M49&lt;=50),M49*1.5%))))</f>
        <v>129.666</v>
      </c>
      <c r="M65" s="292">
        <f t="shared" ca="1" si="1"/>
        <v>129.69999999999999</v>
      </c>
      <c r="N65" s="2328" t="s">
        <v>1382</v>
      </c>
      <c r="Z65" s="1620"/>
      <c r="AI65" s="1558"/>
    </row>
    <row r="66" spans="1:35" ht="14.25" customHeight="1">
      <c r="A66" s="163" t="s">
        <v>327</v>
      </c>
      <c r="B66" s="164" t="s">
        <v>1385</v>
      </c>
      <c r="C66" s="2350"/>
      <c r="D66" s="164" t="s">
        <v>26</v>
      </c>
      <c r="E66" s="1248" t="s">
        <v>670</v>
      </c>
      <c r="F66" s="1667"/>
      <c r="G66" s="1667"/>
      <c r="H66" s="149"/>
      <c r="I66" s="119"/>
      <c r="J66" s="3365"/>
      <c r="K66" s="1242" t="s">
        <v>1386</v>
      </c>
      <c r="L66" s="1242">
        <f ca="1">M49*0.5%</f>
        <v>648.33000000000004</v>
      </c>
      <c r="M66" s="292">
        <f ca="1">IF(L66&gt;0.5,0.5,ROUND(L66,0))</f>
        <v>0.5</v>
      </c>
      <c r="N66" s="2328" t="s">
        <v>1387</v>
      </c>
      <c r="Z66" s="1620"/>
      <c r="AI66" s="1558"/>
    </row>
    <row r="67" spans="1:35" ht="14.25" customHeight="1">
      <c r="A67" s="163" t="s">
        <v>328</v>
      </c>
      <c r="B67" s="164" t="s">
        <v>1388</v>
      </c>
      <c r="C67" s="2351">
        <f ca="1">C63-C66</f>
        <v>123491</v>
      </c>
      <c r="D67" s="160" t="s">
        <v>26</v>
      </c>
      <c r="E67" s="162"/>
      <c r="F67" s="1667"/>
      <c r="G67" s="1667"/>
      <c r="H67" s="149"/>
      <c r="I67" s="119"/>
      <c r="J67" s="3365"/>
      <c r="K67" s="1242" t="s">
        <v>1389</v>
      </c>
      <c r="L67" s="1242">
        <f ca="1">IF(M49&gt;=10000,(8.25+(M49-10000)*0.01%),IF(AND(M49&gt;=8000,M49&lt;10000),(7.85+(M49-8000)*0.02%),IF(AND(M49&gt;=5000,M49&lt;8000),(6.65+(M49-5000)*0.04%),IF(AND(M49&gt;=2000,M49&lt;5000),(4.25+(PM49-2000)*0.08%),IF(AND(M49&gt;=1000,M49&lt;2000),(2.75+(M49-1000)*0.15%),IF(AND(M49&gt;=100,M49&lt;1000),(0.5+(M49-100)*0.25%),IF(AND(M49&gt;0,M49&lt;100),M49*0.5%)))))))</f>
        <v>20.2166</v>
      </c>
      <c r="M67" s="292">
        <f ca="1">ROUND(L67*0.9,1)</f>
        <v>18.2</v>
      </c>
      <c r="N67" s="2327"/>
      <c r="Z67" s="1620"/>
      <c r="AI67" s="1558"/>
    </row>
    <row r="68" spans="1:35" ht="14.25" customHeight="1" thickBot="1">
      <c r="A68" s="166" t="s">
        <v>329</v>
      </c>
      <c r="B68" s="167" t="s">
        <v>1390</v>
      </c>
      <c r="C68" s="2352">
        <f ca="1">IF(C67&lt;=0,0,ROUND(C67*D68,0))</f>
        <v>6915</v>
      </c>
      <c r="D68" s="2353">
        <f>'数据-取费表'!B41</f>
        <v>5.6000000000000001E-2</v>
      </c>
      <c r="E68" s="168"/>
      <c r="F68" s="1667"/>
      <c r="G68" s="1667"/>
      <c r="H68" s="149"/>
      <c r="I68" s="119"/>
      <c r="J68" s="3365"/>
      <c r="K68" s="1242" t="s">
        <v>1391</v>
      </c>
      <c r="L68" s="1242">
        <f ca="1">IF(M49&gt;10000,M49*0.5%,IF(AND(M49&gt;5000,M49&lt;=10000),M49*1%,IF(AND(M49&gt;1000,M49&lt;=5000),M49*2%,IF(AND(M49&gt;200,M49&lt;=1000),M49*3%,M49*5%))))</f>
        <v>648.33000000000004</v>
      </c>
      <c r="M68" s="292">
        <f ca="1">ROUND(L68,1)</f>
        <v>648.29999999999995</v>
      </c>
      <c r="N68" s="2327"/>
      <c r="Z68" s="1620"/>
      <c r="AI68" s="1558"/>
    </row>
    <row r="69" spans="1:35" ht="16.5" customHeight="1">
      <c r="A69" s="1669"/>
      <c r="B69" s="1670"/>
      <c r="C69" s="1671"/>
      <c r="D69" s="1672"/>
      <c r="E69" s="1673"/>
      <c r="F69" s="1463"/>
      <c r="G69" s="1463"/>
      <c r="H69" s="1464"/>
      <c r="I69" s="644"/>
      <c r="J69" s="3365"/>
      <c r="K69" s="1242" t="s">
        <v>1392</v>
      </c>
      <c r="L69" s="1242"/>
      <c r="M69" s="292">
        <f ca="1">ROUND(SUM(M63:M68),0)</f>
        <v>2093</v>
      </c>
      <c r="N69" s="2329">
        <f ca="1">M69/M49</f>
        <v>1.6141471164376166E-2</v>
      </c>
      <c r="Z69" s="1620"/>
      <c r="AI69" s="1558"/>
    </row>
    <row r="70" spans="1:35" s="640" customFormat="1" ht="15" thickBot="1">
      <c r="A70" s="3327" t="s">
        <v>1393</v>
      </c>
      <c r="B70" s="3328"/>
      <c r="C70" s="3328"/>
      <c r="D70" s="3328"/>
      <c r="E70" s="3328"/>
      <c r="F70" s="3328"/>
      <c r="G70" s="3328"/>
      <c r="H70" s="3328"/>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6" t="s">
        <v>1374</v>
      </c>
      <c r="B71" s="3307"/>
      <c r="C71" s="1862"/>
      <c r="D71" s="1862" t="s">
        <v>1375</v>
      </c>
      <c r="E71" s="169" t="s">
        <v>1376</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1394</v>
      </c>
      <c r="C72" s="2351">
        <f ca="1">ROUND(D45/(1+'数据-取费表'!C42),0)</f>
        <v>123491</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1395</v>
      </c>
      <c r="C73" s="2351">
        <f ca="1">C74+C78</f>
        <v>741</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1396</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1397</v>
      </c>
      <c r="C75" s="2354"/>
      <c r="D75" s="160" t="s">
        <v>26</v>
      </c>
      <c r="E75" s="174" t="s">
        <v>1398</v>
      </c>
      <c r="F75" s="2355"/>
      <c r="G75" s="174" t="s">
        <v>1399</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1400</v>
      </c>
      <c r="C76" s="160">
        <f>IF(F75="购房发票",ROUND(C75*H75*D76,0),0)</f>
        <v>0</v>
      </c>
      <c r="D76" s="2357">
        <v>0.05</v>
      </c>
      <c r="E76" s="3301" t="s">
        <v>1401</v>
      </c>
      <c r="F76" s="3275"/>
      <c r="G76" s="3275"/>
      <c r="H76" s="3326"/>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1402</v>
      </c>
      <c r="C77" s="160">
        <f>ROUND(IF(G77="个人住宅",0,IF(G77="2016年5月1日前购买",C75*D77,C75*D77/(1+'数据-取费表'!C42))),0)</f>
        <v>0</v>
      </c>
      <c r="D77" s="2358">
        <f>'数据-取费表'!B48+'数据-取费表'!B49</f>
        <v>3.0499999999999999E-2</v>
      </c>
      <c r="E77" s="12" t="s">
        <v>1403</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1404</v>
      </c>
      <c r="C78" s="2359">
        <f ca="1">ROUND(D45*D78/(1+'数据-取费表'!C42),0)</f>
        <v>741</v>
      </c>
      <c r="D78" s="2360">
        <f>'数据-取费表'!B43</f>
        <v>6.000000000000001E-3</v>
      </c>
      <c r="E78" s="3285" t="s">
        <v>1405</v>
      </c>
      <c r="F78" s="3286"/>
      <c r="G78" s="3286"/>
      <c r="H78" s="3295"/>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1406</v>
      </c>
      <c r="C79" s="2351">
        <f ca="1">C72-C73</f>
        <v>122750</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1407</v>
      </c>
      <c r="C80" s="2361">
        <f ca="1">IF(C79&lt;=0,0,C79/C73)</f>
        <v>165.65452091767881</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1408</v>
      </c>
      <c r="C81" s="2362">
        <f ca="1">ROUND(IF(C79&lt;=0,0,IF(C80&gt;=200%,C79*60%-C73*35%,IF(C80&gt;=100%,C79*50%-C73*15%,IF(C80&gt;=50%,C79*40%-C73*5%,IF(C80&lt;50%,C79*30%,0))))),0)</f>
        <v>73391</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7" t="s">
        <v>1409</v>
      </c>
      <c r="B83" s="3328"/>
      <c r="C83" s="3328"/>
      <c r="D83" s="3328"/>
      <c r="E83" s="3328"/>
      <c r="F83" s="3328"/>
      <c r="G83" s="3328"/>
      <c r="H83" s="3328"/>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6" t="s">
        <v>1374</v>
      </c>
      <c r="B84" s="3307"/>
      <c r="C84" s="1862"/>
      <c r="D84" s="1862" t="s">
        <v>1375</v>
      </c>
      <c r="E84" s="169" t="s">
        <v>1376</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1394</v>
      </c>
      <c r="C85" s="2351">
        <f ca="1">ROUND(D45/(1+'数据-取费表'!C42),0)</f>
        <v>123491</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1395</v>
      </c>
      <c r="C86" s="2351">
        <f ca="1">IF(H88="仅含出让金",C87+C90+C91+C92+C93+C94,C87+C91+C92+C93+C94)</f>
        <v>741</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1410</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1411</v>
      </c>
      <c r="C88" s="2365"/>
      <c r="D88" s="2360"/>
      <c r="E88" s="183" t="s">
        <v>1412</v>
      </c>
      <c r="F88" s="2145"/>
      <c r="G88" s="184" t="s">
        <v>1413</v>
      </c>
      <c r="H88" s="1681"/>
      <c r="I88" s="1678"/>
      <c r="J88" s="2305"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1402</v>
      </c>
      <c r="C89" s="2359">
        <f>ROUND(C88*D89,0)</f>
        <v>0</v>
      </c>
      <c r="D89" s="2360">
        <f>'数据-取费表'!B48+'数据-取费表'!B49</f>
        <v>3.0499999999999999E-2</v>
      </c>
      <c r="E89" s="183" t="s">
        <v>1414</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1415</v>
      </c>
      <c r="C90" s="2365"/>
      <c r="D90" s="2360"/>
      <c r="E90" s="183" t="str">
        <f>IF(H88="-","土地取得成本中已包含该笔费用"," ")</f>
        <v xml:space="preserve"> </v>
      </c>
      <c r="F90" s="2145"/>
      <c r="G90" s="3367" t="s">
        <v>2124</v>
      </c>
      <c r="H90" s="3368"/>
      <c r="I90" s="1678"/>
      <c r="J90" s="2305"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1416</v>
      </c>
      <c r="B91" s="160" t="s">
        <v>1417</v>
      </c>
      <c r="C91" s="2359">
        <f>IF(H91="——",成本法!C33,I91)</f>
        <v>0</v>
      </c>
      <c r="D91" s="2360"/>
      <c r="E91" s="3285" t="s">
        <v>1418</v>
      </c>
      <c r="F91" s="3286"/>
      <c r="G91" s="3286"/>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1419</v>
      </c>
      <c r="B92" s="160" t="s">
        <v>1420</v>
      </c>
      <c r="C92" s="2359">
        <f>ROUND((C87+C90+C91)*D92,0)</f>
        <v>0</v>
      </c>
      <c r="D92" s="2366"/>
      <c r="E92" s="3285" t="s">
        <v>1421</v>
      </c>
      <c r="F92" s="3286"/>
      <c r="G92" s="3286"/>
      <c r="H92" s="3295"/>
      <c r="I92" s="1678"/>
      <c r="J92" s="2306"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1422</v>
      </c>
      <c r="B93" s="160" t="s">
        <v>1404</v>
      </c>
      <c r="C93" s="2359">
        <f ca="1">ROUND(D45*D93/(1+'数据-取费表'!C42),0)</f>
        <v>741</v>
      </c>
      <c r="D93" s="2360">
        <f>'数据-取费表'!B43</f>
        <v>6.000000000000001E-3</v>
      </c>
      <c r="E93" s="3285" t="s">
        <v>1405</v>
      </c>
      <c r="F93" s="3286"/>
      <c r="G93" s="3286"/>
      <c r="H93" s="3295"/>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1423</v>
      </c>
      <c r="B94" s="160" t="s">
        <v>1424</v>
      </c>
      <c r="C94" s="2365">
        <f>ROUND((C87+C90+C91)*D94,0)</f>
        <v>0</v>
      </c>
      <c r="D94" s="2360">
        <v>0.2</v>
      </c>
      <c r="E94" s="3296" t="s">
        <v>1425</v>
      </c>
      <c r="F94" s="3297"/>
      <c r="G94" s="3297"/>
      <c r="H94" s="329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1406</v>
      </c>
      <c r="C95" s="2351">
        <f ca="1">ROUND(C85-C86,0)</f>
        <v>122750</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1407</v>
      </c>
      <c r="C96" s="2361">
        <f ca="1">IF(C95&lt;=0,0,C95/C86)</f>
        <v>165.65452091767881</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1408</v>
      </c>
      <c r="C97" s="2362">
        <f ca="1">ROUND(IF(C95&lt;=0,0,IF(C96&gt;=200%,C95*60%-C86*35%,IF(C96&gt;=100%,C95*50%-C86*15%,IF(C96&gt;=50%,C95*40%-C86*5%,IF(C96&lt;50%,C95*30%,0))))),0)</f>
        <v>73391</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1426</v>
      </c>
      <c r="B99" s="644"/>
      <c r="C99" s="644"/>
      <c r="D99" s="644"/>
      <c r="E99" s="1463"/>
      <c r="F99" s="1463"/>
      <c r="G99" s="1463"/>
      <c r="H99" s="1464"/>
      <c r="I99" s="119"/>
    </row>
    <row r="100" spans="1:35" ht="18.75" customHeight="1">
      <c r="A100" s="3266" t="s">
        <v>1427</v>
      </c>
      <c r="B100" s="3267"/>
      <c r="C100" s="3267"/>
      <c r="D100" s="3287"/>
      <c r="E100" s="3267" t="s">
        <v>1428</v>
      </c>
      <c r="F100" s="3267"/>
      <c r="G100" s="3267"/>
      <c r="H100" s="3287"/>
      <c r="I100" s="119"/>
    </row>
    <row r="101" spans="1:35" ht="18.75" customHeight="1">
      <c r="A101" s="3348" t="s">
        <v>1429</v>
      </c>
      <c r="B101" s="3349"/>
      <c r="C101" s="2368" t="str">
        <f>C4</f>
        <v>成本法</v>
      </c>
      <c r="D101" s="2369" t="str">
        <f>D4</f>
        <v>收益法</v>
      </c>
      <c r="E101" s="3362" t="s">
        <v>1430</v>
      </c>
      <c r="F101" s="3319"/>
      <c r="G101" s="1684" t="s">
        <v>1431</v>
      </c>
      <c r="H101" s="2378">
        <f ca="1">H118</f>
        <v>129666</v>
      </c>
      <c r="I101" s="119"/>
    </row>
    <row r="102" spans="1:35" ht="18.75" customHeight="1">
      <c r="A102" s="3321" t="s">
        <v>1432</v>
      </c>
      <c r="B102" s="2367" t="s">
        <v>1431</v>
      </c>
      <c r="C102" s="2368">
        <f ca="1">IF(D32="楼面单价",ROUND(C19,0),C19)</f>
        <v>158795</v>
      </c>
      <c r="D102" s="2369">
        <f ca="1">IF(D32="楼面单价",ROUND(D19,0),D19)</f>
        <v>100536</v>
      </c>
      <c r="E102" s="3362"/>
      <c r="F102" s="3319"/>
      <c r="G102" s="1684" t="s">
        <v>1433</v>
      </c>
      <c r="H102" s="2338">
        <f ca="1">I118</f>
        <v>19055</v>
      </c>
      <c r="I102" s="119"/>
    </row>
    <row r="103" spans="1:35" ht="42.75" customHeight="1">
      <c r="A103" s="3321"/>
      <c r="B103" s="2367" t="s">
        <v>1433</v>
      </c>
      <c r="C103" s="2370">
        <f ca="1">C20</f>
        <v>23335</v>
      </c>
      <c r="D103" s="2371">
        <f ca="1">D20</f>
        <v>14774</v>
      </c>
      <c r="E103" s="3356" t="s">
        <v>1434</v>
      </c>
      <c r="F103" s="3357"/>
      <c r="G103" s="1685" t="s">
        <v>1435</v>
      </c>
      <c r="H103" s="2378">
        <f>IF(D36="正常操作",H104+H105+H106,H105+H106)</f>
        <v>0</v>
      </c>
      <c r="I103" s="119"/>
    </row>
    <row r="104" spans="1:35" ht="18.75" customHeight="1">
      <c r="A104" s="3321" t="s">
        <v>1436</v>
      </c>
      <c r="B104" s="2372" t="s">
        <v>1431</v>
      </c>
      <c r="C104" s="2373">
        <f ca="1">H118</f>
        <v>129666</v>
      </c>
      <c r="D104" s="2374"/>
      <c r="E104" s="1552" t="s">
        <v>1437</v>
      </c>
      <c r="F104" s="1545"/>
      <c r="G104" s="1685" t="s">
        <v>1435</v>
      </c>
      <c r="H104" s="2379">
        <f>IF(D36="同一抵押权人同一抵押物续贷",C36&amp;"（续贷，未扣减，详见特别提示）",C36)</f>
        <v>0</v>
      </c>
      <c r="I104" s="119"/>
    </row>
    <row r="105" spans="1:35" ht="18.75" customHeight="1" thickBot="1">
      <c r="A105" s="3322"/>
      <c r="B105" s="2375" t="s">
        <v>1433</v>
      </c>
      <c r="C105" s="2376">
        <f ca="1">I118</f>
        <v>19055</v>
      </c>
      <c r="D105" s="2377"/>
      <c r="E105" s="1552" t="s">
        <v>1438</v>
      </c>
      <c r="F105" s="1545"/>
      <c r="G105" s="1685" t="s">
        <v>1435</v>
      </c>
      <c r="H105" s="2380">
        <f>C37</f>
        <v>0</v>
      </c>
      <c r="I105" s="119"/>
    </row>
    <row r="106" spans="1:35" ht="18.75" customHeight="1">
      <c r="A106" s="644" t="s">
        <v>1439</v>
      </c>
      <c r="B106" s="644"/>
      <c r="C106" s="644"/>
      <c r="D106" s="644"/>
      <c r="E106" s="1686" t="s">
        <v>1440</v>
      </c>
      <c r="F106" s="1545"/>
      <c r="G106" s="1685" t="s">
        <v>1435</v>
      </c>
      <c r="H106" s="2380">
        <f>C38</f>
        <v>0</v>
      </c>
      <c r="I106" s="119"/>
    </row>
    <row r="107" spans="1:35" ht="18.75" customHeight="1">
      <c r="A107" s="119"/>
      <c r="B107" s="119"/>
      <c r="C107" s="119"/>
      <c r="D107" s="119"/>
      <c r="E107" s="3318" t="str">
        <f>IF(项目基本情况!E8="已注销","——","3.房地产抵押价值")</f>
        <v>3.房地产抵押价值</v>
      </c>
      <c r="F107" s="3319"/>
      <c r="G107" s="1684" t="s">
        <v>1431</v>
      </c>
      <c r="H107" s="2378">
        <f ca="1">IF(E107="——","——",H101-H103)</f>
        <v>129666</v>
      </c>
      <c r="I107" s="119"/>
    </row>
    <row r="108" spans="1:35" ht="18.75" customHeight="1">
      <c r="A108" s="119"/>
      <c r="B108" s="119"/>
      <c r="C108" s="119"/>
      <c r="D108" s="119"/>
      <c r="E108" s="3318"/>
      <c r="F108" s="3319"/>
      <c r="G108" s="1684" t="s">
        <v>1433</v>
      </c>
      <c r="H108" s="2338">
        <f ca="1">IF(H107=H101,H102,ROUND(H107*10000/'数据-汇总表'!E3,0))</f>
        <v>19055</v>
      </c>
      <c r="I108" s="119"/>
    </row>
    <row r="109" spans="1:35" ht="18.75" customHeight="1">
      <c r="A109" s="119"/>
      <c r="B109" s="119"/>
      <c r="C109" s="119"/>
      <c r="D109" s="119"/>
      <c r="E109" s="3318" t="str">
        <f>IF(项目基本情况!E8="已注销及未注销","4.抵押担保权已注销时的房地产抵押价值",IF(项目基本情况!E8="已注销","3.抵押担保权已注销时的房地产抵押价值","——"))</f>
        <v>——</v>
      </c>
      <c r="F109" s="3319"/>
      <c r="G109" s="1684" t="s">
        <v>1431</v>
      </c>
      <c r="H109" s="2381" t="str">
        <f>IF(E109="——","——",H101-H105-H106)</f>
        <v>——</v>
      </c>
      <c r="I109" s="119"/>
    </row>
    <row r="110" spans="1:35" ht="18.75" customHeight="1">
      <c r="A110" s="119"/>
      <c r="B110" s="119"/>
      <c r="C110" s="119"/>
      <c r="D110" s="119"/>
      <c r="E110" s="3318"/>
      <c r="F110" s="3319"/>
      <c r="G110" s="1684" t="s">
        <v>1433</v>
      </c>
      <c r="H110" s="2338" t="str">
        <f>IF(H109="——","——",ROUND(H109*10000/'数据-汇总表'!E3,0))</f>
        <v>——</v>
      </c>
      <c r="I110" s="119"/>
    </row>
    <row r="111" spans="1:35" ht="18.75" customHeight="1">
      <c r="A111" s="119"/>
      <c r="B111" s="119"/>
      <c r="C111" s="119"/>
      <c r="D111" s="119"/>
      <c r="E111" s="3350" t="str">
        <f>IF(项目基本情况!E9="抵押净值",IF(OR(项目基本情况!E8="已注销",项目基本情况!E8="房地产抵押价值"),"4.抵押净值","5.抵押净值"),"——")</f>
        <v>——</v>
      </c>
      <c r="F111" s="3320"/>
      <c r="G111" s="1684" t="s">
        <v>1431</v>
      </c>
      <c r="H111" s="2378" t="str">
        <f>IF(E111="——","——",N59)</f>
        <v>——</v>
      </c>
      <c r="I111" s="119"/>
    </row>
    <row r="112" spans="1:35" ht="18.75" customHeight="1" thickBot="1">
      <c r="A112" s="119"/>
      <c r="B112" s="119"/>
      <c r="C112" s="119"/>
      <c r="D112" s="119"/>
      <c r="E112" s="3351"/>
      <c r="F112" s="3352"/>
      <c r="G112" s="1687" t="s">
        <v>1433</v>
      </c>
      <c r="H112" s="2382" t="str">
        <f>IF(E111="——","——",N61)</f>
        <v>——</v>
      </c>
      <c r="I112" s="119"/>
    </row>
    <row r="113" spans="1:27" ht="18.75" customHeight="1">
      <c r="A113" s="119"/>
      <c r="B113" s="119"/>
      <c r="C113" s="119"/>
      <c r="D113" s="119"/>
      <c r="E113" s="3323" t="s">
        <v>1439</v>
      </c>
      <c r="F113" s="3323"/>
      <c r="G113" s="3323"/>
      <c r="H113" s="3323"/>
      <c r="I113" s="119"/>
    </row>
    <row r="114" spans="1:27" ht="3.75" customHeight="1">
      <c r="A114" s="644"/>
      <c r="B114" s="644"/>
      <c r="C114" s="644"/>
      <c r="D114" s="644"/>
      <c r="E114" s="1668"/>
      <c r="F114" s="1668"/>
      <c r="G114" s="1668"/>
      <c r="H114" s="1668"/>
      <c r="I114" s="644"/>
    </row>
    <row r="115" spans="1:27" ht="18.75" customHeight="1">
      <c r="A115" s="3333" t="s">
        <v>1441</v>
      </c>
      <c r="B115" s="3334"/>
      <c r="C115" s="3334"/>
      <c r="D115" s="3334"/>
      <c r="E115" s="3334"/>
      <c r="F115" s="3334"/>
      <c r="G115" s="3334"/>
      <c r="H115" s="3334"/>
      <c r="I115" s="3335"/>
    </row>
    <row r="116" spans="1:27" ht="27" customHeight="1">
      <c r="A116" s="3289" t="s">
        <v>1442</v>
      </c>
      <c r="B116" s="3324" t="s">
        <v>3509</v>
      </c>
      <c r="C116" s="3324" t="s">
        <v>3510</v>
      </c>
      <c r="D116" s="3337" t="s">
        <v>1443</v>
      </c>
      <c r="E116" s="3338"/>
      <c r="F116" s="3332" t="s">
        <v>4364</v>
      </c>
      <c r="G116" s="3332"/>
      <c r="H116" s="3289" t="s">
        <v>1444</v>
      </c>
      <c r="I116" s="3289"/>
    </row>
    <row r="117" spans="1:27" ht="18.75" customHeight="1">
      <c r="A117" s="3289"/>
      <c r="B117" s="3325"/>
      <c r="C117" s="3325"/>
      <c r="D117" s="2147" t="s">
        <v>1445</v>
      </c>
      <c r="E117" s="2147" t="s">
        <v>1446</v>
      </c>
      <c r="F117" s="2147" t="s">
        <v>1445</v>
      </c>
      <c r="G117" s="2147" t="s">
        <v>1447</v>
      </c>
      <c r="H117" s="2147" t="s">
        <v>1445</v>
      </c>
      <c r="I117" s="2147" t="s">
        <v>1447</v>
      </c>
    </row>
    <row r="118" spans="1:27" ht="24.75" customHeight="1">
      <c r="A118" s="2383" t="str">
        <f>项目基本情况!S2</f>
        <v>北京市房地产</v>
      </c>
      <c r="B118" s="2147">
        <f>M18</f>
        <v>68049.77999999997</v>
      </c>
      <c r="C118" s="2147">
        <f>M19</f>
        <v>15742.02</v>
      </c>
      <c r="D118" s="2147">
        <f ca="1">ROUND(IF(D32="总价",C34,E118*B118/10000),0)</f>
        <v>81560</v>
      </c>
      <c r="E118" s="2147">
        <f ca="1">ROUND(IF(C33="自定义",IF(D32="楼面单价",C34,D118*10000/B118),I118-G118),0)</f>
        <v>11986</v>
      </c>
      <c r="F118" s="2147">
        <f ca="1">ROUND(IF(D32="总价",C35,G118*B118/10000),0)</f>
        <v>48106</v>
      </c>
      <c r="G118" s="2147">
        <f ca="1">ROUND(IF(D32="楼面单价",C35,F118*10000/B118),0)</f>
        <v>7069</v>
      </c>
      <c r="H118" s="2147">
        <f ca="1">ROUND(IF(D32="总价",C32,I118*B118/10000),0)</f>
        <v>129666</v>
      </c>
      <c r="I118" s="2147">
        <f ca="1">ROUND(IF(D32="楼面单价",C32,H118*10000/B118),0)</f>
        <v>19055</v>
      </c>
    </row>
    <row r="119" spans="1:27" ht="18.75" customHeight="1">
      <c r="A119" s="3289" t="s">
        <v>1448</v>
      </c>
      <c r="B119" s="3289"/>
      <c r="C119" s="3289"/>
      <c r="D119" s="3329" t="str">
        <f ca="1">NUMBERSTRING(INT(D118*10000),2)&amp;"元整"</f>
        <v>捌亿壹仟伍佰陆拾万元整</v>
      </c>
      <c r="E119" s="3331"/>
      <c r="F119" s="3329" t="str">
        <f ca="1">NUMBERSTRING(INT(F118*10000),2)&amp;"元整"</f>
        <v>肆亿捌仟壹佰零陆万元整</v>
      </c>
      <c r="G119" s="3331"/>
      <c r="H119" s="3329" t="str">
        <f ca="1">NUMBERSTRING(INT(H118*10000),2)&amp;"元整"</f>
        <v>壹拾贰亿玖仟陆佰陆拾陆万元整</v>
      </c>
      <c r="I119" s="3331"/>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9" t="s">
        <v>1448</v>
      </c>
      <c r="B121" s="3330"/>
      <c r="C121" s="3331"/>
      <c r="D121" s="3329" t="str">
        <f>IF(D120=0,"零元整",NUMBERSTRING(INT(D120*10000),2)&amp;"元整")</f>
        <v>零元整</v>
      </c>
      <c r="E121" s="3330"/>
      <c r="F121" s="3330"/>
      <c r="G121" s="3330"/>
      <c r="H121" s="3330"/>
      <c r="I121" s="3331"/>
      <c r="AA121" s="682"/>
    </row>
    <row r="122" spans="1:27" ht="18.75" customHeight="1">
      <c r="A122" s="3320" t="str">
        <f>IF(项目基本情况!B9="房地产市场价值","",MID(E107,3,LEN(E107)-2))</f>
        <v>房地产抵押价值</v>
      </c>
      <c r="B122" s="3320"/>
      <c r="C122" s="3320"/>
      <c r="D122" s="3353">
        <f ca="1">H107</f>
        <v>129666</v>
      </c>
      <c r="E122" s="3354"/>
      <c r="F122" s="3354"/>
      <c r="G122" s="3354"/>
      <c r="H122" s="3354"/>
      <c r="I122" s="3355"/>
      <c r="AA122" s="682"/>
    </row>
    <row r="123" spans="1:27" ht="18.75" customHeight="1">
      <c r="A123" s="3289" t="s">
        <v>1448</v>
      </c>
      <c r="B123" s="3289"/>
      <c r="C123" s="3289"/>
      <c r="D123" s="3329" t="str">
        <f ca="1">NUMBERSTRING(INT(D122*10000),2)&amp;"元整"</f>
        <v>壹拾贰亿玖仟陆佰陆拾陆万元整</v>
      </c>
      <c r="E123" s="3330"/>
      <c r="F123" s="3330"/>
      <c r="G123" s="3330"/>
      <c r="H123" s="3330"/>
      <c r="I123" s="3331"/>
      <c r="AA123" s="682"/>
    </row>
    <row r="124" spans="1:27" ht="18.75" customHeight="1">
      <c r="A124" s="3320" t="str">
        <f>IF(项目基本情况!B9="房地产市场价值","",MID(E109,3,LEN(E109)-2))</f>
        <v/>
      </c>
      <c r="B124" s="3320"/>
      <c r="C124" s="3320"/>
      <c r="D124" s="3353" t="str">
        <f>H109</f>
        <v>——</v>
      </c>
      <c r="E124" s="3354"/>
      <c r="F124" s="3354"/>
      <c r="G124" s="3354"/>
      <c r="H124" s="3354"/>
      <c r="I124" s="3355"/>
      <c r="AA124" s="682"/>
    </row>
    <row r="125" spans="1:27" ht="18.75" customHeight="1">
      <c r="A125" s="3289" t="s">
        <v>1448</v>
      </c>
      <c r="B125" s="3289"/>
      <c r="C125" s="3289"/>
      <c r="D125" s="3329" t="e">
        <f>NUMBERSTRING(INT(D124*10000),2)&amp;"元整"</f>
        <v>#VALUE!</v>
      </c>
      <c r="E125" s="3330"/>
      <c r="F125" s="3330"/>
      <c r="G125" s="3330"/>
      <c r="H125" s="3330"/>
      <c r="I125" s="3331"/>
      <c r="AA125" s="682"/>
    </row>
    <row r="126" spans="1:27" ht="18.75" customHeight="1">
      <c r="A126" s="3320" t="str">
        <f>IF(项目基本情况!B9="房地产市场价值","",MID(E111,3,LEN(E111)-2))</f>
        <v/>
      </c>
      <c r="B126" s="3320"/>
      <c r="C126" s="3320"/>
      <c r="D126" s="3353" t="str">
        <f>H111</f>
        <v>——</v>
      </c>
      <c r="E126" s="3354"/>
      <c r="F126" s="3354"/>
      <c r="G126" s="3354"/>
      <c r="H126" s="3354"/>
      <c r="I126" s="3355"/>
      <c r="AA126" s="682"/>
    </row>
    <row r="127" spans="1:27" ht="18.75" customHeight="1">
      <c r="A127" s="3289" t="s">
        <v>1448</v>
      </c>
      <c r="B127" s="3289"/>
      <c r="C127" s="3289"/>
      <c r="D127" s="3329" t="e">
        <f>NUMBERSTRING(INT(D126*10000),2)&amp;"元整"</f>
        <v>#VALUE!</v>
      </c>
      <c r="E127" s="3330"/>
      <c r="F127" s="3330"/>
      <c r="G127" s="3330"/>
      <c r="H127" s="3330"/>
      <c r="I127" s="3331"/>
      <c r="AA127" s="682"/>
    </row>
    <row r="128" spans="1:27" ht="21.75" customHeight="1">
      <c r="A128" s="3336" t="s">
        <v>1449</v>
      </c>
      <c r="B128" s="3336"/>
      <c r="C128" s="3336"/>
      <c r="D128" s="3336"/>
      <c r="E128" s="3336"/>
      <c r="F128" s="3336"/>
      <c r="G128" s="3336"/>
      <c r="H128" s="3336"/>
      <c r="I128" s="3336"/>
      <c r="AA128" s="682"/>
    </row>
    <row r="129" spans="1:35" ht="21.75" customHeight="1">
      <c r="A129" s="1688" t="s">
        <v>1450</v>
      </c>
      <c r="B129" s="1689"/>
      <c r="C129" s="1690" t="s">
        <v>1451</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1452</v>
      </c>
      <c r="G135" s="1703"/>
      <c r="H135" s="1703"/>
      <c r="I135" s="1704" t="s">
        <v>1453</v>
      </c>
    </row>
    <row r="136" spans="1:35" ht="21.75" customHeight="1">
      <c r="A136" s="682"/>
      <c r="B136" s="1705" t="s">
        <v>1454</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1455</v>
      </c>
    </row>
    <row r="139" spans="1:35" ht="21.75" customHeight="1">
      <c r="A139" s="682"/>
      <c r="B139" s="1705" t="s">
        <v>1456</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1455</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L57"/>
  <sheetViews>
    <sheetView tabSelected="1" view="pageBreakPreview" zoomScaleNormal="70" zoomScaleSheetLayoutView="100" workbookViewId="0">
      <selection activeCell="I21" sqref="I2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1457</v>
      </c>
      <c r="B1" s="1371"/>
      <c r="C1" s="188"/>
      <c r="D1" s="188"/>
      <c r="E1" s="188"/>
      <c r="F1" s="188"/>
      <c r="G1" s="1060">
        <f>MATCH(B1,'数据-取费表'!A6:A16,0)+5</f>
        <v>7</v>
      </c>
    </row>
    <row r="2" spans="1:9" s="190" customFormat="1" ht="18" customHeight="1">
      <c r="A2" s="191" t="s">
        <v>1458</v>
      </c>
      <c r="B2" s="192">
        <f ca="1">IF(D2="——",C52,C52-E2)</f>
        <v>158795</v>
      </c>
      <c r="C2" s="189" t="s">
        <v>1459</v>
      </c>
      <c r="D2" s="1708" t="s">
        <v>43</v>
      </c>
      <c r="E2" s="1087" t="e">
        <f ca="1">SUMIF(INDIRECT("'"&amp;G2&amp;"'"&amp;"!A:A"),"承租人权益价值",INDIRECT("'"&amp;G2&amp;"'"&amp;"!c:c"))</f>
        <v>#REF!</v>
      </c>
      <c r="F2" s="1709" t="s">
        <v>1459</v>
      </c>
      <c r="G2" s="1710"/>
    </row>
    <row r="3" spans="1:9" s="190" customFormat="1" ht="18" customHeight="1" thickBot="1">
      <c r="A3" s="193" t="s">
        <v>1460</v>
      </c>
      <c r="B3" s="194">
        <f ca="1">ROUND(B2*10000/(IF(B1="",'数据-汇总表'!E3,INDIRECT("'数据-取费表'!k"&amp;$G$1))),0)</f>
        <v>23335</v>
      </c>
      <c r="C3" s="189" t="s">
        <v>1461</v>
      </c>
      <c r="D3" s="189"/>
      <c r="E3" s="189"/>
      <c r="F3" s="189"/>
      <c r="G3" s="189"/>
    </row>
    <row r="4" spans="1:9" s="198" customFormat="1" ht="15.75">
      <c r="A4" s="195" t="s">
        <v>1462</v>
      </c>
      <c r="B4" s="196"/>
      <c r="C4" s="196"/>
      <c r="D4" s="196"/>
      <c r="E4" s="196"/>
      <c r="F4" s="196"/>
      <c r="G4" s="197"/>
    </row>
    <row r="5" spans="1:9" s="204" customFormat="1" ht="13.5" customHeight="1">
      <c r="A5" s="245" t="s">
        <v>1463</v>
      </c>
      <c r="B5" s="200" t="s">
        <v>1464</v>
      </c>
      <c r="C5" s="201">
        <f ca="1">C6+C7+C8</f>
        <v>65485</v>
      </c>
      <c r="D5" s="201" t="s">
        <v>1465</v>
      </c>
      <c r="E5" s="202" t="s">
        <v>1466</v>
      </c>
      <c r="F5" s="202" t="s">
        <v>1467</v>
      </c>
      <c r="G5" s="203"/>
    </row>
    <row r="6" spans="1:9" s="204" customFormat="1" ht="13.5" customHeight="1">
      <c r="A6" s="730" t="s">
        <v>1468</v>
      </c>
      <c r="B6" s="205" t="s">
        <v>1469</v>
      </c>
      <c r="C6" s="206">
        <f>K23</f>
        <v>62292</v>
      </c>
      <c r="D6" s="207"/>
      <c r="E6" s="208"/>
      <c r="F6" s="208"/>
      <c r="G6" s="209"/>
    </row>
    <row r="7" spans="1:9" s="204" customFormat="1" ht="13.5" customHeight="1">
      <c r="A7" s="730" t="s">
        <v>1470</v>
      </c>
      <c r="B7" s="205" t="s">
        <v>1471</v>
      </c>
      <c r="C7" s="210">
        <f>ROUND(C6*F7,0)</f>
        <v>1900</v>
      </c>
      <c r="D7" s="210"/>
      <c r="E7" s="208"/>
      <c r="F7" s="211">
        <f>IF(项目基本情况!B8="出让",0,'数据-取费表'!B48+'数据-取费表'!B49)</f>
        <v>3.0499999999999999E-2</v>
      </c>
      <c r="G7" s="209"/>
    </row>
    <row r="8" spans="1:9" s="213" customFormat="1">
      <c r="A8" s="730" t="s">
        <v>1472</v>
      </c>
      <c r="B8" s="205" t="s">
        <v>1473</v>
      </c>
      <c r="C8" s="210">
        <f ca="1">IF(G8="已包含在土地购买价格中","0",IF(B1="",'数据-取费表'!B29,IF(G9="全部缴纳",C9+C10,H9)))</f>
        <v>1293</v>
      </c>
      <c r="D8" s="212"/>
      <c r="E8" s="210"/>
      <c r="F8" s="211"/>
      <c r="G8" s="1711" t="s">
        <v>4353</v>
      </c>
    </row>
    <row r="9" spans="1:9" s="204" customFormat="1" ht="13.5" customHeight="1">
      <c r="A9" s="731" t="s">
        <v>355</v>
      </c>
      <c r="B9" s="214" t="s">
        <v>1474</v>
      </c>
      <c r="C9" s="215">
        <f ca="1">ROUND(D9*E9/10000,0)</f>
        <v>0</v>
      </c>
      <c r="D9" s="793">
        <f ca="1">IF(B1="",'数据-汇总表'!E5,IF(INDIRECT("'数据-取费表'!c"&amp;$G$1)="住宅",INDIRECT("'数据-取费表'!k"&amp;$G$1),0))</f>
        <v>0</v>
      </c>
      <c r="E9" s="215">
        <f>'数据-取费表'!B27</f>
        <v>150</v>
      </c>
      <c r="F9" s="211"/>
      <c r="G9" s="1712" t="s">
        <v>4354</v>
      </c>
      <c r="H9" s="1068"/>
      <c r="I9" s="1713" t="s">
        <v>1475</v>
      </c>
    </row>
    <row r="10" spans="1:9" s="204" customFormat="1" ht="13.5" customHeight="1">
      <c r="A10" s="731" t="s">
        <v>356</v>
      </c>
      <c r="B10" s="214" t="s">
        <v>1476</v>
      </c>
      <c r="C10" s="215">
        <f ca="1">ROUND(D10*E10/10000,0)</f>
        <v>1293</v>
      </c>
      <c r="D10" s="793">
        <f ca="1">IF(B1="",'数据-汇总表'!E6,IF(INDIRECT("'数据-取费表'!c"&amp;$G$1)="住宅",INDIRECT("'数据-取费表'!s"&amp;$G$1),INDIRECT("'数据-取费表'!k"&amp;$G$1)+INDIRECT("'数据-取费表'!s"&amp;$G$1)))</f>
        <v>68049.77999999997</v>
      </c>
      <c r="E10" s="215">
        <f>'数据-取费表'!B28</f>
        <v>190</v>
      </c>
      <c r="F10" s="211"/>
      <c r="G10" s="216"/>
    </row>
    <row r="11" spans="1:9" s="204" customFormat="1" ht="13.5" hidden="1" customHeight="1">
      <c r="A11" s="217" t="s">
        <v>4</v>
      </c>
      <c r="B11" s="205" t="s">
        <v>1477</v>
      </c>
      <c r="C11" s="201"/>
      <c r="D11" s="208"/>
      <c r="E11" s="208"/>
      <c r="F11" s="208"/>
      <c r="G11" s="209"/>
    </row>
    <row r="12" spans="1:9" s="204" customFormat="1" ht="13.5" hidden="1" customHeight="1">
      <c r="A12" s="217" t="s">
        <v>5</v>
      </c>
      <c r="B12" s="205" t="s">
        <v>1478</v>
      </c>
      <c r="C12" s="201">
        <v>0</v>
      </c>
      <c r="D12" s="208"/>
      <c r="E12" s="218"/>
      <c r="F12" s="211">
        <v>3.0499999999999999E-2</v>
      </c>
      <c r="G12" s="209"/>
    </row>
    <row r="13" spans="1:9" s="204" customFormat="1" ht="13.5" hidden="1" customHeight="1">
      <c r="A13" s="217" t="s">
        <v>6</v>
      </c>
      <c r="B13" s="205" t="s">
        <v>1479</v>
      </c>
      <c r="C13" s="201"/>
      <c r="D13" s="208"/>
      <c r="E13" s="208"/>
      <c r="F13" s="208"/>
      <c r="G13" s="209"/>
    </row>
    <row r="14" spans="1:9" s="204" customFormat="1" ht="13.5" hidden="1" customHeight="1">
      <c r="A14" s="217" t="s">
        <v>7</v>
      </c>
      <c r="B14" s="205" t="s">
        <v>1480</v>
      </c>
      <c r="C14" s="201"/>
      <c r="D14" s="208"/>
      <c r="E14" s="208"/>
      <c r="F14" s="208"/>
      <c r="G14" s="209" t="s">
        <v>1481</v>
      </c>
    </row>
    <row r="15" spans="1:9" s="204" customFormat="1" ht="13.5" hidden="1" customHeight="1">
      <c r="A15" s="217" t="s">
        <v>8</v>
      </c>
      <c r="B15" s="205" t="s">
        <v>1482</v>
      </c>
      <c r="C15" s="210"/>
      <c r="D15" s="208"/>
      <c r="E15" s="208"/>
      <c r="F15" s="208"/>
      <c r="G15" s="209" t="s">
        <v>1483</v>
      </c>
    </row>
    <row r="16" spans="1:9" s="204" customFormat="1" ht="13.5" hidden="1" customHeight="1">
      <c r="A16" s="217" t="s">
        <v>9</v>
      </c>
      <c r="B16" s="205" t="s">
        <v>1480</v>
      </c>
      <c r="C16" s="210"/>
      <c r="D16" s="208"/>
      <c r="E16" s="208"/>
      <c r="F16" s="208"/>
      <c r="G16" s="209"/>
    </row>
    <row r="17" spans="1:12" s="204" customFormat="1" ht="13.5" hidden="1" customHeight="1">
      <c r="A17" s="217" t="s">
        <v>10</v>
      </c>
      <c r="B17" s="205" t="s">
        <v>1484</v>
      </c>
      <c r="C17" s="219"/>
      <c r="D17" s="219"/>
      <c r="E17" s="219"/>
      <c r="F17" s="219"/>
      <c r="G17" s="209" t="s">
        <v>1483</v>
      </c>
    </row>
    <row r="18" spans="1:12" s="204" customFormat="1" ht="13.5" hidden="1" customHeight="1">
      <c r="A18" s="217" t="s">
        <v>11</v>
      </c>
      <c r="B18" s="205" t="s">
        <v>1485</v>
      </c>
      <c r="C18" s="210">
        <v>0</v>
      </c>
      <c r="D18" s="208"/>
      <c r="E18" s="208"/>
      <c r="F18" s="211">
        <v>3.0499999999999999E-2</v>
      </c>
      <c r="G18" s="209" t="s">
        <v>1486</v>
      </c>
    </row>
    <row r="19" spans="1:12" s="213" customFormat="1" ht="13.5" customHeight="1">
      <c r="A19" s="245" t="s">
        <v>1487</v>
      </c>
      <c r="B19" s="200" t="s">
        <v>1488</v>
      </c>
      <c r="C19" s="201" t="str">
        <f>IF(G19="已包含在土地取得成本中","0",ROUND(D19*E19/10000,0))</f>
        <v>0</v>
      </c>
      <c r="D19" s="202">
        <f ca="1">D9+D10</f>
        <v>68049.77999999997</v>
      </c>
      <c r="E19" s="201">
        <f>'数据-取费表'!B31</f>
        <v>200</v>
      </c>
      <c r="F19" s="221"/>
      <c r="G19" s="1711" t="s">
        <v>4355</v>
      </c>
      <c r="H19" s="3173"/>
      <c r="I19" s="3174" t="s">
        <v>4367</v>
      </c>
      <c r="J19" s="3174" t="s">
        <v>4368</v>
      </c>
      <c r="K19" s="3174" t="s">
        <v>4369</v>
      </c>
      <c r="L19" s="3173"/>
    </row>
    <row r="20" spans="1:12" s="204" customFormat="1" ht="13.5" customHeight="1">
      <c r="A20" s="245" t="s">
        <v>1489</v>
      </c>
      <c r="B20" s="200" t="s">
        <v>1490</v>
      </c>
      <c r="C20" s="222">
        <f ca="1">ROUND((C5+C19)*F20,0)</f>
        <v>1965</v>
      </c>
      <c r="D20" s="222"/>
      <c r="E20" s="222"/>
      <c r="F20" s="223">
        <f>'数据-取费表'!B37</f>
        <v>0.03</v>
      </c>
      <c r="G20" s="224" t="s">
        <v>1491</v>
      </c>
      <c r="H20" s="3175" t="s">
        <v>4366</v>
      </c>
      <c r="I20" s="3176">
        <f>'[4]土地比较法-住宅、综合'!$B$56</f>
        <v>13508</v>
      </c>
      <c r="J20" s="3176">
        <f>'数据-基础表'!I13</f>
        <v>44140.36</v>
      </c>
      <c r="K20" s="3176">
        <f>ROUND(I20*J20/10000,0)</f>
        <v>59625</v>
      </c>
      <c r="L20" s="3176"/>
    </row>
    <row r="21" spans="1:12" s="204" customFormat="1" ht="13.5" customHeight="1">
      <c r="A21" s="245" t="s">
        <v>1492</v>
      </c>
      <c r="B21" s="200" t="s">
        <v>1493</v>
      </c>
      <c r="C21" s="225">
        <f>F21</f>
        <v>0.03</v>
      </c>
      <c r="D21" s="226" t="s">
        <v>1494</v>
      </c>
      <c r="E21" s="222"/>
      <c r="F21" s="223">
        <f>'数据-取费表'!B38</f>
        <v>0.03</v>
      </c>
      <c r="G21" s="224" t="s">
        <v>1495</v>
      </c>
      <c r="H21" s="3175" t="s">
        <v>3450</v>
      </c>
      <c r="I21" s="3176">
        <f>'[4]土地比较法-住宅、综合'!$B$57</f>
        <v>2026</v>
      </c>
      <c r="J21" s="3176">
        <f>'数据-基础表'!K13</f>
        <v>9581.2999999999993</v>
      </c>
      <c r="K21" s="3176">
        <f t="shared" ref="K21:K22" si="0">ROUND(I21*J21/10000,0)</f>
        <v>1941</v>
      </c>
      <c r="L21" s="3176"/>
    </row>
    <row r="22" spans="1:12" s="204" customFormat="1" ht="13.5" customHeight="1">
      <c r="A22" s="245" t="s">
        <v>1496</v>
      </c>
      <c r="B22" s="200" t="s">
        <v>1497</v>
      </c>
      <c r="C22" s="1039">
        <f ca="1">ROUND(SUM(C23:C25),0)</f>
        <v>6373</v>
      </c>
      <c r="D22" s="225">
        <f ca="1">C26</f>
        <v>1.4E-3</v>
      </c>
      <c r="E22" s="226" t="s">
        <v>1494</v>
      </c>
      <c r="F22" s="227">
        <f ca="1">'数据-取费表'!B40</f>
        <v>3.1E-2</v>
      </c>
      <c r="G22" s="224" t="str">
        <f>IF('数据-取费表'!B22&lt;=1,"单利计息","复利计息")</f>
        <v>复利计息</v>
      </c>
      <c r="H22" s="3175" t="s">
        <v>3480</v>
      </c>
      <c r="I22" s="3176">
        <f>'[4]土地比较法-住宅、综合'!$B$63</f>
        <v>507</v>
      </c>
      <c r="J22" s="3176">
        <f>'数据-基础表'!M13</f>
        <v>14328.11999999997</v>
      </c>
      <c r="K22" s="3176">
        <f t="shared" si="0"/>
        <v>726</v>
      </c>
      <c r="L22" s="3176"/>
    </row>
    <row r="23" spans="1:12" s="204" customFormat="1" ht="13.5" customHeight="1">
      <c r="A23" s="732" t="s">
        <v>1498</v>
      </c>
      <c r="B23" s="205" t="s">
        <v>1499</v>
      </c>
      <c r="C23" s="1040">
        <f ca="1">ROUND(IF('数据-取费表'!B22&lt;=1,C5*F22*'数据-取费表'!B23,C5*(POWER((1+F22),'数据-取费表'!B23)-1)),0)</f>
        <v>6281</v>
      </c>
      <c r="D23" s="228"/>
      <c r="E23" s="228"/>
      <c r="F23" s="229"/>
      <c r="G23" s="230" t="s">
        <v>1500</v>
      </c>
      <c r="H23" s="3176"/>
      <c r="I23" s="3176"/>
      <c r="J23" s="3176">
        <f>J20+J21+J22</f>
        <v>68049.77999999997</v>
      </c>
      <c r="K23" s="3176">
        <f>K20+K21+K22</f>
        <v>62292</v>
      </c>
      <c r="L23" s="3176"/>
    </row>
    <row r="24" spans="1:12" s="204" customFormat="1" ht="13.5" customHeight="1">
      <c r="A24" s="732" t="s">
        <v>1501</v>
      </c>
      <c r="B24" s="205" t="s">
        <v>1502</v>
      </c>
      <c r="C24" s="1040">
        <f ca="1">ROUND(IF('数据-取费表'!B22&lt;=1,C19*F22*('数据-取费表'!B19/2+'数据-取费表'!B21),C19*(POWER((1+F22),('数据-取费表'!B19/2+'数据-取费表'!B21))-1)),0)</f>
        <v>0</v>
      </c>
      <c r="D24" s="228"/>
      <c r="E24" s="228"/>
      <c r="F24" s="229"/>
      <c r="G24" s="230" t="s">
        <v>1503</v>
      </c>
      <c r="H24" s="3176"/>
      <c r="I24" s="3176"/>
      <c r="J24" s="3176"/>
      <c r="K24" s="3176"/>
      <c r="L24" s="3176"/>
    </row>
    <row r="25" spans="1:12" s="204" customFormat="1" ht="24">
      <c r="A25" s="732" t="s">
        <v>1504</v>
      </c>
      <c r="B25" s="205" t="s">
        <v>1505</v>
      </c>
      <c r="C25" s="1040">
        <f ca="1">ROUND(IF('数据-取费表'!B22&lt;=1,C20*F22*'数据-取费表'!B23/2,C20*(POWER((1+F22),'数据-取费表'!B23/2)-1)),0)</f>
        <v>92</v>
      </c>
      <c r="D25" s="228"/>
      <c r="E25" s="231"/>
      <c r="F25" s="229"/>
      <c r="G25" s="232" t="s">
        <v>1506</v>
      </c>
    </row>
    <row r="26" spans="1:12" s="204" customFormat="1">
      <c r="A26" s="732" t="s">
        <v>350</v>
      </c>
      <c r="B26" s="205" t="s">
        <v>1507</v>
      </c>
      <c r="C26" s="228">
        <f ca="1">ROUND(IF('数据-取费表'!B22&lt;=1,F21*F22*'数据-取费表'!B23/2,F21*(POWER((1+F22),'数据-取费表'!B23/2)-1)),4)</f>
        <v>1.4E-3</v>
      </c>
      <c r="D26" s="228"/>
      <c r="E26" s="231"/>
      <c r="F26" s="229"/>
      <c r="G26" s="233"/>
    </row>
    <row r="27" spans="1:12" s="204" customFormat="1" ht="24.75">
      <c r="A27" s="245" t="s">
        <v>1508</v>
      </c>
      <c r="B27" s="234" t="s">
        <v>1509</v>
      </c>
      <c r="C27" s="235">
        <f ca="1">C28</f>
        <v>16863</v>
      </c>
      <c r="D27" s="225">
        <f ca="1">C29</f>
        <v>7.4999999999999997E-3</v>
      </c>
      <c r="E27" s="226" t="s">
        <v>1510</v>
      </c>
      <c r="F27" s="236">
        <f ca="1">IF(B1="",'数据-取费表'!Q16,INDIRECT("'数据-取费表'!q"&amp;$G$1))</f>
        <v>0.25</v>
      </c>
      <c r="G27" s="237" t="s">
        <v>1511</v>
      </c>
    </row>
    <row r="28" spans="1:12" s="204" customFormat="1" ht="13.5" customHeight="1">
      <c r="A28" s="732" t="s">
        <v>346</v>
      </c>
      <c r="B28" s="238" t="s">
        <v>1512</v>
      </c>
      <c r="C28" s="239">
        <f ca="1">ROUND((C5+C19+C20)*F27*'数据-取费表'!B21/'数据-取费表'!B20,0)</f>
        <v>16863</v>
      </c>
      <c r="D28" s="225"/>
      <c r="E28" s="226"/>
      <c r="F28" s="236"/>
      <c r="G28" s="237"/>
    </row>
    <row r="29" spans="1:12" s="204" customFormat="1" ht="13.5" customHeight="1">
      <c r="A29" s="732" t="s">
        <v>347</v>
      </c>
      <c r="B29" s="238" t="s">
        <v>1513</v>
      </c>
      <c r="C29" s="228">
        <f ca="1">ROUND(C21*F27*'数据-取费表'!B21/'数据-取费表'!B20,4)</f>
        <v>7.4999999999999997E-3</v>
      </c>
      <c r="D29" s="225"/>
      <c r="E29" s="226"/>
      <c r="F29" s="236"/>
      <c r="G29" s="237"/>
    </row>
    <row r="30" spans="1:12" s="204" customFormat="1" ht="13.5" customHeight="1">
      <c r="A30" s="245" t="s">
        <v>1514</v>
      </c>
      <c r="B30" s="200" t="s">
        <v>1515</v>
      </c>
      <c r="C30" s="225">
        <f>ROUND(F30/(1+'数据-取费表'!C42),4)</f>
        <v>5.33E-2</v>
      </c>
      <c r="D30" s="226" t="s">
        <v>1510</v>
      </c>
      <c r="E30" s="231"/>
      <c r="F30" s="227">
        <f>'数据-取费表'!B41</f>
        <v>5.6000000000000001E-2</v>
      </c>
      <c r="G30" s="224" t="s">
        <v>1516</v>
      </c>
    </row>
    <row r="31" spans="1:12" ht="16.5" customHeight="1">
      <c r="A31" s="199">
        <v>1</v>
      </c>
      <c r="B31" s="200" t="s">
        <v>1517</v>
      </c>
      <c r="C31" s="201">
        <f ca="1">ROUND((C5+C19+C20+C22+C27)/(1-C21-D22-D27-C30),0)</f>
        <v>99896</v>
      </c>
      <c r="D31" s="220"/>
      <c r="E31" s="201"/>
      <c r="F31" s="240"/>
      <c r="G31" s="224" t="s">
        <v>1518</v>
      </c>
    </row>
    <row r="32" spans="1:12" s="198" customFormat="1" ht="15.75">
      <c r="A32" s="242" t="s">
        <v>1519</v>
      </c>
      <c r="B32" s="243"/>
      <c r="C32" s="243"/>
      <c r="D32" s="243"/>
      <c r="E32" s="243"/>
      <c r="F32" s="243"/>
      <c r="G32" s="244"/>
    </row>
    <row r="33" spans="1:7" s="204" customFormat="1" ht="13.5" customHeight="1">
      <c r="A33" s="245" t="s">
        <v>337</v>
      </c>
      <c r="B33" s="200" t="s">
        <v>1520</v>
      </c>
      <c r="C33" s="246">
        <f ca="1">SUM(C34:C38)</f>
        <v>42136</v>
      </c>
      <c r="D33" s="222"/>
      <c r="E33" s="202"/>
      <c r="F33" s="231"/>
      <c r="G33" s="224"/>
    </row>
    <row r="34" spans="1:7" s="248" customFormat="1" ht="13.5" customHeight="1">
      <c r="A34" s="732" t="s">
        <v>346</v>
      </c>
      <c r="B34" s="205" t="s">
        <v>1521</v>
      </c>
      <c r="C34" s="210">
        <f ca="1">IF(B1="",IF(F34=100%,'数据-取费表'!M16,'数据-取费表'!O16),IF(F34=100%,INDIRECT("'数据-取费表'!m"&amp;$G$1)+INDIRECT("'数据-取费表'!t"&amp;$G$1),INDIRECT("'数据-取费表'!o"&amp;$G$1)+INDIRECT("'数据-取费表'!aq"&amp;$G$1)))</f>
        <v>38108</v>
      </c>
      <c r="D34" s="207"/>
      <c r="E34" s="210"/>
      <c r="F34" s="247">
        <f ca="1">IF('数据-取费表'!B24=0,1,IF(B1="",'数据-取费表'!N16,INDIRECT("'数据-取费表'!n"&amp;$G$1)))</f>
        <v>1</v>
      </c>
      <c r="G34" s="209" t="s">
        <v>1522</v>
      </c>
    </row>
    <row r="35" spans="1:7" ht="13.5" customHeight="1">
      <c r="A35" s="732" t="s">
        <v>351</v>
      </c>
      <c r="B35" s="205" t="s">
        <v>1523</v>
      </c>
      <c r="C35" s="210">
        <f ca="1">ROUND(C34*F35,0)</f>
        <v>1905</v>
      </c>
      <c r="D35" s="210"/>
      <c r="E35" s="210"/>
      <c r="F35" s="249">
        <f>'数据-取费表'!B33</f>
        <v>0.05</v>
      </c>
      <c r="G35" s="209" t="s">
        <v>1524</v>
      </c>
    </row>
    <row r="36" spans="1:7" ht="24">
      <c r="A36" s="732" t="s">
        <v>352</v>
      </c>
      <c r="B36" s="205" t="s">
        <v>1525</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1526</v>
      </c>
    </row>
    <row r="37" spans="1:7" s="248" customFormat="1" ht="13.5" customHeight="1">
      <c r="A37" s="732" t="s">
        <v>353</v>
      </c>
      <c r="B37" s="205" t="s">
        <v>1527</v>
      </c>
      <c r="C37" s="239">
        <f ca="1">ROUND(E37*D37*F34/10000,0)</f>
        <v>1361</v>
      </c>
      <c r="D37" s="207">
        <f ca="1">D19</f>
        <v>68049.77999999997</v>
      </c>
      <c r="E37" s="239">
        <f>'数据-取费表'!B35</f>
        <v>200</v>
      </c>
      <c r="F37" s="249"/>
      <c r="G37" s="251" t="s">
        <v>1528</v>
      </c>
    </row>
    <row r="38" spans="1:7" ht="13.5" customHeight="1">
      <c r="A38" s="732" t="s">
        <v>354</v>
      </c>
      <c r="B38" s="205" t="s">
        <v>1529</v>
      </c>
      <c r="C38" s="210">
        <f ca="1">ROUND(C34*F38,0)</f>
        <v>762</v>
      </c>
      <c r="D38" s="210"/>
      <c r="E38" s="210"/>
      <c r="F38" s="249">
        <f>'数据-取费表'!B36</f>
        <v>0.02</v>
      </c>
      <c r="G38" s="209" t="s">
        <v>1524</v>
      </c>
    </row>
    <row r="39" spans="1:7" s="204" customFormat="1" ht="13.5" customHeight="1">
      <c r="A39" s="245" t="s">
        <v>1530</v>
      </c>
      <c r="B39" s="200" t="s">
        <v>1531</v>
      </c>
      <c r="C39" s="222">
        <f ca="1">ROUND(C33*F20,0)</f>
        <v>1264</v>
      </c>
      <c r="D39" s="222"/>
      <c r="E39" s="222"/>
      <c r="F39" s="223">
        <f>F20</f>
        <v>0.03</v>
      </c>
      <c r="G39" s="224" t="s">
        <v>1532</v>
      </c>
    </row>
    <row r="40" spans="1:7" s="204" customFormat="1" ht="13.5" customHeight="1">
      <c r="A40" s="245" t="s">
        <v>1533</v>
      </c>
      <c r="B40" s="200" t="s">
        <v>1534</v>
      </c>
      <c r="C40" s="225">
        <f>F21</f>
        <v>0.03</v>
      </c>
      <c r="D40" s="226" t="s">
        <v>1535</v>
      </c>
      <c r="E40" s="222"/>
      <c r="F40" s="223">
        <f>F21</f>
        <v>0.03</v>
      </c>
      <c r="G40" s="224" t="s">
        <v>1536</v>
      </c>
    </row>
    <row r="41" spans="1:7" s="204" customFormat="1" ht="13.5" customHeight="1">
      <c r="A41" s="245" t="s">
        <v>1537</v>
      </c>
      <c r="B41" s="200" t="s">
        <v>1538</v>
      </c>
      <c r="C41" s="222">
        <f ca="1">ROUND(SUM(C42:C43),0)</f>
        <v>2033</v>
      </c>
      <c r="D41" s="225">
        <f ca="1">C44</f>
        <v>1.4E-3</v>
      </c>
      <c r="E41" s="226" t="s">
        <v>1535</v>
      </c>
      <c r="F41" s="227">
        <f ca="1">F22</f>
        <v>3.1E-2</v>
      </c>
      <c r="G41" s="224" t="str">
        <f>IF('数据-取费表'!B22&lt;=1,"单利计息","复利计息")</f>
        <v>复利计息</v>
      </c>
    </row>
    <row r="42" spans="1:7" ht="13.5" customHeight="1">
      <c r="A42" s="732" t="s">
        <v>346</v>
      </c>
      <c r="B42" s="205" t="s">
        <v>1539</v>
      </c>
      <c r="C42" s="228">
        <f ca="1">ROUND(IF('数据-取费表'!B22&lt;=1,C33*F22*'数据-取费表'!B21/2,C33*(POWER((1+F22),'数据-取费表'!B21/2)-1)),0)</f>
        <v>1974</v>
      </c>
      <c r="D42" s="228"/>
      <c r="E42" s="228"/>
      <c r="F42" s="229"/>
      <c r="G42" s="3369" t="s">
        <v>1540</v>
      </c>
    </row>
    <row r="43" spans="1:7" ht="13.5" customHeight="1">
      <c r="A43" s="732" t="s">
        <v>347</v>
      </c>
      <c r="B43" s="205" t="s">
        <v>1541</v>
      </c>
      <c r="C43" s="228">
        <f ca="1">ROUND(IF('数据-取费表'!B22&lt;=1,C39*F22*'数据-取费表'!B21/2,C39*(POWER((1+F22),'数据-取费表'!B21/2)-1)),0)</f>
        <v>59</v>
      </c>
      <c r="D43" s="228"/>
      <c r="E43" s="228"/>
      <c r="F43" s="229"/>
      <c r="G43" s="3370"/>
    </row>
    <row r="44" spans="1:7" ht="13.5" customHeight="1">
      <c r="A44" s="732" t="s">
        <v>348</v>
      </c>
      <c r="B44" s="205" t="s">
        <v>1542</v>
      </c>
      <c r="C44" s="228">
        <f ca="1">ROUND(IF('数据-取费表'!B22&lt;=1,C40*F22*'数据-取费表'!B21/2,C40*(POWER((1+F22),'数据-取费表'!B21/2)-1)),4)</f>
        <v>1.4E-3</v>
      </c>
      <c r="D44" s="228"/>
      <c r="E44" s="228"/>
      <c r="F44" s="229"/>
      <c r="G44" s="3371"/>
    </row>
    <row r="45" spans="1:7" s="204" customFormat="1" ht="13.5" customHeight="1">
      <c r="A45" s="245" t="s">
        <v>1543</v>
      </c>
      <c r="B45" s="234" t="s">
        <v>1509</v>
      </c>
      <c r="C45" s="235">
        <f ca="1">C46</f>
        <v>10850</v>
      </c>
      <c r="D45" s="225">
        <f ca="1">C47</f>
        <v>7.4999999999999997E-3</v>
      </c>
      <c r="E45" s="226" t="s">
        <v>1535</v>
      </c>
      <c r="F45" s="236">
        <f ca="1">F27</f>
        <v>0.25</v>
      </c>
      <c r="G45" s="237" t="s">
        <v>1544</v>
      </c>
    </row>
    <row r="46" spans="1:7" s="204" customFormat="1" ht="13.5" customHeight="1">
      <c r="A46" s="732" t="s">
        <v>346</v>
      </c>
      <c r="B46" s="238" t="s">
        <v>1545</v>
      </c>
      <c r="C46" s="239">
        <f ca="1">ROUND((C33+C39)*F27,0)</f>
        <v>10850</v>
      </c>
      <c r="D46" s="253"/>
      <c r="E46" s="226"/>
      <c r="F46" s="236"/>
      <c r="G46" s="237"/>
    </row>
    <row r="47" spans="1:7" s="204" customFormat="1" ht="13.5" customHeight="1">
      <c r="A47" s="732" t="s">
        <v>347</v>
      </c>
      <c r="B47" s="238" t="s">
        <v>1546</v>
      </c>
      <c r="C47" s="228">
        <f ca="1">ROUND(C40*F27,4)</f>
        <v>7.4999999999999997E-3</v>
      </c>
      <c r="D47" s="253"/>
      <c r="E47" s="226"/>
      <c r="F47" s="236"/>
      <c r="G47" s="237"/>
    </row>
    <row r="48" spans="1:7" s="204" customFormat="1" ht="13.5" customHeight="1">
      <c r="A48" s="245" t="s">
        <v>1508</v>
      </c>
      <c r="B48" s="200" t="s">
        <v>1547</v>
      </c>
      <c r="C48" s="225">
        <f>ROUND(F30/(1+'数据-取费表'!C42),4)</f>
        <v>5.33E-2</v>
      </c>
      <c r="D48" s="226" t="s">
        <v>1535</v>
      </c>
      <c r="E48" s="222"/>
      <c r="F48" s="227">
        <f>F30</f>
        <v>5.6000000000000001E-2</v>
      </c>
      <c r="G48" s="224" t="s">
        <v>1548</v>
      </c>
    </row>
    <row r="49" spans="1:7" ht="16.5" customHeight="1">
      <c r="A49" s="245" t="s">
        <v>1514</v>
      </c>
      <c r="B49" s="200" t="s">
        <v>1549</v>
      </c>
      <c r="C49" s="222">
        <f ca="1">ROUND((C33+C39+C41+C45)/(1-C40-D41-D45-C48),0)</f>
        <v>61999</v>
      </c>
      <c r="D49" s="222"/>
      <c r="E49" s="222"/>
      <c r="F49" s="254"/>
      <c r="G49" s="224" t="s">
        <v>1550</v>
      </c>
    </row>
    <row r="50" spans="1:7" s="248" customFormat="1" ht="24">
      <c r="A50" s="245" t="s">
        <v>1551</v>
      </c>
      <c r="B50" s="200" t="s">
        <v>1552</v>
      </c>
      <c r="C50" s="222"/>
      <c r="D50" s="222"/>
      <c r="E50" s="222"/>
      <c r="F50" s="254">
        <f>IF('数据-取费表'!B24=0,'数据-取费表'!N16,1)</f>
        <v>0.95</v>
      </c>
      <c r="G50" s="237" t="s">
        <v>1553</v>
      </c>
    </row>
    <row r="51" spans="1:7" ht="16.5" customHeight="1">
      <c r="A51" s="245" t="s">
        <v>1554</v>
      </c>
      <c r="B51" s="200" t="s">
        <v>1555</v>
      </c>
      <c r="C51" s="222">
        <f ca="1">ROUND(C49*F50,0)</f>
        <v>58899</v>
      </c>
      <c r="D51" s="222"/>
      <c r="E51" s="222"/>
      <c r="F51" s="254"/>
      <c r="G51" s="224" t="s">
        <v>1556</v>
      </c>
    </row>
    <row r="52" spans="1:7" s="198" customFormat="1" ht="16.5" thickBot="1">
      <c r="A52" s="255" t="s">
        <v>1557</v>
      </c>
      <c r="B52" s="256"/>
      <c r="C52" s="257">
        <f ca="1">C31+C51</f>
        <v>158795</v>
      </c>
      <c r="D52" s="256"/>
      <c r="E52" s="256"/>
      <c r="F52" s="256"/>
      <c r="G52" s="258"/>
    </row>
    <row r="55" spans="1:7" ht="15">
      <c r="B55" s="260" t="s">
        <v>1558</v>
      </c>
      <c r="C55" s="261"/>
    </row>
    <row r="56" spans="1:7">
      <c r="B56" s="263" t="s">
        <v>801</v>
      </c>
      <c r="C56" s="265">
        <f ca="1">1-C57</f>
        <v>0.629</v>
      </c>
    </row>
    <row r="57" spans="1:7">
      <c r="B57" s="263" t="s">
        <v>802</v>
      </c>
      <c r="C57" s="264">
        <f ca="1">ROUND(C51/C52,3)</f>
        <v>0.371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1457</v>
      </c>
      <c r="B1" s="1371"/>
      <c r="C1" s="1714" t="s">
        <v>1559</v>
      </c>
      <c r="D1" s="188"/>
      <c r="E1" s="188"/>
      <c r="F1" s="188"/>
      <c r="G1" s="1060">
        <f>MATCH(B1,'数据-取费表'!A6:A16,0)+5</f>
        <v>7</v>
      </c>
      <c r="H1" s="996" t="str">
        <f>IF(ISERROR(FIND("住宅",B1)),"非住宅","住宅")</f>
        <v>非住宅</v>
      </c>
    </row>
    <row r="2" spans="1:8" s="190" customFormat="1" ht="18" customHeight="1">
      <c r="A2" s="191" t="s">
        <v>1458</v>
      </c>
      <c r="B2" s="3120">
        <f ca="1">ROUND(IF(D2="——",C52/10000,C52/10000-E2),4)</f>
        <v>62949.262900000002</v>
      </c>
      <c r="C2" s="189" t="s">
        <v>1459</v>
      </c>
      <c r="D2" s="1708" t="s">
        <v>43</v>
      </c>
      <c r="E2" s="1087" t="e">
        <f ca="1">SUMIF(INDIRECT("'"&amp;G2&amp;"'"&amp;"!A:A"),"承租人权益价值",INDIRECT("'"&amp;G2&amp;"'"&amp;"!c:c"))</f>
        <v>#REF!</v>
      </c>
      <c r="F2" s="1709" t="s">
        <v>1459</v>
      </c>
      <c r="G2" s="1710"/>
    </row>
    <row r="3" spans="1:8" s="190" customFormat="1" ht="18" customHeight="1" thickBot="1">
      <c r="A3" s="193" t="s">
        <v>1460</v>
      </c>
      <c r="B3" s="194">
        <f ca="1">ROUND(B2*10000/(IF(B1="",'数据-汇总表'!E3,INDIRECT("'数据-取费表'!k"&amp;$G$1))),0)</f>
        <v>9250</v>
      </c>
      <c r="C3" s="189" t="s">
        <v>1461</v>
      </c>
      <c r="D3" s="189"/>
      <c r="E3" s="189"/>
      <c r="F3" s="189"/>
      <c r="G3" s="189"/>
    </row>
    <row r="4" spans="1:8" s="198" customFormat="1" ht="15.75">
      <c r="A4" s="195" t="s">
        <v>1462</v>
      </c>
      <c r="B4" s="196"/>
      <c r="C4" s="196"/>
      <c r="D4" s="196"/>
      <c r="E4" s="196"/>
      <c r="F4" s="196"/>
      <c r="G4" s="197"/>
    </row>
    <row r="5" spans="1:8" s="204" customFormat="1" ht="13.5" customHeight="1">
      <c r="A5" s="245" t="s">
        <v>1463</v>
      </c>
      <c r="B5" s="200" t="s">
        <v>1464</v>
      </c>
      <c r="C5" s="201">
        <f ca="1">C6+C7+C8</f>
        <v>12929458</v>
      </c>
      <c r="D5" s="201" t="s">
        <v>1465</v>
      </c>
      <c r="E5" s="202" t="s">
        <v>1466</v>
      </c>
      <c r="F5" s="202" t="s">
        <v>1467</v>
      </c>
      <c r="G5" s="203"/>
    </row>
    <row r="6" spans="1:8" s="204" customFormat="1" ht="13.5" customHeight="1">
      <c r="A6" s="730" t="s">
        <v>1468</v>
      </c>
      <c r="B6" s="205" t="s">
        <v>1469</v>
      </c>
      <c r="C6" s="206"/>
      <c r="D6" s="207"/>
      <c r="E6" s="208"/>
      <c r="F6" s="208"/>
      <c r="G6" s="209"/>
    </row>
    <row r="7" spans="1:8" s="204" customFormat="1" ht="13.5" customHeight="1">
      <c r="A7" s="730" t="s">
        <v>1470</v>
      </c>
      <c r="B7" s="205" t="s">
        <v>1471</v>
      </c>
      <c r="C7" s="210">
        <f>ROUND(C6*F7,0)</f>
        <v>0</v>
      </c>
      <c r="D7" s="210"/>
      <c r="E7" s="208"/>
      <c r="F7" s="211">
        <f>IF(项目基本情况!B8="出让",0,'数据-取费表'!B48+'数据-取费表'!B49)</f>
        <v>3.0499999999999999E-2</v>
      </c>
      <c r="G7" s="209"/>
    </row>
    <row r="8" spans="1:8" s="213" customFormat="1">
      <c r="A8" s="730" t="s">
        <v>1472</v>
      </c>
      <c r="B8" s="205" t="s">
        <v>1473</v>
      </c>
      <c r="C8" s="210">
        <f ca="1">IF(G8="已包含在土地购买价格中",0,C9+C10)</f>
        <v>12929458</v>
      </c>
      <c r="D8" s="212"/>
      <c r="E8" s="210"/>
      <c r="F8" s="211"/>
      <c r="G8" s="1711"/>
    </row>
    <row r="9" spans="1:8" s="204" customFormat="1" ht="13.5" customHeight="1">
      <c r="A9" s="731" t="s">
        <v>355</v>
      </c>
      <c r="B9" s="214" t="s">
        <v>1474</v>
      </c>
      <c r="C9" s="215">
        <f ca="1">ROUND(D9*E9,0)</f>
        <v>0</v>
      </c>
      <c r="D9" s="793">
        <f ca="1">IF(B1="",'数据-汇总表'!E5,IF(INDIRECT("'数据-取费表'!c"&amp;$G$1)="住宅",INDIRECT("'数据-取费表'!k"&amp;$G$1),0))</f>
        <v>0</v>
      </c>
      <c r="E9" s="215">
        <f>'数据-取费表'!B27</f>
        <v>150</v>
      </c>
      <c r="F9" s="211"/>
      <c r="G9" s="216"/>
    </row>
    <row r="10" spans="1:8" s="204" customFormat="1" ht="13.5" customHeight="1">
      <c r="A10" s="731" t="s">
        <v>356</v>
      </c>
      <c r="B10" s="214" t="s">
        <v>1476</v>
      </c>
      <c r="C10" s="215">
        <f ca="1">ROUND(D10*E10,0)</f>
        <v>12929458</v>
      </c>
      <c r="D10" s="793">
        <f ca="1">IF(B1="",'数据-汇总表'!E6,IF(INDIRECT("'数据-取费表'!c"&amp;$G$1)="住宅",INDIRECT("'数据-取费表'!s"&amp;$G$1),INDIRECT("'数据-取费表'!k"&amp;$G$1)+INDIRECT("'数据-取费表'!s"&amp;$G$1)))</f>
        <v>68049.77999999997</v>
      </c>
      <c r="E10" s="215">
        <f>'数据-取费表'!B28</f>
        <v>190</v>
      </c>
      <c r="F10" s="211"/>
      <c r="G10" s="216"/>
    </row>
    <row r="11" spans="1:8" s="204" customFormat="1" ht="13.5" hidden="1" customHeight="1">
      <c r="A11" s="217" t="s">
        <v>4</v>
      </c>
      <c r="B11" s="205" t="s">
        <v>1477</v>
      </c>
      <c r="C11" s="201"/>
      <c r="D11" s="208"/>
      <c r="E11" s="208"/>
      <c r="F11" s="208"/>
      <c r="G11" s="209"/>
    </row>
    <row r="12" spans="1:8" s="204" customFormat="1" ht="13.5" hidden="1" customHeight="1">
      <c r="A12" s="217" t="s">
        <v>5</v>
      </c>
      <c r="B12" s="205" t="s">
        <v>1560</v>
      </c>
      <c r="C12" s="201">
        <v>0</v>
      </c>
      <c r="D12" s="208"/>
      <c r="E12" s="218"/>
      <c r="F12" s="211">
        <v>3.0499999999999999E-2</v>
      </c>
      <c r="G12" s="209"/>
    </row>
    <row r="13" spans="1:8" s="204" customFormat="1" ht="13.5" hidden="1" customHeight="1">
      <c r="A13" s="217" t="s">
        <v>6</v>
      </c>
      <c r="B13" s="205" t="s">
        <v>1561</v>
      </c>
      <c r="C13" s="201"/>
      <c r="D13" s="208"/>
      <c r="E13" s="208"/>
      <c r="F13" s="208"/>
      <c r="G13" s="209"/>
    </row>
    <row r="14" spans="1:8" s="204" customFormat="1" ht="13.5" hidden="1" customHeight="1">
      <c r="A14" s="217" t="s">
        <v>7</v>
      </c>
      <c r="B14" s="205" t="s">
        <v>1473</v>
      </c>
      <c r="C14" s="201"/>
      <c r="D14" s="208"/>
      <c r="E14" s="208"/>
      <c r="F14" s="208"/>
      <c r="G14" s="209" t="s">
        <v>1562</v>
      </c>
    </row>
    <row r="15" spans="1:8" s="204" customFormat="1" ht="13.5" hidden="1" customHeight="1">
      <c r="A15" s="217" t="s">
        <v>8</v>
      </c>
      <c r="B15" s="205" t="s">
        <v>1563</v>
      </c>
      <c r="C15" s="210"/>
      <c r="D15" s="208"/>
      <c r="E15" s="208"/>
      <c r="F15" s="208"/>
      <c r="G15" s="209" t="s">
        <v>1564</v>
      </c>
    </row>
    <row r="16" spans="1:8" s="204" customFormat="1" ht="13.5" hidden="1" customHeight="1">
      <c r="A16" s="217" t="s">
        <v>9</v>
      </c>
      <c r="B16" s="205" t="s">
        <v>1473</v>
      </c>
      <c r="C16" s="210"/>
      <c r="D16" s="208"/>
      <c r="E16" s="208"/>
      <c r="F16" s="208"/>
      <c r="G16" s="209"/>
    </row>
    <row r="17" spans="1:7" s="204" customFormat="1" ht="13.5" hidden="1" customHeight="1">
      <c r="A17" s="217" t="s">
        <v>10</v>
      </c>
      <c r="B17" s="205" t="s">
        <v>1565</v>
      </c>
      <c r="C17" s="219"/>
      <c r="D17" s="219"/>
      <c r="E17" s="219"/>
      <c r="F17" s="219"/>
      <c r="G17" s="209" t="s">
        <v>1564</v>
      </c>
    </row>
    <row r="18" spans="1:7" s="204" customFormat="1" ht="13.5" hidden="1" customHeight="1">
      <c r="A18" s="217" t="s">
        <v>11</v>
      </c>
      <c r="B18" s="205" t="s">
        <v>1566</v>
      </c>
      <c r="C18" s="210">
        <v>0</v>
      </c>
      <c r="D18" s="208"/>
      <c r="E18" s="208"/>
      <c r="F18" s="211">
        <v>3.0499999999999999E-2</v>
      </c>
      <c r="G18" s="209" t="s">
        <v>1567</v>
      </c>
    </row>
    <row r="19" spans="1:7" s="213" customFormat="1" ht="13.5" customHeight="1">
      <c r="A19" s="245" t="s">
        <v>1568</v>
      </c>
      <c r="B19" s="200" t="s">
        <v>1569</v>
      </c>
      <c r="C19" s="201">
        <f ca="1">IF(G19="已包含在土地取得成本中","0",ROUND(D19*E19,0))</f>
        <v>13609956</v>
      </c>
      <c r="D19" s="202">
        <f ca="1">D9+D10</f>
        <v>68049.77999999997</v>
      </c>
      <c r="E19" s="201">
        <f>'数据-取费表'!B31</f>
        <v>200</v>
      </c>
      <c r="F19" s="221"/>
      <c r="G19" s="1711"/>
    </row>
    <row r="20" spans="1:7" s="204" customFormat="1" ht="13.5" customHeight="1">
      <c r="A20" s="245" t="s">
        <v>1570</v>
      </c>
      <c r="B20" s="200" t="s">
        <v>1571</v>
      </c>
      <c r="C20" s="222">
        <f ca="1">ROUND((C5+C19)*F20,0)</f>
        <v>796182</v>
      </c>
      <c r="D20" s="222"/>
      <c r="E20" s="222"/>
      <c r="F20" s="223">
        <f>'数据-取费表'!B37</f>
        <v>0.03</v>
      </c>
      <c r="G20" s="224" t="s">
        <v>1572</v>
      </c>
    </row>
    <row r="21" spans="1:7" s="204" customFormat="1" ht="13.5" customHeight="1">
      <c r="A21" s="245" t="s">
        <v>1573</v>
      </c>
      <c r="B21" s="200" t="s">
        <v>1574</v>
      </c>
      <c r="C21" s="225">
        <f>F21</f>
        <v>0.03</v>
      </c>
      <c r="D21" s="226" t="s">
        <v>1575</v>
      </c>
      <c r="E21" s="222"/>
      <c r="F21" s="223">
        <f>'数据-取费表'!B38</f>
        <v>0.03</v>
      </c>
      <c r="G21" s="224" t="s">
        <v>1576</v>
      </c>
    </row>
    <row r="22" spans="1:7" s="204" customFormat="1" ht="13.5" customHeight="1">
      <c r="A22" s="245" t="s">
        <v>1577</v>
      </c>
      <c r="B22" s="200" t="s">
        <v>1578</v>
      </c>
      <c r="C22" s="222">
        <f ca="1">ROUND(SUM(C23:C25),0)</f>
        <v>2582777</v>
      </c>
      <c r="D22" s="225">
        <f ca="1">C26</f>
        <v>1.4E-3</v>
      </c>
      <c r="E22" s="226" t="s">
        <v>1575</v>
      </c>
      <c r="F22" s="227">
        <f ca="1">'数据-取费表'!B40</f>
        <v>3.1E-2</v>
      </c>
      <c r="G22" s="224" t="str">
        <f>IF('数据-取费表'!B22&lt;=1,"单利计息","复利计息")</f>
        <v>复利计息</v>
      </c>
    </row>
    <row r="23" spans="1:7" s="204" customFormat="1" ht="13.5" customHeight="1">
      <c r="A23" s="732" t="s">
        <v>1468</v>
      </c>
      <c r="B23" s="205" t="s">
        <v>1579</v>
      </c>
      <c r="C23" s="228">
        <f ca="1">ROUND(IF('数据-取费表'!B22&lt;=1,C5*F22*'数据-取费表'!B22,C5*(POWER((1+F22),'数据-取费表'!B22)-1)),0)</f>
        <v>1240100</v>
      </c>
      <c r="D23" s="228"/>
      <c r="E23" s="228"/>
      <c r="F23" s="229"/>
      <c r="G23" s="230" t="s">
        <v>1580</v>
      </c>
    </row>
    <row r="24" spans="1:7" s="204" customFormat="1" ht="13.5" customHeight="1">
      <c r="A24" s="732" t="s">
        <v>1470</v>
      </c>
      <c r="B24" s="205" t="s">
        <v>1581</v>
      </c>
      <c r="C24" s="228">
        <f ca="1">ROUND(IF('数据-取费表'!B22&lt;=1,C19*F22*('数据-取费表'!B19/2+'数据-取费表'!B20),C19*(POWER((1+F22),('数据-取费表'!B19/2+'数据-取费表'!B20))-1)),0)</f>
        <v>1305369</v>
      </c>
      <c r="D24" s="228"/>
      <c r="E24" s="228"/>
      <c r="F24" s="229"/>
      <c r="G24" s="230" t="s">
        <v>1582</v>
      </c>
    </row>
    <row r="25" spans="1:7" s="204" customFormat="1" ht="24">
      <c r="A25" s="732" t="s">
        <v>1472</v>
      </c>
      <c r="B25" s="205" t="s">
        <v>1583</v>
      </c>
      <c r="C25" s="228">
        <f ca="1">ROUND(IF('数据-取费表'!B22&lt;=1,C20*F22*'数据-取费表'!B22/2,C20*(POWER((1+F22),'数据-取费表'!B22/2)-1)),0)</f>
        <v>37308</v>
      </c>
      <c r="D25" s="228"/>
      <c r="E25" s="231"/>
      <c r="F25" s="229"/>
      <c r="G25" s="232" t="s">
        <v>1584</v>
      </c>
    </row>
    <row r="26" spans="1:7" s="204" customFormat="1">
      <c r="A26" s="732" t="s">
        <v>350</v>
      </c>
      <c r="B26" s="205" t="s">
        <v>1507</v>
      </c>
      <c r="C26" s="228">
        <f ca="1">ROUND(IF('数据-取费表'!B22&lt;=1,F21*F22*'数据-取费表'!B22/2,F21*(POWER((1+F22),'数据-取费表'!B22/2)-1)),4)</f>
        <v>1.4E-3</v>
      </c>
      <c r="D26" s="228"/>
      <c r="E26" s="231"/>
      <c r="F26" s="229"/>
      <c r="G26" s="233"/>
    </row>
    <row r="27" spans="1:7" s="204" customFormat="1" ht="24.75">
      <c r="A27" s="245" t="s">
        <v>1508</v>
      </c>
      <c r="B27" s="234" t="s">
        <v>1509</v>
      </c>
      <c r="C27" s="235">
        <f ca="1">C28</f>
        <v>6833899</v>
      </c>
      <c r="D27" s="225">
        <f ca="1">C29</f>
        <v>7.4999999999999997E-3</v>
      </c>
      <c r="E27" s="226" t="s">
        <v>1510</v>
      </c>
      <c r="F27" s="236">
        <f ca="1">IF(B1="",'数据-取费表'!Q16,INDIRECT("'数据-取费表'!q"&amp;$G$1))</f>
        <v>0.25</v>
      </c>
      <c r="G27" s="237" t="s">
        <v>1511</v>
      </c>
    </row>
    <row r="28" spans="1:7" s="204" customFormat="1" ht="13.5" customHeight="1">
      <c r="A28" s="732" t="s">
        <v>346</v>
      </c>
      <c r="B28" s="238" t="s">
        <v>1512</v>
      </c>
      <c r="C28" s="239">
        <f ca="1">ROUND((C5+C19+C20)*F27,0)</f>
        <v>6833899</v>
      </c>
      <c r="D28" s="225"/>
      <c r="E28" s="226"/>
      <c r="F28" s="236"/>
      <c r="G28" s="237"/>
    </row>
    <row r="29" spans="1:7" s="204" customFormat="1" ht="13.5" customHeight="1">
      <c r="A29" s="732" t="s">
        <v>347</v>
      </c>
      <c r="B29" s="238" t="s">
        <v>1513</v>
      </c>
      <c r="C29" s="228">
        <f ca="1">ROUND(C21*F27,4)</f>
        <v>7.4999999999999997E-3</v>
      </c>
      <c r="D29" s="225"/>
      <c r="E29" s="226"/>
      <c r="F29" s="236"/>
      <c r="G29" s="237"/>
    </row>
    <row r="30" spans="1:7" s="204" customFormat="1" ht="13.5" customHeight="1">
      <c r="A30" s="245" t="s">
        <v>1514</v>
      </c>
      <c r="B30" s="200" t="s">
        <v>1515</v>
      </c>
      <c r="C30" s="225">
        <f>ROUND(F30/(1+'数据-取费表'!C42),4)</f>
        <v>5.33E-2</v>
      </c>
      <c r="D30" s="226" t="s">
        <v>1510</v>
      </c>
      <c r="E30" s="231"/>
      <c r="F30" s="227">
        <f>'数据-取费表'!B41</f>
        <v>5.6000000000000001E-2</v>
      </c>
      <c r="G30" s="224" t="s">
        <v>1516</v>
      </c>
    </row>
    <row r="31" spans="1:7" ht="16.5" customHeight="1">
      <c r="A31" s="199">
        <v>1</v>
      </c>
      <c r="B31" s="200" t="s">
        <v>1517</v>
      </c>
      <c r="C31" s="201">
        <f ca="1">ROUND((C5+C19+C20+C22+C27)/(1-C21-D22-D27-C30),0)</f>
        <v>40484988</v>
      </c>
      <c r="D31" s="220"/>
      <c r="E31" s="201"/>
      <c r="F31" s="240"/>
      <c r="G31" s="224" t="s">
        <v>1518</v>
      </c>
    </row>
    <row r="32" spans="1:7" s="198" customFormat="1" ht="15.75">
      <c r="A32" s="242" t="s">
        <v>1585</v>
      </c>
      <c r="B32" s="243"/>
      <c r="C32" s="243"/>
      <c r="D32" s="243"/>
      <c r="E32" s="243"/>
      <c r="F32" s="243"/>
      <c r="G32" s="244"/>
    </row>
    <row r="33" spans="1:7" s="204" customFormat="1" ht="13.5" customHeight="1">
      <c r="A33" s="245" t="s">
        <v>337</v>
      </c>
      <c r="B33" s="200" t="s">
        <v>1586</v>
      </c>
      <c r="C33" s="246">
        <f ca="1">SUM(C34:C38)</f>
        <v>421364237</v>
      </c>
      <c r="D33" s="222"/>
      <c r="E33" s="202"/>
      <c r="F33" s="231"/>
      <c r="G33" s="224"/>
    </row>
    <row r="34" spans="1:7" s="248" customFormat="1" ht="13.5" customHeight="1">
      <c r="A34" s="732" t="s">
        <v>346</v>
      </c>
      <c r="B34" s="205" t="s">
        <v>1521</v>
      </c>
      <c r="C34" s="210">
        <f ca="1">ROUND(IF(B1="",SUMPRODUCT('数据-取费表'!K6:K14,'数据-取费表'!L6:L14),INDIRECT("'数据-取费表'!l"&amp;$G$1)*INDIRECT("'数据-取费表'!k"&amp;$G$1)+'数据-取费表'!L14*INDIRECT("'数据-取费表'!S"&amp;$G$1)),0)</f>
        <v>381078768</v>
      </c>
      <c r="D34" s="207"/>
      <c r="E34" s="210"/>
      <c r="F34" s="247"/>
      <c r="G34" s="209"/>
    </row>
    <row r="35" spans="1:7" ht="13.5" customHeight="1">
      <c r="A35" s="732" t="s">
        <v>351</v>
      </c>
      <c r="B35" s="205" t="s">
        <v>1523</v>
      </c>
      <c r="C35" s="210">
        <f ca="1">ROUND(C34*F35,0)</f>
        <v>19053938</v>
      </c>
      <c r="D35" s="210"/>
      <c r="E35" s="210"/>
      <c r="F35" s="249">
        <f>'数据-取费表'!B33</f>
        <v>0.05</v>
      </c>
      <c r="G35" s="209" t="s">
        <v>1524</v>
      </c>
    </row>
    <row r="36" spans="1:7" ht="24">
      <c r="A36" s="732" t="s">
        <v>352</v>
      </c>
      <c r="B36" s="205" t="s">
        <v>1525</v>
      </c>
      <c r="C36" s="210">
        <f ca="1">ROUND(IF(B1="",SUM('数据-取费表'!AP6:AP13)*F36,IF(INDIRECT("'数据-取费表'!c"&amp;$G$1)="住宅",INDIRECT("'数据-取费表'!k"&amp;$G$1)*INDIRECT("'数据-取费表'!l"&amp;$G$1)*F36,0)),0)</f>
        <v>0</v>
      </c>
      <c r="D36" s="210"/>
      <c r="E36" s="210"/>
      <c r="F36" s="249">
        <f>'数据-取费表'!B34</f>
        <v>0</v>
      </c>
      <c r="G36" s="250" t="s">
        <v>1526</v>
      </c>
    </row>
    <row r="37" spans="1:7" s="248" customFormat="1" ht="13.5" customHeight="1">
      <c r="A37" s="732" t="s">
        <v>353</v>
      </c>
      <c r="B37" s="205" t="s">
        <v>1527</v>
      </c>
      <c r="C37" s="239">
        <f ca="1">ROUND(E37*D37,0)</f>
        <v>13609956</v>
      </c>
      <c r="D37" s="207">
        <f ca="1">D19</f>
        <v>68049.77999999997</v>
      </c>
      <c r="E37" s="239">
        <f>'数据-取费表'!B35</f>
        <v>200</v>
      </c>
      <c r="F37" s="249"/>
      <c r="G37" s="251"/>
    </row>
    <row r="38" spans="1:7" ht="13.5" customHeight="1">
      <c r="A38" s="732" t="s">
        <v>354</v>
      </c>
      <c r="B38" s="205" t="s">
        <v>1529</v>
      </c>
      <c r="C38" s="210">
        <f ca="1">ROUND(C34*F38,0)</f>
        <v>7621575</v>
      </c>
      <c r="D38" s="210"/>
      <c r="E38" s="210"/>
      <c r="F38" s="249">
        <f>'数据-取费表'!B36</f>
        <v>0.02</v>
      </c>
      <c r="G38" s="209" t="s">
        <v>1524</v>
      </c>
    </row>
    <row r="39" spans="1:7" s="204" customFormat="1" ht="13.5" customHeight="1">
      <c r="A39" s="245" t="s">
        <v>1530</v>
      </c>
      <c r="B39" s="200" t="s">
        <v>1531</v>
      </c>
      <c r="C39" s="222">
        <f ca="1">ROUND(C33*F20,0)</f>
        <v>12640927</v>
      </c>
      <c r="D39" s="222"/>
      <c r="E39" s="222"/>
      <c r="F39" s="223">
        <f>F20</f>
        <v>0.03</v>
      </c>
      <c r="G39" s="224" t="s">
        <v>1532</v>
      </c>
    </row>
    <row r="40" spans="1:7" s="204" customFormat="1" ht="13.5" customHeight="1">
      <c r="A40" s="245" t="s">
        <v>1533</v>
      </c>
      <c r="B40" s="200" t="s">
        <v>1534</v>
      </c>
      <c r="C40" s="225">
        <f>F21</f>
        <v>0.03</v>
      </c>
      <c r="D40" s="226" t="s">
        <v>1535</v>
      </c>
      <c r="E40" s="222"/>
      <c r="F40" s="223">
        <f>F21</f>
        <v>0.03</v>
      </c>
      <c r="G40" s="224" t="s">
        <v>1536</v>
      </c>
    </row>
    <row r="41" spans="1:7" s="204" customFormat="1" ht="13.5" customHeight="1">
      <c r="A41" s="245" t="s">
        <v>1537</v>
      </c>
      <c r="B41" s="200" t="s">
        <v>1538</v>
      </c>
      <c r="C41" s="222">
        <f ca="1">ROUND(SUM(C42:C43),0)</f>
        <v>20336846</v>
      </c>
      <c r="D41" s="225">
        <f ca="1">C44</f>
        <v>1.4E-3</v>
      </c>
      <c r="E41" s="226" t="s">
        <v>1535</v>
      </c>
      <c r="F41" s="227">
        <f ca="1">F22</f>
        <v>3.1E-2</v>
      </c>
      <c r="G41" s="224" t="str">
        <f>IF('数据-取费表'!B22&lt;=1,"单利计息","复利计息")</f>
        <v>复利计息</v>
      </c>
    </row>
    <row r="42" spans="1:7" ht="13.5" customHeight="1">
      <c r="A42" s="732" t="s">
        <v>346</v>
      </c>
      <c r="B42" s="205" t="s">
        <v>1539</v>
      </c>
      <c r="C42" s="228">
        <f ca="1">ROUND(IF('数据-取费表'!B22&lt;=1,C33*F22*'数据-取费表'!B20/2,C33*(POWER((1+F22),'数据-取费表'!B20/2)-1)),0)</f>
        <v>19744511</v>
      </c>
      <c r="D42" s="228"/>
      <c r="E42" s="228"/>
      <c r="F42" s="229"/>
      <c r="G42" s="3369" t="s">
        <v>1587</v>
      </c>
    </row>
    <row r="43" spans="1:7" ht="13.5" customHeight="1">
      <c r="A43" s="732" t="s">
        <v>347</v>
      </c>
      <c r="B43" s="205" t="s">
        <v>1541</v>
      </c>
      <c r="C43" s="228">
        <f ca="1">ROUND(IF('数据-取费表'!B22&lt;=1,C39*F22*'数据-取费表'!B20/2,C39*(POWER((1+F22),'数据-取费表'!B20/2)-1)),0)</f>
        <v>592335</v>
      </c>
      <c r="D43" s="228"/>
      <c r="E43" s="228"/>
      <c r="F43" s="229"/>
      <c r="G43" s="3370"/>
    </row>
    <row r="44" spans="1:7" ht="13.5" customHeight="1">
      <c r="A44" s="732" t="s">
        <v>348</v>
      </c>
      <c r="B44" s="205" t="s">
        <v>1542</v>
      </c>
      <c r="C44" s="228">
        <f ca="1">ROUND(IF('数据-取费表'!B22&lt;=1,C40*F22*'数据-取费表'!B20/2,C40*(POWER((1+F22),'数据-取费表'!B20/2)-1)),4)</f>
        <v>1.4E-3</v>
      </c>
      <c r="D44" s="228"/>
      <c r="E44" s="228"/>
      <c r="F44" s="229"/>
      <c r="G44" s="3371"/>
    </row>
    <row r="45" spans="1:7" s="204" customFormat="1" ht="13.5" customHeight="1">
      <c r="A45" s="245" t="s">
        <v>1543</v>
      </c>
      <c r="B45" s="234" t="s">
        <v>1509</v>
      </c>
      <c r="C45" s="235">
        <f ca="1">C46</f>
        <v>108501291</v>
      </c>
      <c r="D45" s="225">
        <f ca="1">C47</f>
        <v>7.4999999999999997E-3</v>
      </c>
      <c r="E45" s="226" t="s">
        <v>1535</v>
      </c>
      <c r="F45" s="236">
        <f ca="1">F27</f>
        <v>0.25</v>
      </c>
      <c r="G45" s="237" t="s">
        <v>1544</v>
      </c>
    </row>
    <row r="46" spans="1:7" s="204" customFormat="1" ht="13.5" customHeight="1">
      <c r="A46" s="732" t="s">
        <v>346</v>
      </c>
      <c r="B46" s="238" t="s">
        <v>1545</v>
      </c>
      <c r="C46" s="239">
        <f ca="1">ROUND((C33+C39)*F27,0)</f>
        <v>108501291</v>
      </c>
      <c r="D46" s="253"/>
      <c r="E46" s="226"/>
      <c r="F46" s="236"/>
      <c r="G46" s="237"/>
    </row>
    <row r="47" spans="1:7" s="204" customFormat="1" ht="13.5" customHeight="1">
      <c r="A47" s="732" t="s">
        <v>347</v>
      </c>
      <c r="B47" s="238" t="s">
        <v>1546</v>
      </c>
      <c r="C47" s="228">
        <f ca="1">ROUND(C40*F27,4)</f>
        <v>7.4999999999999997E-3</v>
      </c>
      <c r="D47" s="253"/>
      <c r="E47" s="226"/>
      <c r="F47" s="236"/>
      <c r="G47" s="237"/>
    </row>
    <row r="48" spans="1:7" s="204" customFormat="1" ht="13.5" customHeight="1">
      <c r="A48" s="245" t="s">
        <v>1508</v>
      </c>
      <c r="B48" s="200" t="s">
        <v>1547</v>
      </c>
      <c r="C48" s="252">
        <f>ROUND(F30/(1+'数据-取费表'!C42),4)</f>
        <v>5.33E-2</v>
      </c>
      <c r="D48" s="226" t="s">
        <v>1535</v>
      </c>
      <c r="E48" s="222"/>
      <c r="F48" s="227">
        <f>F30</f>
        <v>5.6000000000000001E-2</v>
      </c>
      <c r="G48" s="224" t="s">
        <v>1548</v>
      </c>
    </row>
    <row r="49" spans="1:7" ht="16.5" customHeight="1">
      <c r="A49" s="245" t="s">
        <v>1514</v>
      </c>
      <c r="B49" s="200" t="s">
        <v>1588</v>
      </c>
      <c r="C49" s="222">
        <f ca="1">ROUND((C33+C39+C41+C45)/(1-C40-D41-D45-C48),0)</f>
        <v>620008043</v>
      </c>
      <c r="D49" s="222"/>
      <c r="E49" s="222"/>
      <c r="F49" s="254"/>
      <c r="G49" s="224" t="s">
        <v>1550</v>
      </c>
    </row>
    <row r="50" spans="1:7" s="248" customFormat="1">
      <c r="A50" s="245" t="s">
        <v>1551</v>
      </c>
      <c r="B50" s="200" t="s">
        <v>1552</v>
      </c>
      <c r="C50" s="222"/>
      <c r="D50" s="222"/>
      <c r="E50" s="222"/>
      <c r="F50" s="254">
        <f>IF('数据-取费表'!B24=0,'数据-取费表'!N16,1)</f>
        <v>0.95</v>
      </c>
      <c r="G50" s="237"/>
    </row>
    <row r="51" spans="1:7" ht="16.5" customHeight="1">
      <c r="A51" s="245" t="s">
        <v>1554</v>
      </c>
      <c r="B51" s="200" t="s">
        <v>1589</v>
      </c>
      <c r="C51" s="222">
        <f ca="1">ROUND(C49*F50,0)</f>
        <v>589007641</v>
      </c>
      <c r="D51" s="222"/>
      <c r="E51" s="222"/>
      <c r="F51" s="254"/>
      <c r="G51" s="224" t="s">
        <v>1556</v>
      </c>
    </row>
    <row r="52" spans="1:7" s="198" customFormat="1" ht="16.5" thickBot="1">
      <c r="A52" s="255" t="s">
        <v>1557</v>
      </c>
      <c r="B52" s="256"/>
      <c r="C52" s="257">
        <f ca="1">C31+C51</f>
        <v>629492629</v>
      </c>
      <c r="D52" s="256"/>
      <c r="E52" s="256"/>
      <c r="F52" s="256"/>
      <c r="G52" s="258"/>
    </row>
    <row r="55" spans="1:7" ht="15">
      <c r="B55" s="260" t="s">
        <v>1558</v>
      </c>
      <c r="C55" s="261"/>
    </row>
    <row r="56" spans="1:7">
      <c r="B56" s="263" t="s">
        <v>801</v>
      </c>
      <c r="C56" s="265">
        <f ca="1">1-C57</f>
        <v>6.3999999999999946E-2</v>
      </c>
    </row>
    <row r="57" spans="1:7">
      <c r="B57" s="263" t="s">
        <v>802</v>
      </c>
      <c r="C57" s="26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1590</v>
      </c>
      <c r="B1" s="119"/>
      <c r="C1" s="1107"/>
      <c r="D1" s="1106"/>
      <c r="E1" s="2565"/>
      <c r="F1" s="2565"/>
      <c r="G1" s="2446"/>
      <c r="H1" s="2565"/>
      <c r="I1" s="2565"/>
      <c r="J1" s="2565"/>
      <c r="K1" s="2566">
        <f>MATCH(C1,'数据-取费表'!A6:A16,0)+5</f>
        <v>7</v>
      </c>
    </row>
    <row r="2" spans="1:33" ht="18" customHeight="1">
      <c r="A2" s="191" t="s">
        <v>1458</v>
      </c>
      <c r="B2" s="194">
        <f ca="1">C32</f>
        <v>0</v>
      </c>
      <c r="C2" s="266" t="s">
        <v>1591</v>
      </c>
      <c r="D2" s="266"/>
      <c r="E2" s="2565"/>
      <c r="F2" s="2565"/>
      <c r="G2" s="2565"/>
      <c r="H2" s="2565"/>
      <c r="I2" s="2565"/>
      <c r="J2" s="2565"/>
      <c r="K2" s="2565"/>
    </row>
    <row r="3" spans="1:33" ht="18" customHeight="1" thickBot="1">
      <c r="A3" s="193" t="s">
        <v>1460</v>
      </c>
      <c r="B3" s="194">
        <f ca="1">ROUND(B2*10000/IF(C1="",'数据-汇总表'!E3,INDIRECT("'数据-取费表'!K"&amp;$K$1)),0)</f>
        <v>0</v>
      </c>
      <c r="C3" s="266" t="s">
        <v>1592</v>
      </c>
      <c r="D3" s="266"/>
      <c r="E3" s="2565"/>
      <c r="F3" s="2565"/>
      <c r="G3" s="2565"/>
      <c r="H3" s="2565"/>
      <c r="I3" s="2565"/>
      <c r="J3" s="2565"/>
      <c r="K3" s="2565"/>
    </row>
    <row r="4" spans="1:33" s="737" customFormat="1" ht="16.5" customHeight="1">
      <c r="A4" s="734" t="s">
        <v>1593</v>
      </c>
      <c r="B4" s="735"/>
      <c r="C4" s="773">
        <f>SUM(C8:K8)</f>
        <v>0</v>
      </c>
      <c r="D4" s="735"/>
      <c r="E4" s="735"/>
      <c r="F4" s="735"/>
      <c r="G4" s="735"/>
      <c r="H4" s="735"/>
      <c r="I4" s="735"/>
      <c r="J4" s="735"/>
      <c r="K4" s="736"/>
    </row>
    <row r="5" spans="1:33" s="741" customFormat="1" ht="15">
      <c r="A5" s="738" t="s">
        <v>1594</v>
      </c>
      <c r="B5" s="739" t="s">
        <v>1595</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1596</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1597</v>
      </c>
      <c r="B7" s="121" t="s">
        <v>1598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1599</v>
      </c>
      <c r="B8" s="154" t="s">
        <v>1600</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1601</v>
      </c>
      <c r="B9" s="735"/>
      <c r="C9" s="735"/>
      <c r="D9" s="735"/>
      <c r="E9" s="735"/>
      <c r="F9" s="735"/>
      <c r="G9" s="735"/>
      <c r="H9" s="735"/>
      <c r="I9" s="735"/>
      <c r="J9" s="735"/>
      <c r="K9" s="736"/>
    </row>
    <row r="10" spans="1:33" s="749" customFormat="1" ht="13.5" customHeight="1">
      <c r="A10" s="738" t="s">
        <v>1602</v>
      </c>
      <c r="B10" s="5" t="s">
        <v>1603</v>
      </c>
      <c r="C10" s="745" t="s">
        <v>1604</v>
      </c>
      <c r="D10" s="746" t="s">
        <v>1605</v>
      </c>
      <c r="E10" s="746" t="s">
        <v>1606</v>
      </c>
      <c r="F10" s="746" t="s">
        <v>1607</v>
      </c>
      <c r="G10" s="5"/>
      <c r="H10" s="747"/>
      <c r="I10" s="747"/>
      <c r="J10" s="747"/>
      <c r="K10" s="748"/>
    </row>
    <row r="11" spans="1:33" s="753" customFormat="1" ht="13.5" customHeight="1">
      <c r="A11" s="750" t="s">
        <v>635</v>
      </c>
      <c r="B11" s="751" t="s">
        <v>1608</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1609</v>
      </c>
      <c r="C12" s="21">
        <f ca="1">ROUND(C11*F12,0)</f>
        <v>0</v>
      </c>
      <c r="D12" s="752"/>
      <c r="E12" s="136"/>
      <c r="F12" s="762">
        <f>'数据-取费表'!B33</f>
        <v>0.05</v>
      </c>
      <c r="G12" s="5" t="s">
        <v>1610</v>
      </c>
      <c r="H12" s="747"/>
      <c r="I12" s="747"/>
      <c r="J12" s="747"/>
      <c r="K12" s="748"/>
    </row>
    <row r="13" spans="1:33" s="753" customFormat="1" ht="13.5" customHeight="1">
      <c r="A13" s="750" t="s">
        <v>637</v>
      </c>
      <c r="B13" s="751" t="s">
        <v>1611</v>
      </c>
      <c r="C13" s="21">
        <f ca="1">ROUND(IF(C1="",SUMIF('数据-取费表'!C:C,"住宅",'数据-取费表'!P:P)*F13,IF(INDIRECT("'数据-取费表'!c"&amp;$K$1)="住宅",INDIRECT("'数据-取费表'!P"&amp;$K$1)*F13,0)),0)</f>
        <v>0</v>
      </c>
      <c r="D13" s="794"/>
      <c r="E13" s="136"/>
      <c r="F13" s="762">
        <f>'数据-取费表'!B34</f>
        <v>0</v>
      </c>
      <c r="G13" s="5" t="s">
        <v>1612</v>
      </c>
      <c r="H13" s="747"/>
      <c r="I13" s="747"/>
      <c r="J13" s="747"/>
      <c r="K13" s="748"/>
    </row>
    <row r="14" spans="1:33" s="755" customFormat="1" ht="13.5" customHeight="1">
      <c r="A14" s="750" t="s">
        <v>638</v>
      </c>
      <c r="B14" s="751" t="s">
        <v>1613</v>
      </c>
      <c r="C14" s="21">
        <f ca="1">ROUND(D14*E14*F11/10000,0)</f>
        <v>0</v>
      </c>
      <c r="D14" s="794">
        <f ca="1">IF(C1="",'数据-汇总表'!E3,INDIRECT("'数据-取费表'!K"&amp;$K$1)+INDIRECT("'数据-取费表'!S"&amp;$K$1))</f>
        <v>68049.77999999997</v>
      </c>
      <c r="E14" s="21">
        <f>'数据-取费表'!B35</f>
        <v>200</v>
      </c>
      <c r="F14" s="754"/>
      <c r="G14" s="5" t="s">
        <v>1614</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1615</v>
      </c>
      <c r="C15" s="761">
        <f ca="1">ROUND(C11*F15,0)</f>
        <v>0</v>
      </c>
      <c r="D15" s="756"/>
      <c r="E15" s="761"/>
      <c r="F15" s="762">
        <f>'数据-取费表'!B36</f>
        <v>0.02</v>
      </c>
      <c r="G15" s="121" t="s">
        <v>1616</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1617</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1618</v>
      </c>
      <c r="C17" s="21">
        <f ca="1">ROUND(D17*E17/10000,0)</f>
        <v>0</v>
      </c>
      <c r="D17" s="794">
        <f ca="1">D14</f>
        <v>68049.77999999997</v>
      </c>
      <c r="E17" s="21">
        <f>'数据-取费表'!B32</f>
        <v>0</v>
      </c>
      <c r="F17" s="756"/>
      <c r="G17" s="121" t="s">
        <v>1619</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1620</v>
      </c>
      <c r="C18" s="21">
        <f ca="1">C19+C20-IF(C1="",'数据-取费表'!B29,IF(G18="已全部缴纳",C19+C20,H18))</f>
        <v>0</v>
      </c>
      <c r="D18" s="794"/>
      <c r="E18" s="21"/>
      <c r="F18" s="754"/>
      <c r="G18" s="1717"/>
      <c r="H18" s="1103"/>
      <c r="I18" s="1718" t="s">
        <v>1621</v>
      </c>
      <c r="J18" s="757"/>
      <c r="K18" s="758"/>
    </row>
    <row r="19" spans="1:33" s="753" customFormat="1" ht="13.5" customHeight="1">
      <c r="A19" s="750" t="s">
        <v>360</v>
      </c>
      <c r="B19" s="751" t="s">
        <v>1622</v>
      </c>
      <c r="C19" s="21">
        <f ca="1">ROUND(D19*E19/10000,0)</f>
        <v>0</v>
      </c>
      <c r="D19" s="794">
        <f ca="1">IF(C1="",'数据-汇总表'!E5,IF(INDIRECT("'数据-取费表'!c"&amp;$K$1)="住宅",INDIRECT("'数据-取费表'!k"&amp;$K$1),0))</f>
        <v>0</v>
      </c>
      <c r="E19" s="21">
        <f>'数据-取费表'!B27</f>
        <v>150</v>
      </c>
      <c r="F19" s="754"/>
      <c r="G19" s="12"/>
      <c r="H19" s="1105"/>
      <c r="I19" s="759"/>
      <c r="J19" s="759"/>
      <c r="K19" s="760"/>
    </row>
    <row r="20" spans="1:33" s="753" customFormat="1" ht="13.5" customHeight="1">
      <c r="A20" s="750" t="s">
        <v>361</v>
      </c>
      <c r="B20" s="751" t="s">
        <v>1623</v>
      </c>
      <c r="C20" s="21">
        <f ca="1">ROUND(D20*E20/10000,0)</f>
        <v>1293</v>
      </c>
      <c r="D20" s="794">
        <f ca="1">IF(C1="",'数据-汇总表'!E6,IF(INDIRECT("'数据-取费表'!c"&amp;$K$1)="住宅",INDIRECT("'数据-取费表'!s"&amp;$K$1),INDIRECT("'数据-取费表'!k"&amp;$K$1)+INDIRECT("'数据-取费表'!s"&amp;$K$1)))</f>
        <v>68049.77999999997</v>
      </c>
      <c r="E20" s="21">
        <f>'数据-取费表'!B28</f>
        <v>190</v>
      </c>
      <c r="F20" s="754"/>
      <c r="G20" s="12"/>
      <c r="H20" s="759"/>
      <c r="I20" s="759"/>
      <c r="J20" s="759"/>
      <c r="K20" s="760"/>
    </row>
    <row r="21" spans="1:33" s="753" customFormat="1" ht="13.5" customHeight="1">
      <c r="A21" s="742" t="s">
        <v>357</v>
      </c>
      <c r="B21" s="763" t="s">
        <v>1624</v>
      </c>
      <c r="C21" s="764">
        <f ca="1">C16+C17+C18</f>
        <v>0</v>
      </c>
      <c r="D21" s="765"/>
      <c r="E21" s="271"/>
      <c r="F21" s="271"/>
      <c r="G21" s="121" t="s">
        <v>1625</v>
      </c>
      <c r="H21" s="757"/>
      <c r="I21" s="757"/>
      <c r="J21" s="757"/>
      <c r="K21" s="758"/>
    </row>
    <row r="22" spans="1:33" s="753" customFormat="1" ht="13.5" customHeight="1">
      <c r="A22" s="742" t="s">
        <v>1597</v>
      </c>
      <c r="B22" s="763" t="s">
        <v>1626</v>
      </c>
      <c r="C22" s="764">
        <f ca="1">ROUND(C21*F22,0)</f>
        <v>0</v>
      </c>
      <c r="D22" s="271"/>
      <c r="E22" s="271"/>
      <c r="F22" s="766">
        <f>'数据-取费表'!B37</f>
        <v>0.03</v>
      </c>
      <c r="G22" s="5" t="s">
        <v>1627</v>
      </c>
      <c r="H22" s="747"/>
      <c r="I22" s="747"/>
      <c r="J22" s="747"/>
      <c r="K22" s="748"/>
    </row>
    <row r="23" spans="1:33" s="753" customFormat="1" ht="13.5" customHeight="1">
      <c r="A23" s="742" t="s">
        <v>1599</v>
      </c>
      <c r="B23" s="763" t="s">
        <v>1628</v>
      </c>
      <c r="C23" s="764">
        <f ca="1">ROUND(C4*F23*F11,0)</f>
        <v>0</v>
      </c>
      <c r="D23" s="271"/>
      <c r="E23" s="271"/>
      <c r="F23" s="766">
        <f>'数据-取费表'!B38</f>
        <v>0.03</v>
      </c>
      <c r="G23" s="5" t="s">
        <v>1629</v>
      </c>
      <c r="H23" s="747"/>
      <c r="I23" s="747"/>
      <c r="J23" s="747"/>
      <c r="K23" s="748"/>
    </row>
    <row r="24" spans="1:33" s="753" customFormat="1" ht="13.5" customHeight="1">
      <c r="A24" s="742" t="s">
        <v>1630</v>
      </c>
      <c r="B24" s="763" t="s">
        <v>1631</v>
      </c>
      <c r="C24" s="270">
        <f>ROUND(F24/(1+'数据-取费表'!C42),4)</f>
        <v>2.9000000000000001E-2</v>
      </c>
      <c r="D24" s="271" t="s">
        <v>12</v>
      </c>
      <c r="E24" s="271"/>
      <c r="F24" s="766">
        <f>IF(项目基本情况!B8="出让",0,'数据-取费表'!B48+'数据-取费表'!B49)</f>
        <v>3.0499999999999999E-2</v>
      </c>
      <c r="G24" s="5" t="s">
        <v>1632</v>
      </c>
      <c r="H24" s="768"/>
      <c r="I24" s="768"/>
      <c r="J24" s="768"/>
      <c r="K24" s="55"/>
    </row>
    <row r="25" spans="1:33" s="753" customFormat="1" ht="13.5" customHeight="1">
      <c r="A25" s="742" t="s">
        <v>1633</v>
      </c>
      <c r="B25" s="765" t="s">
        <v>1634</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1635</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1636</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1637</v>
      </c>
      <c r="B28" s="1720" t="s">
        <v>1638</v>
      </c>
      <c r="C28" s="277">
        <f ca="1">C30</f>
        <v>0</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1639</v>
      </c>
      <c r="C29" s="274">
        <f ca="1">ROUND((1+C24)*F28*'数据-取费表'!B24/'数据-取费表'!B20,4)</f>
        <v>0</v>
      </c>
      <c r="D29" s="274"/>
      <c r="E29" s="275"/>
      <c r="F29" s="280"/>
      <c r="G29" s="121" t="s">
        <v>1640</v>
      </c>
      <c r="H29" s="757"/>
      <c r="I29" s="757"/>
      <c r="J29" s="757"/>
      <c r="K29" s="758"/>
    </row>
    <row r="30" spans="1:33" s="281" customFormat="1" ht="13.5" customHeight="1">
      <c r="A30" s="750" t="s">
        <v>359</v>
      </c>
      <c r="B30" s="771" t="s">
        <v>1641</v>
      </c>
      <c r="C30" s="282">
        <f ca="1">ROUND((C21+C22+C23)*F28,0)</f>
        <v>0</v>
      </c>
      <c r="D30" s="274"/>
      <c r="E30" s="275"/>
      <c r="F30" s="280"/>
      <c r="G30" s="121"/>
      <c r="H30" s="757"/>
      <c r="I30" s="757"/>
      <c r="J30" s="757"/>
      <c r="K30" s="758"/>
    </row>
    <row r="31" spans="1:33" s="753" customFormat="1" ht="13.5" customHeight="1" thickBot="1">
      <c r="A31" s="1721" t="s">
        <v>1642</v>
      </c>
      <c r="B31" s="781" t="s">
        <v>1643</v>
      </c>
      <c r="C31" s="782">
        <f>ROUND(C4*F31/(1+'数据-取费表'!C42),0)</f>
        <v>0</v>
      </c>
      <c r="D31" s="783"/>
      <c r="E31" s="784"/>
      <c r="F31" s="785">
        <f>'数据-取费表'!B41</f>
        <v>5.6000000000000001E-2</v>
      </c>
      <c r="G31" s="786" t="s">
        <v>1644</v>
      </c>
      <c r="H31" s="787"/>
      <c r="I31" s="787"/>
      <c r="J31" s="787"/>
      <c r="K31" s="788"/>
    </row>
    <row r="32" spans="1:33" s="749" customFormat="1" ht="13.5" customHeight="1" thickBot="1">
      <c r="A32" s="447" t="s">
        <v>1645</v>
      </c>
      <c r="B32" s="777"/>
      <c r="C32" s="778">
        <f ca="1">ROUND((C4-C21-C22-C23-C25-C28-C31)/(1+C24+D25+D28),0)</f>
        <v>0</v>
      </c>
      <c r="D32" s="777"/>
      <c r="E32" s="777"/>
      <c r="F32" s="777"/>
      <c r="G32" s="779" t="s">
        <v>1646</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5" zoomScale="90" zoomScaleNormal="60" zoomScaleSheetLayoutView="90" workbookViewId="0">
      <selection activeCell="M56" sqref="M56"/>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1458</v>
      </c>
      <c r="B2" s="589">
        <f>F65</f>
        <v>64644</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f>ROUND(IF(D3="",B2*10000/'数据-汇总表'!E3,B2*10000/D3),0)</f>
        <v>9500</v>
      </c>
      <c r="C3" s="193" t="s">
        <v>1865</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1765</v>
      </c>
      <c r="B4" s="344"/>
      <c r="C4" s="3376" t="s">
        <v>1766</v>
      </c>
      <c r="D4" s="3388"/>
      <c r="E4" s="3389" t="s">
        <v>1767</v>
      </c>
      <c r="F4" s="3390"/>
      <c r="G4" s="3376" t="s">
        <v>1768</v>
      </c>
      <c r="H4" s="3388"/>
      <c r="I4" s="3376" t="s">
        <v>1769</v>
      </c>
      <c r="J4" s="3388"/>
      <c r="K4" s="535" t="s">
        <v>1770</v>
      </c>
      <c r="L4" s="2484"/>
      <c r="M4" s="2485"/>
      <c r="N4" s="2485"/>
      <c r="O4" s="2485"/>
      <c r="P4" s="3391" t="s">
        <v>1771</v>
      </c>
      <c r="Q4" s="3392"/>
      <c r="R4" s="3397" t="s">
        <v>1767</v>
      </c>
      <c r="S4" s="3398"/>
      <c r="T4" s="3397" t="s">
        <v>1768</v>
      </c>
      <c r="U4" s="3398"/>
      <c r="V4" s="3384" t="s">
        <v>1769</v>
      </c>
      <c r="W4" s="3384"/>
      <c r="X4" s="1262"/>
      <c r="Y4" s="3397" t="s">
        <v>1771</v>
      </c>
      <c r="Z4" s="3398"/>
      <c r="AA4" s="3385" t="s">
        <v>1767</v>
      </c>
      <c r="AB4" s="3386" t="s">
        <v>1768</v>
      </c>
      <c r="AC4" s="3385" t="s">
        <v>1769</v>
      </c>
    </row>
    <row r="5" spans="1:29" ht="15">
      <c r="A5" s="346"/>
      <c r="B5" s="347"/>
      <c r="C5" s="3405" t="s">
        <v>1669</v>
      </c>
      <c r="D5" s="3406"/>
      <c r="E5" s="3412" t="s">
        <v>1670</v>
      </c>
      <c r="F5" s="3413"/>
      <c r="G5" s="3405" t="s">
        <v>1671</v>
      </c>
      <c r="H5" s="3406"/>
      <c r="I5" s="3405" t="s">
        <v>1672</v>
      </c>
      <c r="J5" s="3406"/>
      <c r="K5" s="535"/>
      <c r="L5" s="2484"/>
      <c r="M5" s="2485"/>
      <c r="N5" s="2485"/>
      <c r="O5" s="2485"/>
      <c r="P5" s="3393"/>
      <c r="Q5" s="3394"/>
      <c r="R5" s="3399"/>
      <c r="S5" s="3400"/>
      <c r="T5" s="3399"/>
      <c r="U5" s="3400"/>
      <c r="V5" s="3384"/>
      <c r="W5" s="3384"/>
      <c r="X5" s="1262"/>
      <c r="Y5" s="3399"/>
      <c r="Z5" s="3400"/>
      <c r="AA5" s="3386"/>
      <c r="AB5" s="3386"/>
      <c r="AC5" s="3386"/>
    </row>
    <row r="6" spans="1:29" ht="15.75" thickBot="1">
      <c r="A6" s="348"/>
      <c r="B6" s="349"/>
      <c r="C6" s="3403" t="s">
        <v>1673</v>
      </c>
      <c r="D6" s="3404"/>
      <c r="E6" s="3410" t="s">
        <v>1673</v>
      </c>
      <c r="F6" s="3411"/>
      <c r="G6" s="3403" t="s">
        <v>1673</v>
      </c>
      <c r="H6" s="3404"/>
      <c r="I6" s="3403" t="s">
        <v>1673</v>
      </c>
      <c r="J6" s="3404"/>
      <c r="K6" s="535" t="s">
        <v>1674</v>
      </c>
      <c r="L6" s="2484"/>
      <c r="M6" s="2485"/>
      <c r="N6" s="2485"/>
      <c r="O6" s="2485"/>
      <c r="P6" s="3395"/>
      <c r="Q6" s="3396"/>
      <c r="R6" s="3399"/>
      <c r="S6" s="3400"/>
      <c r="T6" s="3401"/>
      <c r="U6" s="3402"/>
      <c r="V6" s="3384"/>
      <c r="W6" s="3384"/>
      <c r="X6" s="1262"/>
      <c r="Y6" s="3401"/>
      <c r="Z6" s="3402"/>
      <c r="AA6" s="3387"/>
      <c r="AB6" s="3387"/>
      <c r="AC6" s="3387"/>
    </row>
    <row r="7" spans="1:29" s="102" customFormat="1" ht="15.75" thickBot="1">
      <c r="A7" s="350" t="s">
        <v>1675</v>
      </c>
      <c r="B7" s="351"/>
      <c r="C7" s="352">
        <f>'数据-取费表'!B2</f>
        <v>45604</v>
      </c>
      <c r="D7" s="353">
        <v>100</v>
      </c>
      <c r="E7" s="354">
        <v>45047</v>
      </c>
      <c r="F7" s="355">
        <f>SUMIF(69:69,YEAR(E7)&amp;"-"&amp;INT((MONTH(E7)+2)/3),70:70)</f>
        <v>100</v>
      </c>
      <c r="G7" s="354">
        <v>45047</v>
      </c>
      <c r="H7" s="353">
        <f>SUMIF(69:69,YEAR(G7)&amp;"-"&amp;INT((MONTH(G7)+2)/3),70:70)</f>
        <v>100</v>
      </c>
      <c r="I7" s="354">
        <v>45047</v>
      </c>
      <c r="J7" s="353">
        <f>SUMIF(69:69,YEAR(I7)&amp;"-"&amp;INT((MONTH(I7)+2)/3),70:70)</f>
        <v>100</v>
      </c>
      <c r="K7" s="38"/>
      <c r="L7" s="2486"/>
      <c r="M7" s="2437"/>
      <c r="N7" s="2437"/>
      <c r="O7" s="2437"/>
      <c r="P7" s="3407" t="s">
        <v>1676</v>
      </c>
      <c r="Q7" s="3409"/>
      <c r="R7" s="662" t="s">
        <v>14</v>
      </c>
      <c r="S7" s="663">
        <f t="shared" ref="S7:S15" si="0">F7</f>
        <v>100</v>
      </c>
      <c r="T7" s="662" t="s">
        <v>14</v>
      </c>
      <c r="U7" s="663">
        <f t="shared" ref="U7:U15" si="1">H7</f>
        <v>100</v>
      </c>
      <c r="V7" s="662" t="s">
        <v>14</v>
      </c>
      <c r="W7" s="663">
        <f t="shared" ref="W7:W15" si="2">J7</f>
        <v>100</v>
      </c>
      <c r="X7" s="664"/>
      <c r="Y7" s="3407" t="s">
        <v>1676</v>
      </c>
      <c r="Z7" s="3408"/>
      <c r="AA7" s="50">
        <f>D7/F7</f>
        <v>1</v>
      </c>
      <c r="AB7" s="50">
        <f>D7/H7</f>
        <v>1</v>
      </c>
      <c r="AC7" s="50">
        <f>D7/J7</f>
        <v>1</v>
      </c>
    </row>
    <row r="8" spans="1:29" s="102" customFormat="1" ht="15.75" thickBot="1">
      <c r="A8" s="350" t="s">
        <v>1677</v>
      </c>
      <c r="B8" s="351"/>
      <c r="C8" s="356" t="s">
        <v>1678</v>
      </c>
      <c r="D8" s="353">
        <v>100</v>
      </c>
      <c r="E8" s="356" t="s">
        <v>1678</v>
      </c>
      <c r="F8" s="355">
        <f>SUMIF(72:72,E8,73:73)-SUMIF(72:72,C8,73:73)+100</f>
        <v>100</v>
      </c>
      <c r="G8" s="356" t="s">
        <v>1678</v>
      </c>
      <c r="H8" s="353">
        <f>SUMIF(72:72,G8,73:73)-SUMIF(72:72,C8,73:73)+100</f>
        <v>100</v>
      </c>
      <c r="I8" s="356" t="s">
        <v>1678</v>
      </c>
      <c r="J8" s="353">
        <f>SUMIF(72:72,I8,73:73)-SUMIF(72:72,C8,73:73)+100</f>
        <v>100</v>
      </c>
      <c r="K8" s="38"/>
      <c r="L8" s="2486"/>
      <c r="M8" s="2437"/>
      <c r="N8" s="2437"/>
      <c r="O8" s="2437"/>
      <c r="P8" s="3407" t="s">
        <v>1679</v>
      </c>
      <c r="Q8" s="3408"/>
      <c r="R8" s="662" t="s">
        <v>14</v>
      </c>
      <c r="S8" s="663">
        <f t="shared" si="0"/>
        <v>100</v>
      </c>
      <c r="T8" s="662" t="s">
        <v>14</v>
      </c>
      <c r="U8" s="663">
        <f t="shared" si="1"/>
        <v>100</v>
      </c>
      <c r="V8" s="662" t="s">
        <v>14</v>
      </c>
      <c r="W8" s="663">
        <f t="shared" si="2"/>
        <v>100</v>
      </c>
      <c r="X8" s="664"/>
      <c r="Y8" s="3407" t="s">
        <v>1679</v>
      </c>
      <c r="Z8" s="3408"/>
      <c r="AA8" s="50">
        <f t="shared" ref="AA8:AA45" si="3">D8/F8</f>
        <v>1</v>
      </c>
      <c r="AB8" s="50">
        <f t="shared" ref="AB8:AB45" si="4">D8/H8</f>
        <v>1</v>
      </c>
      <c r="AC8" s="50">
        <f t="shared" ref="AC8:AC45" si="5">D8/J8</f>
        <v>1</v>
      </c>
    </row>
    <row r="9" spans="1:29" s="102" customFormat="1">
      <c r="A9" s="357" t="s">
        <v>1680</v>
      </c>
      <c r="B9" s="60" t="s">
        <v>1681</v>
      </c>
      <c r="C9" s="1822" t="s">
        <v>672</v>
      </c>
      <c r="D9" s="59">
        <v>100</v>
      </c>
      <c r="E9" s="1822" t="s">
        <v>672</v>
      </c>
      <c r="F9" s="59">
        <f>SUMIF(74:74,E9,75:75)-SUMIF(74:74,C9,75:75)+100</f>
        <v>100</v>
      </c>
      <c r="G9" s="1822" t="s">
        <v>672</v>
      </c>
      <c r="H9" s="59">
        <f>SUMIF(74:74,G9,75:75)-SUMIF(74:74,C9,75:75)+100</f>
        <v>100</v>
      </c>
      <c r="I9" s="1822" t="s">
        <v>672</v>
      </c>
      <c r="J9" s="59">
        <f>SUMIF(74:74,I9,75:75)-SUMIF(74:74,C9,75:75)+100</f>
        <v>100</v>
      </c>
      <c r="K9" s="38"/>
      <c r="L9" s="2486"/>
      <c r="M9" s="2437"/>
      <c r="N9" s="2437"/>
      <c r="O9" s="2538"/>
      <c r="P9" s="3379" t="s">
        <v>1682</v>
      </c>
      <c r="Q9" s="528" t="str">
        <f t="shared" ref="Q9:Q15" si="6">B9</f>
        <v>用途</v>
      </c>
      <c r="R9" s="662" t="s">
        <v>14</v>
      </c>
      <c r="S9" s="663">
        <f t="shared" si="0"/>
        <v>100</v>
      </c>
      <c r="T9" s="662" t="s">
        <v>14</v>
      </c>
      <c r="U9" s="663">
        <f t="shared" si="1"/>
        <v>100</v>
      </c>
      <c r="V9" s="662" t="s">
        <v>14</v>
      </c>
      <c r="W9" s="663">
        <f t="shared" si="2"/>
        <v>100</v>
      </c>
      <c r="X9" s="664"/>
      <c r="Y9" s="3276" t="s">
        <v>1683</v>
      </c>
      <c r="Z9" s="50" t="str">
        <f t="shared" ref="Z9:Z15" si="7">Q9</f>
        <v>用途</v>
      </c>
      <c r="AA9" s="50">
        <f t="shared" si="3"/>
        <v>1</v>
      </c>
      <c r="AB9" s="50">
        <f t="shared" si="4"/>
        <v>1</v>
      </c>
      <c r="AC9" s="50">
        <f t="shared" si="5"/>
        <v>1</v>
      </c>
    </row>
    <row r="10" spans="1:29" s="364" customFormat="1" ht="27">
      <c r="A10" s="361"/>
      <c r="B10" s="362" t="s">
        <v>1684</v>
      </c>
      <c r="C10" s="369"/>
      <c r="D10" s="117">
        <v>100</v>
      </c>
      <c r="E10" s="401"/>
      <c r="F10" s="117">
        <f>ROUND(100/'数据-取费表'!G16,0)</f>
        <v>108</v>
      </c>
      <c r="G10" s="400"/>
      <c r="H10" s="117">
        <f>ROUND(100/'数据-取费表'!G16,0)</f>
        <v>108</v>
      </c>
      <c r="I10" s="400"/>
      <c r="J10" s="117">
        <f>ROUND(100/'数据-取费表'!G16,0)</f>
        <v>108</v>
      </c>
      <c r="K10" s="590"/>
      <c r="L10" s="2487"/>
      <c r="M10" s="2488"/>
      <c r="N10" s="2488"/>
      <c r="O10" s="2539"/>
      <c r="P10" s="3379"/>
      <c r="Q10" s="528" t="str">
        <f t="shared" si="6"/>
        <v>土地使用年限（年）</v>
      </c>
      <c r="R10" s="662" t="s">
        <v>14</v>
      </c>
      <c r="S10" s="663">
        <f t="shared" si="0"/>
        <v>108</v>
      </c>
      <c r="T10" s="662" t="s">
        <v>14</v>
      </c>
      <c r="U10" s="663">
        <f t="shared" si="1"/>
        <v>108</v>
      </c>
      <c r="V10" s="662" t="s">
        <v>14</v>
      </c>
      <c r="W10" s="663">
        <f t="shared" si="2"/>
        <v>108</v>
      </c>
      <c r="X10" s="664"/>
      <c r="Y10" s="3276"/>
      <c r="Z10" s="50" t="str">
        <f t="shared" si="7"/>
        <v>土地使用年限（年）</v>
      </c>
      <c r="AA10" s="50">
        <f t="shared" si="3"/>
        <v>0.92592592592592593</v>
      </c>
      <c r="AB10" s="50">
        <f t="shared" si="4"/>
        <v>0.92592592592592593</v>
      </c>
      <c r="AC10" s="50">
        <f t="shared" si="5"/>
        <v>0.92592592592592593</v>
      </c>
    </row>
    <row r="11" spans="1:29" ht="15">
      <c r="A11" s="365"/>
      <c r="B11" s="362" t="s">
        <v>1685</v>
      </c>
      <c r="C11" s="366">
        <v>2</v>
      </c>
      <c r="D11" s="117">
        <v>100</v>
      </c>
      <c r="E11" s="366"/>
      <c r="F11" s="117">
        <f>LOOKUP(E11,79:79,80:80)-LOOKUP(C11,79:79,80:80)+100</f>
        <v>106</v>
      </c>
      <c r="G11" s="367"/>
      <c r="H11" s="117">
        <f>LOOKUP(G11,79:79,80:80)-LOOKUP(C11,79:79,80:80)+100</f>
        <v>106</v>
      </c>
      <c r="I11" s="366"/>
      <c r="J11" s="117">
        <f>LOOKUP(I11,79:79,80:80)-LOOKUP(C11,79:79,80:80)+100</f>
        <v>106</v>
      </c>
      <c r="K11" s="591">
        <v>3</v>
      </c>
      <c r="L11" s="2489"/>
      <c r="M11" s="2485"/>
      <c r="N11" s="2485"/>
      <c r="O11" s="2540"/>
      <c r="P11" s="3379"/>
      <c r="Q11" s="528" t="str">
        <f t="shared" si="6"/>
        <v>容积率</v>
      </c>
      <c r="R11" s="662" t="s">
        <v>14</v>
      </c>
      <c r="S11" s="663">
        <f t="shared" si="0"/>
        <v>106</v>
      </c>
      <c r="T11" s="662" t="s">
        <v>14</v>
      </c>
      <c r="U11" s="663">
        <f t="shared" si="1"/>
        <v>106</v>
      </c>
      <c r="V11" s="662" t="s">
        <v>14</v>
      </c>
      <c r="W11" s="663">
        <f t="shared" si="2"/>
        <v>106</v>
      </c>
      <c r="X11" s="664"/>
      <c r="Y11" s="3276"/>
      <c r="Z11" s="50" t="str">
        <f t="shared" si="7"/>
        <v>容积率</v>
      </c>
      <c r="AA11" s="50">
        <f t="shared" si="3"/>
        <v>0.94339622641509435</v>
      </c>
      <c r="AB11" s="50">
        <f t="shared" si="4"/>
        <v>0.94339622641509435</v>
      </c>
      <c r="AC11" s="50">
        <f t="shared" si="5"/>
        <v>0.94339622641509435</v>
      </c>
    </row>
    <row r="12" spans="1:29" s="102"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379"/>
      <c r="Q12" s="528" t="str">
        <f t="shared" si="6"/>
        <v>配建</v>
      </c>
      <c r="R12" s="662" t="s">
        <v>14</v>
      </c>
      <c r="S12" s="663">
        <f t="shared" si="0"/>
        <v>100</v>
      </c>
      <c r="T12" s="662" t="s">
        <v>14</v>
      </c>
      <c r="U12" s="663">
        <f t="shared" si="1"/>
        <v>100</v>
      </c>
      <c r="V12" s="662" t="s">
        <v>14</v>
      </c>
      <c r="W12" s="663">
        <f t="shared" si="2"/>
        <v>100</v>
      </c>
      <c r="X12" s="664"/>
      <c r="Y12" s="3276"/>
      <c r="Z12" s="50" t="str">
        <f t="shared" si="7"/>
        <v>配建</v>
      </c>
      <c r="AA12" s="50">
        <f>D12/F12</f>
        <v>1</v>
      </c>
      <c r="AB12" s="50">
        <f>D12/H12</f>
        <v>1</v>
      </c>
      <c r="AC12" s="50">
        <f>D12/J12</f>
        <v>1</v>
      </c>
    </row>
    <row r="13" spans="1:29" ht="15">
      <c r="A13" s="365"/>
      <c r="B13" s="3171" t="s">
        <v>4332</v>
      </c>
      <c r="C13" s="371"/>
      <c r="D13" s="372">
        <v>100</v>
      </c>
      <c r="E13" s="478"/>
      <c r="F13" s="117">
        <f>SUMIF(83:83,E13,84:84)-SUMIF(83:83,C13,84:84)+100</f>
        <v>100</v>
      </c>
      <c r="G13" s="592"/>
      <c r="H13" s="372">
        <f>SUMIF(83:83,G13,84:84)-SUMIF(83:83,C13,84:84)+100</f>
        <v>100</v>
      </c>
      <c r="I13" s="592"/>
      <c r="J13" s="372">
        <f>SUMIF(83:83,I13,84:84)-SUMIF(83:83,C13,84:84)+100</f>
        <v>100</v>
      </c>
      <c r="K13" s="590"/>
      <c r="L13" s="2490"/>
      <c r="M13" s="2485"/>
      <c r="N13" s="2485"/>
      <c r="O13" s="2540"/>
      <c r="P13" s="3379"/>
      <c r="Q13" s="528" t="str">
        <f t="shared" si="6"/>
        <v>自持限制</v>
      </c>
      <c r="R13" s="662" t="s">
        <v>14</v>
      </c>
      <c r="S13" s="663">
        <f t="shared" si="0"/>
        <v>100</v>
      </c>
      <c r="T13" s="662" t="s">
        <v>14</v>
      </c>
      <c r="U13" s="663">
        <f t="shared" si="1"/>
        <v>100</v>
      </c>
      <c r="V13" s="662" t="s">
        <v>14</v>
      </c>
      <c r="W13" s="663">
        <f t="shared" si="2"/>
        <v>100</v>
      </c>
      <c r="X13" s="664"/>
      <c r="Y13" s="3276"/>
      <c r="Z13" s="50" t="str">
        <f t="shared" si="7"/>
        <v>自持限制</v>
      </c>
      <c r="AA13" s="50">
        <f>D13/F13</f>
        <v>1</v>
      </c>
      <c r="AB13" s="50">
        <f>D13/H13</f>
        <v>1</v>
      </c>
      <c r="AC13" s="50">
        <f>D13/J13</f>
        <v>1</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379"/>
      <c r="Q14" s="528">
        <f t="shared" si="6"/>
        <v>111</v>
      </c>
      <c r="R14" s="662" t="s">
        <v>14</v>
      </c>
      <c r="S14" s="663">
        <f t="shared" si="0"/>
        <v>100</v>
      </c>
      <c r="T14" s="662" t="s">
        <v>14</v>
      </c>
      <c r="U14" s="663">
        <f t="shared" si="1"/>
        <v>100</v>
      </c>
      <c r="V14" s="662" t="s">
        <v>14</v>
      </c>
      <c r="W14" s="663">
        <f t="shared" si="2"/>
        <v>100</v>
      </c>
      <c r="X14" s="664"/>
      <c r="Y14" s="3276"/>
      <c r="Z14" s="50">
        <f t="shared" si="7"/>
        <v>111</v>
      </c>
      <c r="AA14" s="50">
        <f>D14/F14</f>
        <v>1</v>
      </c>
      <c r="AB14" s="50">
        <f>D14/H14</f>
        <v>1</v>
      </c>
      <c r="AC14" s="50">
        <f>D14/J14</f>
        <v>1</v>
      </c>
    </row>
    <row r="15" spans="1:29" ht="99.75" hidden="1">
      <c r="A15" s="377" t="s">
        <v>1686</v>
      </c>
      <c r="B15" s="58" t="s">
        <v>1256</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90"/>
      <c r="M15" s="2485"/>
      <c r="N15" s="2485"/>
      <c r="O15" s="2540"/>
      <c r="P15" s="3380" t="s">
        <v>1687</v>
      </c>
      <c r="Q15" s="1260" t="str">
        <f t="shared" si="6"/>
        <v>居住社区成熟度</v>
      </c>
      <c r="R15" s="665" t="s">
        <v>14</v>
      </c>
      <c r="S15" s="666">
        <f t="shared" si="0"/>
        <v>100</v>
      </c>
      <c r="T15" s="665" t="s">
        <v>14</v>
      </c>
      <c r="U15" s="666">
        <f t="shared" si="1"/>
        <v>100</v>
      </c>
      <c r="V15" s="665" t="s">
        <v>14</v>
      </c>
      <c r="W15" s="666">
        <f t="shared" si="2"/>
        <v>100</v>
      </c>
      <c r="X15" s="1262"/>
      <c r="Y15" s="3380" t="s">
        <v>1687</v>
      </c>
      <c r="Z15" s="1261" t="str">
        <f t="shared" si="7"/>
        <v>居住社区成熟度</v>
      </c>
      <c r="AA15" s="1261">
        <f t="shared" si="3"/>
        <v>1</v>
      </c>
      <c r="AB15" s="1261">
        <f t="shared" si="4"/>
        <v>1</v>
      </c>
      <c r="AC15" s="1261">
        <f t="shared" si="5"/>
        <v>1</v>
      </c>
    </row>
    <row r="16" spans="1:29" ht="15" hidden="1">
      <c r="A16" s="365"/>
      <c r="B16" s="383"/>
      <c r="C16" s="384"/>
      <c r="D16" s="385"/>
      <c r="E16" s="1749"/>
      <c r="F16" s="385"/>
      <c r="G16" s="1749"/>
      <c r="H16" s="387"/>
      <c r="I16" s="1748"/>
      <c r="J16" s="385"/>
      <c r="K16" s="590"/>
      <c r="L16" s="2490"/>
      <c r="M16" s="2485"/>
      <c r="N16" s="2485"/>
      <c r="O16" s="2540"/>
      <c r="P16" s="3381"/>
      <c r="Q16" s="1260"/>
      <c r="R16" s="665"/>
      <c r="S16" s="666"/>
      <c r="T16" s="665"/>
      <c r="U16" s="666"/>
      <c r="V16" s="665"/>
      <c r="W16" s="666"/>
      <c r="X16" s="1262"/>
      <c r="Y16" s="3381"/>
      <c r="Z16" s="1261"/>
      <c r="AA16" s="1261">
        <v>1</v>
      </c>
      <c r="AB16" s="1261">
        <v>1</v>
      </c>
      <c r="AC16" s="1261">
        <v>1</v>
      </c>
    </row>
    <row r="17" spans="1:29" ht="71.25">
      <c r="A17" s="365"/>
      <c r="B17" s="388" t="s">
        <v>1773</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v>3</v>
      </c>
      <c r="L17" s="2490"/>
      <c r="M17" s="2485"/>
      <c r="N17" s="2485"/>
      <c r="O17" s="2540"/>
      <c r="P17" s="3381"/>
      <c r="Q17" s="1260" t="str">
        <f>B17</f>
        <v>商业繁华度</v>
      </c>
      <c r="R17" s="665" t="s">
        <v>14</v>
      </c>
      <c r="S17" s="666">
        <f>F17</f>
        <v>100</v>
      </c>
      <c r="T17" s="665" t="s">
        <v>14</v>
      </c>
      <c r="U17" s="666">
        <f>H17</f>
        <v>100</v>
      </c>
      <c r="V17" s="665" t="s">
        <v>14</v>
      </c>
      <c r="W17" s="666">
        <f>J17</f>
        <v>100</v>
      </c>
      <c r="X17" s="1262"/>
      <c r="Y17" s="3381"/>
      <c r="Z17" s="1261" t="str">
        <f>Q17</f>
        <v>商业繁华度</v>
      </c>
      <c r="AA17" s="1261">
        <f t="shared" si="3"/>
        <v>1</v>
      </c>
      <c r="AB17" s="1261">
        <f t="shared" si="4"/>
        <v>1</v>
      </c>
      <c r="AC17" s="1261">
        <f t="shared" si="5"/>
        <v>1</v>
      </c>
    </row>
    <row r="18" spans="1:29" ht="15">
      <c r="A18" s="365"/>
      <c r="B18" s="393"/>
      <c r="C18" s="1752" t="s">
        <v>4335</v>
      </c>
      <c r="D18" s="387"/>
      <c r="E18" s="1752" t="s">
        <v>4335</v>
      </c>
      <c r="F18" s="387"/>
      <c r="G18" s="1752" t="s">
        <v>4335</v>
      </c>
      <c r="H18" s="385"/>
      <c r="I18" s="1752" t="s">
        <v>4335</v>
      </c>
      <c r="J18" s="385"/>
      <c r="K18" s="590"/>
      <c r="L18" s="2490"/>
      <c r="M18" s="2485"/>
      <c r="N18" s="2485"/>
      <c r="O18" s="2540"/>
      <c r="P18" s="3381"/>
      <c r="Q18" s="1260"/>
      <c r="R18" s="665"/>
      <c r="S18" s="666"/>
      <c r="T18" s="665"/>
      <c r="U18" s="666"/>
      <c r="V18" s="665"/>
      <c r="W18" s="666"/>
      <c r="X18" s="1262"/>
      <c r="Y18" s="3381"/>
      <c r="Z18" s="1261"/>
      <c r="AA18" s="1261">
        <v>1</v>
      </c>
      <c r="AB18" s="1261">
        <v>1</v>
      </c>
      <c r="AC18" s="1261">
        <v>1</v>
      </c>
    </row>
    <row r="19" spans="1:29" ht="71.25" hidden="1">
      <c r="A19" s="365"/>
      <c r="B19" s="388" t="s">
        <v>1807</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90"/>
      <c r="M19" s="2485"/>
      <c r="N19" s="2485"/>
      <c r="O19" s="2540"/>
      <c r="P19" s="3381"/>
      <c r="Q19" s="1260" t="str">
        <f>B19</f>
        <v>办公集聚程度</v>
      </c>
      <c r="R19" s="665" t="s">
        <v>14</v>
      </c>
      <c r="S19" s="666">
        <f>F19</f>
        <v>100</v>
      </c>
      <c r="T19" s="665" t="s">
        <v>14</v>
      </c>
      <c r="U19" s="666">
        <f>H19</f>
        <v>100</v>
      </c>
      <c r="V19" s="665" t="s">
        <v>14</v>
      </c>
      <c r="W19" s="666">
        <f>J19</f>
        <v>100</v>
      </c>
      <c r="X19" s="1262"/>
      <c r="Y19" s="3381"/>
      <c r="Z19" s="1261" t="str">
        <f>Q19</f>
        <v>办公集聚程度</v>
      </c>
      <c r="AA19" s="1261">
        <f t="shared" si="3"/>
        <v>1</v>
      </c>
      <c r="AB19" s="1261">
        <f t="shared" si="4"/>
        <v>1</v>
      </c>
      <c r="AC19" s="1261">
        <f t="shared" si="5"/>
        <v>1</v>
      </c>
    </row>
    <row r="20" spans="1:29" ht="15" hidden="1">
      <c r="A20" s="365"/>
      <c r="B20" s="393"/>
      <c r="C20" s="384"/>
      <c r="D20" s="385"/>
      <c r="E20" s="1749"/>
      <c r="F20" s="385"/>
      <c r="G20" s="1749"/>
      <c r="H20" s="385"/>
      <c r="I20" s="1748"/>
      <c r="J20" s="385"/>
      <c r="K20" s="590"/>
      <c r="L20" s="2490"/>
      <c r="M20" s="2485"/>
      <c r="N20" s="2485"/>
      <c r="O20" s="2540"/>
      <c r="P20" s="3381"/>
      <c r="Q20" s="1260"/>
      <c r="R20" s="665"/>
      <c r="S20" s="666"/>
      <c r="T20" s="665"/>
      <c r="U20" s="666"/>
      <c r="V20" s="665"/>
      <c r="W20" s="666"/>
      <c r="X20" s="1262"/>
      <c r="Y20" s="3381"/>
      <c r="Z20" s="1261"/>
      <c r="AA20" s="1261">
        <v>1</v>
      </c>
      <c r="AB20" s="1261">
        <v>1</v>
      </c>
      <c r="AC20" s="1261">
        <v>1</v>
      </c>
    </row>
    <row r="21" spans="1:29" ht="85.5">
      <c r="A21" s="365"/>
      <c r="B21" s="388" t="s">
        <v>1829</v>
      </c>
      <c r="C21" s="1751"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v>2</v>
      </c>
      <c r="L21" s="2490"/>
      <c r="M21" s="2485"/>
      <c r="N21" s="2485"/>
      <c r="O21" s="2540"/>
      <c r="P21" s="3381"/>
      <c r="Q21" s="1260" t="str">
        <f>B21</f>
        <v>交通便捷度</v>
      </c>
      <c r="R21" s="665" t="s">
        <v>14</v>
      </c>
      <c r="S21" s="666">
        <f>F21</f>
        <v>100</v>
      </c>
      <c r="T21" s="665" t="s">
        <v>14</v>
      </c>
      <c r="U21" s="666">
        <f>H21</f>
        <v>100</v>
      </c>
      <c r="V21" s="665" t="s">
        <v>14</v>
      </c>
      <c r="W21" s="666">
        <f>J21</f>
        <v>100</v>
      </c>
      <c r="X21" s="1262"/>
      <c r="Y21" s="3381"/>
      <c r="Z21" s="1261" t="str">
        <f>Q21</f>
        <v>交通便捷度</v>
      </c>
      <c r="AA21" s="1261">
        <f t="shared" si="3"/>
        <v>1</v>
      </c>
      <c r="AB21" s="1261">
        <f t="shared" si="4"/>
        <v>1</v>
      </c>
      <c r="AC21" s="1261">
        <f t="shared" si="5"/>
        <v>1</v>
      </c>
    </row>
    <row r="22" spans="1:29" ht="15">
      <c r="A22" s="365"/>
      <c r="B22" s="584"/>
      <c r="C22" s="384" t="s">
        <v>4336</v>
      </c>
      <c r="D22" s="387"/>
      <c r="E22" s="384" t="s">
        <v>4336</v>
      </c>
      <c r="F22" s="385"/>
      <c r="G22" s="384" t="s">
        <v>4336</v>
      </c>
      <c r="H22" s="385"/>
      <c r="I22" s="384" t="s">
        <v>4336</v>
      </c>
      <c r="J22" s="385"/>
      <c r="K22" s="590"/>
      <c r="L22" s="2490"/>
      <c r="M22" s="2485"/>
      <c r="N22" s="2485"/>
      <c r="O22" s="2540"/>
      <c r="P22" s="3381"/>
      <c r="Q22" s="1260"/>
      <c r="R22" s="665"/>
      <c r="S22" s="666"/>
      <c r="T22" s="665"/>
      <c r="U22" s="666"/>
      <c r="V22" s="665"/>
      <c r="W22" s="666"/>
      <c r="X22" s="1262"/>
      <c r="Y22" s="3381"/>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1</v>
      </c>
      <c r="L23" s="2490"/>
      <c r="M23" s="2485"/>
      <c r="N23" s="2485"/>
      <c r="O23" s="2540"/>
      <c r="P23" s="3381"/>
      <c r="Q23" s="1260" t="str">
        <f t="shared" ref="Q23:Q37" si="8">B23</f>
        <v>区域土地利用方向</v>
      </c>
      <c r="R23" s="665" t="s">
        <v>14</v>
      </c>
      <c r="S23" s="666">
        <f>F23</f>
        <v>100</v>
      </c>
      <c r="T23" s="665" t="s">
        <v>14</v>
      </c>
      <c r="U23" s="666">
        <f>H23</f>
        <v>100</v>
      </c>
      <c r="V23" s="665" t="s">
        <v>14</v>
      </c>
      <c r="W23" s="666">
        <f>J23</f>
        <v>100</v>
      </c>
      <c r="X23" s="1262"/>
      <c r="Y23" s="3381"/>
      <c r="Z23" s="1261" t="str">
        <f>Q23</f>
        <v>区域土地利用方向</v>
      </c>
      <c r="AA23" s="1261">
        <f t="shared" si="3"/>
        <v>1</v>
      </c>
      <c r="AB23" s="1261">
        <f t="shared" si="4"/>
        <v>1</v>
      </c>
      <c r="AC23" s="1261">
        <f t="shared" si="5"/>
        <v>1</v>
      </c>
    </row>
    <row r="24" spans="1:29" ht="15">
      <c r="A24" s="346"/>
      <c r="B24" s="393"/>
      <c r="C24" s="540" t="s">
        <v>4336</v>
      </c>
      <c r="D24" s="385"/>
      <c r="E24" s="540" t="s">
        <v>4336</v>
      </c>
      <c r="F24" s="385"/>
      <c r="G24" s="540" t="s">
        <v>4336</v>
      </c>
      <c r="H24" s="385"/>
      <c r="I24" s="540" t="s">
        <v>4336</v>
      </c>
      <c r="J24" s="385"/>
      <c r="K24" s="696"/>
      <c r="L24" s="2490"/>
      <c r="M24" s="2485"/>
      <c r="N24" s="2485"/>
      <c r="O24" s="2540"/>
      <c r="P24" s="3381"/>
      <c r="Q24" s="1260"/>
      <c r="R24" s="665"/>
      <c r="S24" s="666"/>
      <c r="T24" s="665"/>
      <c r="U24" s="666"/>
      <c r="V24" s="665"/>
      <c r="W24" s="666"/>
      <c r="X24" s="1262"/>
      <c r="Y24" s="3381"/>
      <c r="Z24" s="1261"/>
      <c r="AA24" s="1261"/>
      <c r="AB24" s="1261"/>
      <c r="AC24" s="1261"/>
    </row>
    <row r="25" spans="1:29" ht="57">
      <c r="A25" s="346"/>
      <c r="B25" s="584" t="s">
        <v>1868</v>
      </c>
      <c r="C25" s="1803"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v>3</v>
      </c>
      <c r="L25" s="2490"/>
      <c r="M25" s="2485"/>
      <c r="N25" s="2485"/>
      <c r="O25" s="2540"/>
      <c r="P25" s="3381"/>
      <c r="Q25" s="1260" t="str">
        <f t="shared" si="8"/>
        <v>自然及人文环境状况</v>
      </c>
      <c r="R25" s="665" t="s">
        <v>14</v>
      </c>
      <c r="S25" s="666">
        <f>F25</f>
        <v>100</v>
      </c>
      <c r="T25" s="665" t="s">
        <v>14</v>
      </c>
      <c r="U25" s="666">
        <f>H25</f>
        <v>100</v>
      </c>
      <c r="V25" s="665" t="s">
        <v>14</v>
      </c>
      <c r="W25" s="666">
        <f>J25</f>
        <v>100</v>
      </c>
      <c r="X25" s="1262"/>
      <c r="Y25" s="3381"/>
      <c r="Z25" s="1261" t="str">
        <f>Q25</f>
        <v>自然及人文环境状况</v>
      </c>
      <c r="AA25" s="1261">
        <f t="shared" si="3"/>
        <v>1</v>
      </c>
      <c r="AB25" s="1261">
        <f t="shared" si="4"/>
        <v>1</v>
      </c>
      <c r="AC25" s="1261">
        <f t="shared" si="5"/>
        <v>1</v>
      </c>
    </row>
    <row r="26" spans="1:29" ht="15">
      <c r="A26" s="346"/>
      <c r="B26" s="393"/>
      <c r="C26" s="384" t="s">
        <v>4336</v>
      </c>
      <c r="D26" s="385"/>
      <c r="E26" s="384" t="s">
        <v>4336</v>
      </c>
      <c r="F26" s="385"/>
      <c r="G26" s="384" t="s">
        <v>4336</v>
      </c>
      <c r="H26" s="385"/>
      <c r="I26" s="384" t="s">
        <v>4336</v>
      </c>
      <c r="J26" s="385"/>
      <c r="K26" s="590"/>
      <c r="L26" s="2490"/>
      <c r="M26" s="2485"/>
      <c r="N26" s="2485"/>
      <c r="O26" s="2540"/>
      <c r="P26" s="3381"/>
      <c r="Q26" s="1260"/>
      <c r="R26" s="665"/>
      <c r="S26" s="666"/>
      <c r="T26" s="665"/>
      <c r="U26" s="666"/>
      <c r="V26" s="665"/>
      <c r="W26" s="666"/>
      <c r="X26" s="1262"/>
      <c r="Y26" s="3381"/>
      <c r="Z26" s="1261"/>
      <c r="AA26" s="1261">
        <v>1</v>
      </c>
      <c r="AB26" s="1261">
        <v>1</v>
      </c>
      <c r="AC26" s="1261">
        <v>1</v>
      </c>
    </row>
    <row r="27" spans="1:29" s="102" customFormat="1" ht="42.75">
      <c r="A27" s="441"/>
      <c r="B27" s="584" t="s">
        <v>1774</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v>2</v>
      </c>
      <c r="L27" s="2486"/>
      <c r="M27" s="2437"/>
      <c r="N27" s="2437"/>
      <c r="O27" s="2538"/>
      <c r="P27" s="3381"/>
      <c r="Q27" s="528" t="str">
        <f t="shared" si="8"/>
        <v>公共配套设施</v>
      </c>
      <c r="R27" s="662" t="s">
        <v>14</v>
      </c>
      <c r="S27" s="663">
        <f>F27</f>
        <v>100</v>
      </c>
      <c r="T27" s="662" t="s">
        <v>14</v>
      </c>
      <c r="U27" s="663">
        <f>H27</f>
        <v>100</v>
      </c>
      <c r="V27" s="662" t="s">
        <v>14</v>
      </c>
      <c r="W27" s="663">
        <f>J27</f>
        <v>100</v>
      </c>
      <c r="X27" s="664"/>
      <c r="Y27" s="3381"/>
      <c r="Z27" s="50" t="str">
        <f>Q27</f>
        <v>公共配套设施</v>
      </c>
      <c r="AA27" s="1261">
        <f>D27/F27</f>
        <v>1</v>
      </c>
      <c r="AB27" s="1261">
        <f>D27/H27</f>
        <v>1</v>
      </c>
      <c r="AC27" s="1261">
        <f>D27/J27</f>
        <v>1</v>
      </c>
    </row>
    <row r="28" spans="1:29" s="102" customFormat="1" ht="15">
      <c r="A28" s="441"/>
      <c r="B28" s="393"/>
      <c r="C28" s="1823" t="s">
        <v>4335</v>
      </c>
      <c r="D28" s="385"/>
      <c r="E28" s="1823" t="s">
        <v>4335</v>
      </c>
      <c r="F28" s="385"/>
      <c r="G28" s="1823" t="s">
        <v>4335</v>
      </c>
      <c r="H28" s="385"/>
      <c r="I28" s="1823" t="s">
        <v>4335</v>
      </c>
      <c r="J28" s="385"/>
      <c r="K28" s="590"/>
      <c r="L28" s="2486"/>
      <c r="M28" s="2437"/>
      <c r="N28" s="2437"/>
      <c r="O28" s="2538"/>
      <c r="P28" s="3381"/>
      <c r="Q28" s="528"/>
      <c r="R28" s="662"/>
      <c r="S28" s="663"/>
      <c r="T28" s="662"/>
      <c r="U28" s="663"/>
      <c r="V28" s="662"/>
      <c r="W28" s="663"/>
      <c r="X28" s="664"/>
      <c r="Y28" s="3381"/>
      <c r="Z28" s="50"/>
      <c r="AA28" s="1261">
        <v>1</v>
      </c>
      <c r="AB28" s="1261">
        <v>1</v>
      </c>
      <c r="AC28" s="1261">
        <v>1</v>
      </c>
    </row>
    <row r="29" spans="1:29" s="102" customFormat="1" ht="28.5">
      <c r="A29" s="441"/>
      <c r="B29" s="584" t="s">
        <v>1775</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6"/>
      <c r="M29" s="2437"/>
      <c r="N29" s="2437"/>
      <c r="O29" s="2538"/>
      <c r="P29" s="3381"/>
      <c r="Q29" s="528" t="str">
        <f t="shared" ref="Q29" si="9">B29</f>
        <v>基础设施水平</v>
      </c>
      <c r="R29" s="662" t="s">
        <v>14</v>
      </c>
      <c r="S29" s="663">
        <f>F29</f>
        <v>100</v>
      </c>
      <c r="T29" s="662" t="s">
        <v>14</v>
      </c>
      <c r="U29" s="663">
        <f>H29</f>
        <v>100</v>
      </c>
      <c r="V29" s="662" t="s">
        <v>14</v>
      </c>
      <c r="W29" s="663">
        <f>J29</f>
        <v>100</v>
      </c>
      <c r="X29" s="664"/>
      <c r="Y29" s="3381"/>
      <c r="Z29" s="50" t="str">
        <f>Q29</f>
        <v>基础设施水平</v>
      </c>
      <c r="AA29" s="1261">
        <f>D29/F29</f>
        <v>1</v>
      </c>
      <c r="AB29" s="1261">
        <f>D29/H29</f>
        <v>1</v>
      </c>
      <c r="AC29" s="1261">
        <f>D29/J29</f>
        <v>1</v>
      </c>
    </row>
    <row r="30" spans="1:29" s="102" customFormat="1" ht="15">
      <c r="A30" s="441"/>
      <c r="B30" s="393"/>
      <c r="C30" s="1823" t="s">
        <v>4337</v>
      </c>
      <c r="D30" s="385"/>
      <c r="E30" s="1823" t="s">
        <v>4337</v>
      </c>
      <c r="F30" s="385"/>
      <c r="G30" s="1823" t="s">
        <v>4337</v>
      </c>
      <c r="H30" s="385"/>
      <c r="I30" s="1823" t="s">
        <v>4337</v>
      </c>
      <c r="J30" s="385"/>
      <c r="K30" s="590"/>
      <c r="L30" s="2486"/>
      <c r="M30" s="2437"/>
      <c r="N30" s="2437"/>
      <c r="O30" s="2538"/>
      <c r="P30" s="3381"/>
      <c r="Q30" s="528"/>
      <c r="R30" s="662"/>
      <c r="S30" s="663"/>
      <c r="T30" s="662"/>
      <c r="U30" s="663"/>
      <c r="V30" s="662"/>
      <c r="W30" s="663"/>
      <c r="X30" s="664"/>
      <c r="Y30" s="3381"/>
      <c r="Z30" s="50"/>
      <c r="AA30" s="1261">
        <v>1</v>
      </c>
      <c r="AB30" s="1261">
        <v>1</v>
      </c>
      <c r="AC30" s="1261">
        <v>1</v>
      </c>
    </row>
    <row r="31" spans="1:29" ht="15" hidden="1">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38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381"/>
      <c r="Z31" s="1261" t="str">
        <f t="shared" ref="Z31:Z45" si="13">Q31</f>
        <v>临街状况</v>
      </c>
      <c r="AA31" s="1261">
        <f t="shared" si="3"/>
        <v>1</v>
      </c>
      <c r="AB31" s="1261">
        <f t="shared" si="4"/>
        <v>1</v>
      </c>
      <c r="AC31" s="1261">
        <f t="shared" si="5"/>
        <v>1</v>
      </c>
    </row>
    <row r="32" spans="1:29" ht="27">
      <c r="A32" s="365"/>
      <c r="B32" s="584" t="s">
        <v>1811</v>
      </c>
      <c r="C32" s="391" t="s">
        <v>4333</v>
      </c>
      <c r="D32" s="387">
        <v>100</v>
      </c>
      <c r="E32" s="389"/>
      <c r="F32" s="387">
        <f>SUMIF(105:105,E33,106:106)-SUMIF(105:105,C33,106:106)+100</f>
        <v>98</v>
      </c>
      <c r="G32" s="389"/>
      <c r="H32" s="387">
        <f>SUMIF(105:105,G33,106:106)-SUMIF(105:105,C33,106:106)+100</f>
        <v>98</v>
      </c>
      <c r="I32" s="391"/>
      <c r="J32" s="387">
        <f>SUMIF(105:105,I33,106:106)-SUMIF(105:105,C33,106:106)+100</f>
        <v>98</v>
      </c>
      <c r="K32" s="591">
        <v>2</v>
      </c>
      <c r="L32" s="2490"/>
      <c r="M32" s="2485"/>
      <c r="N32" s="2485"/>
      <c r="O32" s="2540"/>
      <c r="P32" s="3381"/>
      <c r="Q32" s="1260" t="str">
        <f t="shared" si="8"/>
        <v>毗邻道路的类型与等级</v>
      </c>
      <c r="R32" s="665" t="s">
        <v>14</v>
      </c>
      <c r="S32" s="666">
        <f t="shared" si="10"/>
        <v>98</v>
      </c>
      <c r="T32" s="665" t="s">
        <v>14</v>
      </c>
      <c r="U32" s="666">
        <f t="shared" si="11"/>
        <v>98</v>
      </c>
      <c r="V32" s="665" t="s">
        <v>14</v>
      </c>
      <c r="W32" s="666">
        <f t="shared" si="12"/>
        <v>98</v>
      </c>
      <c r="X32" s="1262"/>
      <c r="Y32" s="3381"/>
      <c r="Z32" s="1261" t="str">
        <f t="shared" si="13"/>
        <v>毗邻道路的类型与等级</v>
      </c>
      <c r="AA32" s="1261">
        <f t="shared" si="3"/>
        <v>1.0204081632653061</v>
      </c>
      <c r="AB32" s="1261">
        <f t="shared" si="4"/>
        <v>1.0204081632653061</v>
      </c>
      <c r="AC32" s="1261">
        <f t="shared" si="5"/>
        <v>1.0204081632653061</v>
      </c>
    </row>
    <row r="33" spans="1:29" ht="15">
      <c r="A33" s="365"/>
      <c r="B33" s="393"/>
      <c r="C33" s="384" t="s">
        <v>4334</v>
      </c>
      <c r="D33" s="385"/>
      <c r="E33" s="1755" t="s">
        <v>4351</v>
      </c>
      <c r="F33" s="385"/>
      <c r="G33" s="1755" t="s">
        <v>4351</v>
      </c>
      <c r="H33" s="385"/>
      <c r="I33" s="384" t="s">
        <v>4351</v>
      </c>
      <c r="J33" s="385"/>
      <c r="K33" s="537"/>
      <c r="L33" s="2490"/>
      <c r="M33" s="2485"/>
      <c r="N33" s="2485"/>
      <c r="O33" s="2540"/>
      <c r="P33" s="3381"/>
      <c r="Q33" s="1260"/>
      <c r="R33" s="665"/>
      <c r="S33" s="666"/>
      <c r="T33" s="665"/>
      <c r="U33" s="666"/>
      <c r="V33" s="665"/>
      <c r="W33" s="666"/>
      <c r="X33" s="1262"/>
      <c r="Y33" s="3381"/>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90"/>
      <c r="M34" s="2485"/>
      <c r="N34" s="2485"/>
      <c r="O34" s="2540"/>
      <c r="P34" s="3381"/>
      <c r="Q34" s="1260" t="str">
        <f t="shared" si="8"/>
        <v>土地级别</v>
      </c>
      <c r="R34" s="665" t="s">
        <v>14</v>
      </c>
      <c r="S34" s="666">
        <f t="shared" si="10"/>
        <v>100</v>
      </c>
      <c r="T34" s="665" t="s">
        <v>14</v>
      </c>
      <c r="U34" s="666">
        <f t="shared" si="11"/>
        <v>100</v>
      </c>
      <c r="V34" s="665" t="s">
        <v>14</v>
      </c>
      <c r="W34" s="666">
        <f t="shared" si="12"/>
        <v>100</v>
      </c>
      <c r="X34" s="1262"/>
      <c r="Y34" s="3381"/>
      <c r="Z34" s="1261" t="str">
        <f t="shared" si="13"/>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381"/>
      <c r="Q35" s="1260">
        <f t="shared" si="8"/>
        <v>111</v>
      </c>
      <c r="R35" s="665" t="s">
        <v>14</v>
      </c>
      <c r="S35" s="666">
        <f t="shared" si="10"/>
        <v>100</v>
      </c>
      <c r="T35" s="665" t="s">
        <v>14</v>
      </c>
      <c r="U35" s="666">
        <f t="shared" si="11"/>
        <v>100</v>
      </c>
      <c r="V35" s="665" t="s">
        <v>14</v>
      </c>
      <c r="W35" s="666">
        <f t="shared" si="12"/>
        <v>100</v>
      </c>
      <c r="X35" s="1262"/>
      <c r="Y35" s="3381"/>
      <c r="Z35" s="1261">
        <f t="shared" si="13"/>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382" t="s">
        <v>1692</v>
      </c>
      <c r="Q36" s="1260">
        <f t="shared" si="8"/>
        <v>111</v>
      </c>
      <c r="R36" s="665" t="s">
        <v>14</v>
      </c>
      <c r="S36" s="666">
        <f t="shared" si="10"/>
        <v>100</v>
      </c>
      <c r="T36" s="665" t="s">
        <v>14</v>
      </c>
      <c r="U36" s="666">
        <f t="shared" si="11"/>
        <v>100</v>
      </c>
      <c r="V36" s="665" t="s">
        <v>14</v>
      </c>
      <c r="W36" s="666">
        <f t="shared" si="12"/>
        <v>100</v>
      </c>
      <c r="X36" s="1262"/>
      <c r="Y36" s="3383" t="s">
        <v>1692</v>
      </c>
      <c r="Z36" s="1261">
        <f t="shared" si="13"/>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383"/>
      <c r="Q37" s="1260">
        <f t="shared" si="8"/>
        <v>111</v>
      </c>
      <c r="R37" s="667" t="s">
        <v>14</v>
      </c>
      <c r="S37" s="668">
        <f t="shared" si="10"/>
        <v>100</v>
      </c>
      <c r="T37" s="667" t="s">
        <v>14</v>
      </c>
      <c r="U37" s="668">
        <f t="shared" si="11"/>
        <v>100</v>
      </c>
      <c r="V37" s="667" t="s">
        <v>14</v>
      </c>
      <c r="W37" s="668">
        <f t="shared" si="12"/>
        <v>100</v>
      </c>
      <c r="X37" s="669"/>
      <c r="Y37" s="3383"/>
      <c r="Z37" s="670">
        <f t="shared" si="13"/>
        <v>111</v>
      </c>
      <c r="AA37" s="1261">
        <f t="shared" si="3"/>
        <v>1</v>
      </c>
      <c r="AB37" s="1261">
        <f t="shared" si="4"/>
        <v>1</v>
      </c>
      <c r="AC37" s="1261">
        <f t="shared" si="5"/>
        <v>1</v>
      </c>
    </row>
    <row r="38" spans="1:29" ht="15">
      <c r="A38" s="407" t="s">
        <v>1690</v>
      </c>
      <c r="B38" s="393" t="s">
        <v>1870</v>
      </c>
      <c r="C38" s="597">
        <v>24641.279999999999</v>
      </c>
      <c r="D38" s="403">
        <v>100</v>
      </c>
      <c r="E38" s="597">
        <v>24641.279999999999</v>
      </c>
      <c r="F38" s="403">
        <f>LOOKUP(E38,116:116,117:117)-LOOKUP(C38,116:116,117:117)+100</f>
        <v>100</v>
      </c>
      <c r="G38" s="597">
        <v>24641.279999999999</v>
      </c>
      <c r="H38" s="403">
        <f>LOOKUP(G38,116:116,117:117)-LOOKUP(C38,116:116,117:117)+100</f>
        <v>100</v>
      </c>
      <c r="I38" s="597">
        <v>24641.279999999999</v>
      </c>
      <c r="J38" s="403">
        <f>LOOKUP(I38,116:116,117:117)-LOOKUP(C38,116:116,117:117)+100</f>
        <v>100</v>
      </c>
      <c r="K38" s="537"/>
      <c r="L38" s="2490"/>
      <c r="M38" s="2485"/>
      <c r="N38" s="2485"/>
      <c r="O38" s="2540"/>
      <c r="P38" s="3383"/>
      <c r="Q38" s="1260" t="str">
        <f>B38</f>
        <v>宗地面积</v>
      </c>
      <c r="R38" s="665" t="s">
        <v>14</v>
      </c>
      <c r="S38" s="666">
        <f t="shared" si="10"/>
        <v>100</v>
      </c>
      <c r="T38" s="665" t="s">
        <v>14</v>
      </c>
      <c r="U38" s="666">
        <f t="shared" si="11"/>
        <v>100</v>
      </c>
      <c r="V38" s="665" t="s">
        <v>14</v>
      </c>
      <c r="W38" s="666">
        <f t="shared" si="12"/>
        <v>100</v>
      </c>
      <c r="X38" s="1262"/>
      <c r="Y38" s="3383"/>
      <c r="Z38" s="1261" t="str">
        <f t="shared" si="13"/>
        <v>宗地面积</v>
      </c>
      <c r="AA38" s="1261">
        <f t="shared" si="3"/>
        <v>1</v>
      </c>
      <c r="AB38" s="1261">
        <f t="shared" si="4"/>
        <v>1</v>
      </c>
      <c r="AC38" s="1261">
        <f t="shared" si="5"/>
        <v>1</v>
      </c>
    </row>
    <row r="39" spans="1:29" ht="15">
      <c r="A39" s="407"/>
      <c r="B39" s="362" t="s">
        <v>1871</v>
      </c>
      <c r="C39" s="1757" t="s">
        <v>4349</v>
      </c>
      <c r="D39" s="372">
        <v>100</v>
      </c>
      <c r="E39" s="1757" t="s">
        <v>4349</v>
      </c>
      <c r="F39" s="372">
        <f>SUMIF(118:118,E39,119:119)-SUMIF(118:118,C39,119:119)+100</f>
        <v>100</v>
      </c>
      <c r="G39" s="1757" t="s">
        <v>4349</v>
      </c>
      <c r="H39" s="372">
        <f>SUMIF(118:118,G39,119:119)-SUMIF(118:118,C39,119:119)+100</f>
        <v>100</v>
      </c>
      <c r="I39" s="1757" t="s">
        <v>4349</v>
      </c>
      <c r="J39" s="372">
        <f>SUMIF(118:118,I39,119:119)-SUMIF(118:118,C39,119:119)+100</f>
        <v>100</v>
      </c>
      <c r="K39" s="536">
        <v>1</v>
      </c>
      <c r="L39" s="2490"/>
      <c r="M39" s="2485"/>
      <c r="N39" s="2485"/>
      <c r="O39" s="2540"/>
      <c r="P39" s="3383"/>
      <c r="Q39" s="1260" t="str">
        <f t="shared" ref="Q39:Q45" si="14">B39</f>
        <v>宗地形状</v>
      </c>
      <c r="R39" s="665" t="s">
        <v>14</v>
      </c>
      <c r="S39" s="666">
        <f t="shared" si="10"/>
        <v>100</v>
      </c>
      <c r="T39" s="665" t="s">
        <v>14</v>
      </c>
      <c r="U39" s="666">
        <f t="shared" si="11"/>
        <v>100</v>
      </c>
      <c r="V39" s="665" t="s">
        <v>14</v>
      </c>
      <c r="W39" s="666">
        <f t="shared" si="12"/>
        <v>100</v>
      </c>
      <c r="X39" s="1262"/>
      <c r="Y39" s="3383"/>
      <c r="Z39" s="1261" t="str">
        <f t="shared" si="13"/>
        <v>宗地形状</v>
      </c>
      <c r="AA39" s="1261">
        <f t="shared" si="3"/>
        <v>1</v>
      </c>
      <c r="AB39" s="1261">
        <f t="shared" si="4"/>
        <v>1</v>
      </c>
      <c r="AC39" s="1261">
        <f t="shared" si="5"/>
        <v>1</v>
      </c>
    </row>
    <row r="40" spans="1:29" ht="15" hidden="1">
      <c r="A40" s="407"/>
      <c r="B40" s="362" t="s">
        <v>1872</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90"/>
      <c r="M40" s="2485"/>
      <c r="N40" s="2485"/>
      <c r="O40" s="2540"/>
      <c r="P40" s="3383"/>
      <c r="Q40" s="1260" t="str">
        <f t="shared" si="14"/>
        <v>临街宽度及深度</v>
      </c>
      <c r="R40" s="665" t="s">
        <v>14</v>
      </c>
      <c r="S40" s="666">
        <f t="shared" si="10"/>
        <v>100</v>
      </c>
      <c r="T40" s="665" t="s">
        <v>14</v>
      </c>
      <c r="U40" s="666">
        <f t="shared" si="11"/>
        <v>100</v>
      </c>
      <c r="V40" s="665" t="s">
        <v>14</v>
      </c>
      <c r="W40" s="666">
        <f t="shared" si="12"/>
        <v>100</v>
      </c>
      <c r="X40" s="1262"/>
      <c r="Y40" s="3383"/>
      <c r="Z40" s="1261" t="str">
        <f t="shared" si="13"/>
        <v>临街宽度及深度</v>
      </c>
      <c r="AA40" s="1261">
        <f t="shared" si="3"/>
        <v>1</v>
      </c>
      <c r="AB40" s="1261">
        <f t="shared" si="4"/>
        <v>1</v>
      </c>
      <c r="AC40" s="1261">
        <f t="shared" si="5"/>
        <v>1</v>
      </c>
    </row>
    <row r="41" spans="1:29" s="102" customFormat="1" ht="15">
      <c r="A41" s="408"/>
      <c r="B41" s="362" t="s">
        <v>1873</v>
      </c>
      <c r="C41" s="1825" t="s">
        <v>4350</v>
      </c>
      <c r="D41" s="117">
        <v>100</v>
      </c>
      <c r="E41" s="1825" t="s">
        <v>4350</v>
      </c>
      <c r="F41" s="372">
        <f>SUMIF(122:122,E41,123:123)-SUMIF(122:122,C41,123:123)+100</f>
        <v>100</v>
      </c>
      <c r="G41" s="1825" t="s">
        <v>4350</v>
      </c>
      <c r="H41" s="372">
        <f>SUMIF(122:122,G41,123:123)-SUMIF(122:122,C41,123:123)+100</f>
        <v>100</v>
      </c>
      <c r="I41" s="1825" t="s">
        <v>4350</v>
      </c>
      <c r="J41" s="372">
        <f>SUMIF(122:122,I41,123:123)-SUMIF(122:122,C41,123:123)+100</f>
        <v>100</v>
      </c>
      <c r="K41" s="536">
        <v>1</v>
      </c>
      <c r="L41" s="2486"/>
      <c r="M41" s="2437"/>
      <c r="N41" s="2437"/>
      <c r="O41" s="2538"/>
      <c r="P41" s="3383"/>
      <c r="Q41" s="1260" t="str">
        <f t="shared" si="14"/>
        <v>宗地开发程度</v>
      </c>
      <c r="R41" s="662" t="s">
        <v>14</v>
      </c>
      <c r="S41" s="663">
        <f t="shared" si="10"/>
        <v>100</v>
      </c>
      <c r="T41" s="662" t="s">
        <v>14</v>
      </c>
      <c r="U41" s="663">
        <f t="shared" si="11"/>
        <v>100</v>
      </c>
      <c r="V41" s="662" t="s">
        <v>14</v>
      </c>
      <c r="W41" s="663">
        <f t="shared" si="12"/>
        <v>100</v>
      </c>
      <c r="X41" s="664"/>
      <c r="Y41" s="3383"/>
      <c r="Z41" s="50" t="str">
        <f t="shared" si="13"/>
        <v>宗地开发程度</v>
      </c>
      <c r="AA41" s="50">
        <f t="shared" si="3"/>
        <v>1</v>
      </c>
      <c r="AB41" s="50">
        <f t="shared" si="4"/>
        <v>1</v>
      </c>
      <c r="AC41" s="50">
        <f t="shared" si="5"/>
        <v>1</v>
      </c>
    </row>
    <row r="42" spans="1:29" ht="15">
      <c r="A42" s="407"/>
      <c r="B42" s="362" t="s">
        <v>1874</v>
      </c>
      <c r="C42" s="1757" t="s">
        <v>4336</v>
      </c>
      <c r="D42" s="372">
        <v>100</v>
      </c>
      <c r="E42" s="1757" t="s">
        <v>4336</v>
      </c>
      <c r="F42" s="372">
        <f>SUMIF(124:124,E42,125:125)-SUMIF(124:124,C42,125:125)+100</f>
        <v>100</v>
      </c>
      <c r="G42" s="1757" t="s">
        <v>4336</v>
      </c>
      <c r="H42" s="372">
        <f>SUMIF(124:124,G42,125:125)-SUMIF(124:124,C42,125:125)+100</f>
        <v>100</v>
      </c>
      <c r="I42" s="1757" t="s">
        <v>4336</v>
      </c>
      <c r="J42" s="372">
        <f>SUMIF(124:124,I42,125:125)-SUMIF(124:124,C42,125:125)+100</f>
        <v>100</v>
      </c>
      <c r="K42" s="536">
        <v>1</v>
      </c>
      <c r="L42" s="2490"/>
      <c r="M42" s="2485"/>
      <c r="N42" s="2485"/>
      <c r="O42" s="2540"/>
      <c r="P42" s="3383" t="s">
        <v>1692</v>
      </c>
      <c r="Q42" s="1260" t="str">
        <f t="shared" si="14"/>
        <v>工程地质条件</v>
      </c>
      <c r="R42" s="665" t="s">
        <v>14</v>
      </c>
      <c r="S42" s="666">
        <f t="shared" si="10"/>
        <v>100</v>
      </c>
      <c r="T42" s="665" t="s">
        <v>14</v>
      </c>
      <c r="U42" s="666">
        <f t="shared" si="11"/>
        <v>100</v>
      </c>
      <c r="V42" s="665" t="s">
        <v>14</v>
      </c>
      <c r="W42" s="666">
        <f t="shared" si="12"/>
        <v>100</v>
      </c>
      <c r="X42" s="1262"/>
      <c r="Y42" s="3383" t="s">
        <v>1692</v>
      </c>
      <c r="Z42" s="1261" t="str">
        <f t="shared" si="13"/>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383"/>
      <c r="Q43" s="1260">
        <f t="shared" si="14"/>
        <v>111</v>
      </c>
      <c r="R43" s="665" t="s">
        <v>14</v>
      </c>
      <c r="S43" s="666">
        <f t="shared" si="10"/>
        <v>100</v>
      </c>
      <c r="T43" s="665" t="s">
        <v>14</v>
      </c>
      <c r="U43" s="666">
        <f t="shared" si="11"/>
        <v>100</v>
      </c>
      <c r="V43" s="665" t="s">
        <v>14</v>
      </c>
      <c r="W43" s="666">
        <f t="shared" si="12"/>
        <v>100</v>
      </c>
      <c r="X43" s="1262"/>
      <c r="Y43" s="3383"/>
      <c r="Z43" s="1261">
        <f t="shared" si="13"/>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383"/>
      <c r="Q44" s="1260">
        <f t="shared" si="14"/>
        <v>111</v>
      </c>
      <c r="R44" s="665" t="s">
        <v>14</v>
      </c>
      <c r="S44" s="666">
        <f t="shared" si="10"/>
        <v>100</v>
      </c>
      <c r="T44" s="665" t="s">
        <v>14</v>
      </c>
      <c r="U44" s="666">
        <f t="shared" si="11"/>
        <v>100</v>
      </c>
      <c r="V44" s="665" t="s">
        <v>14</v>
      </c>
      <c r="W44" s="666">
        <f t="shared" si="12"/>
        <v>100</v>
      </c>
      <c r="X44" s="1262"/>
      <c r="Y44" s="3383"/>
      <c r="Z44" s="1261">
        <f t="shared" si="13"/>
        <v>111</v>
      </c>
      <c r="AA44" s="1261">
        <f t="shared" si="3"/>
        <v>1</v>
      </c>
      <c r="AB44" s="1261">
        <f t="shared" si="4"/>
        <v>1</v>
      </c>
      <c r="AC44" s="1261">
        <f t="shared" si="5"/>
        <v>1</v>
      </c>
    </row>
    <row r="45" spans="1:29" s="406" customFormat="1" ht="15.75"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383"/>
      <c r="Q45" s="1260">
        <f t="shared" si="14"/>
        <v>111</v>
      </c>
      <c r="R45" s="667" t="s">
        <v>14</v>
      </c>
      <c r="S45" s="668">
        <f t="shared" si="10"/>
        <v>100</v>
      </c>
      <c r="T45" s="667" t="s">
        <v>14</v>
      </c>
      <c r="U45" s="668">
        <f t="shared" si="11"/>
        <v>100</v>
      </c>
      <c r="V45" s="667" t="s">
        <v>14</v>
      </c>
      <c r="W45" s="668">
        <f t="shared" si="12"/>
        <v>100</v>
      </c>
      <c r="X45" s="669"/>
      <c r="Y45" s="3383"/>
      <c r="Z45" s="670">
        <f t="shared" si="13"/>
        <v>111</v>
      </c>
      <c r="AA45" s="1261">
        <f t="shared" si="3"/>
        <v>1</v>
      </c>
      <c r="AB45" s="1261">
        <f t="shared" si="4"/>
        <v>1</v>
      </c>
      <c r="AC45" s="1261">
        <f t="shared" si="5"/>
        <v>1</v>
      </c>
    </row>
    <row r="46" spans="1:29" ht="15">
      <c r="A46" s="414" t="s">
        <v>1840</v>
      </c>
      <c r="B46" s="1827" t="s">
        <v>1875</v>
      </c>
      <c r="C46" s="600" t="s">
        <v>0</v>
      </c>
      <c r="D46" s="416"/>
      <c r="E46" s="417">
        <v>16000</v>
      </c>
      <c r="F46" s="418"/>
      <c r="G46" s="419">
        <v>15500</v>
      </c>
      <c r="H46" s="420"/>
      <c r="I46" s="417">
        <v>16000</v>
      </c>
      <c r="J46" s="420"/>
      <c r="K46" s="672"/>
      <c r="L46" s="2492"/>
      <c r="M46" s="2485"/>
      <c r="N46" s="2485"/>
      <c r="O46" s="2485"/>
      <c r="P46" s="3379" t="str">
        <f>A46</f>
        <v>成交单价</v>
      </c>
      <c r="Q46" s="3379"/>
      <c r="R46" s="3384">
        <f>E46</f>
        <v>16000</v>
      </c>
      <c r="S46" s="3384"/>
      <c r="T46" s="3384">
        <f>G46</f>
        <v>15500</v>
      </c>
      <c r="U46" s="3384"/>
      <c r="V46" s="3384">
        <f>I46</f>
        <v>16000</v>
      </c>
      <c r="W46" s="3384"/>
      <c r="X46" s="383"/>
      <c r="Y46" s="671"/>
      <c r="Z46" s="383"/>
      <c r="AA46" s="383"/>
      <c r="AB46" s="383"/>
      <c r="AC46" s="383"/>
    </row>
    <row r="47" spans="1:29" ht="15.75" thickBot="1">
      <c r="A47" s="421" t="s">
        <v>1789</v>
      </c>
      <c r="B47" s="601"/>
      <c r="C47" s="424">
        <f>R48</f>
        <v>14113</v>
      </c>
      <c r="D47" s="2138" t="s">
        <v>2133</v>
      </c>
      <c r="E47" s="424">
        <f>R47</f>
        <v>14261</v>
      </c>
      <c r="F47" s="2139"/>
      <c r="G47" s="423">
        <f>T47</f>
        <v>13816</v>
      </c>
      <c r="H47" s="2139"/>
      <c r="I47" s="424">
        <f>V47</f>
        <v>14261</v>
      </c>
      <c r="J47" s="2139"/>
      <c r="K47" s="2141">
        <f>F47+H47+J47</f>
        <v>0</v>
      </c>
      <c r="L47" s="2492"/>
      <c r="M47" s="2485"/>
      <c r="N47" s="2485"/>
      <c r="O47" s="2485"/>
      <c r="P47" s="3379" t="str">
        <f>A47</f>
        <v>比较价值（元/平方米）</v>
      </c>
      <c r="Q47" s="3379"/>
      <c r="R47" s="3372">
        <f>ROUND(PRODUCT(R46,AA7:AA45),0)</f>
        <v>14261</v>
      </c>
      <c r="S47" s="3372"/>
      <c r="T47" s="3372">
        <f>ROUND(PRODUCT(T46,AB7:AB45),0)</f>
        <v>13816</v>
      </c>
      <c r="U47" s="3372"/>
      <c r="V47" s="3372">
        <f>ROUND(PRODUCT(V46,AC7:AC45),0)</f>
        <v>14261</v>
      </c>
      <c r="W47" s="3372"/>
      <c r="X47" s="383"/>
      <c r="Y47" s="383"/>
      <c r="Z47" s="383"/>
      <c r="AA47" s="383"/>
      <c r="AB47" s="383"/>
      <c r="AC47" s="383"/>
    </row>
    <row r="48" spans="1:29" ht="15.75" thickBot="1">
      <c r="A48" s="425" t="s">
        <v>1876</v>
      </c>
      <c r="B48" s="426"/>
      <c r="C48" s="427">
        <f>R48</f>
        <v>14113</v>
      </c>
      <c r="D48" s="427"/>
      <c r="E48" s="427"/>
      <c r="F48" s="427"/>
      <c r="G48" s="427"/>
      <c r="H48" s="427"/>
      <c r="I48" s="427"/>
      <c r="J48" s="427"/>
      <c r="K48" s="673"/>
      <c r="L48" s="2492"/>
      <c r="M48" s="2485"/>
      <c r="N48" s="2485"/>
      <c r="O48" s="2485"/>
      <c r="P48" s="3373" t="str">
        <f>A48</f>
        <v>估价对象XX用房的比较价值（楼面单价，元/平方米）</v>
      </c>
      <c r="Q48" s="3374"/>
      <c r="R48" s="3375">
        <f>ROUND(IF(D47="简单平均",AVERAGE(R47:W47),R47*F47+T47*H47+V47*J47),0)</f>
        <v>14113</v>
      </c>
      <c r="S48" s="3375"/>
      <c r="T48" s="3375"/>
      <c r="U48" s="3375"/>
      <c r="V48" s="3375"/>
      <c r="W48" s="3375"/>
      <c r="X48" s="383"/>
      <c r="Y48" s="383"/>
      <c r="Z48" s="383"/>
      <c r="AA48" s="383"/>
      <c r="AB48" s="383"/>
      <c r="AC48" s="383"/>
    </row>
    <row r="49" spans="1:29">
      <c r="A49" s="2485"/>
      <c r="B49" s="2485"/>
      <c r="C49" s="2485">
        <v>14193</v>
      </c>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1791</v>
      </c>
      <c r="D51" s="431"/>
      <c r="E51" s="432">
        <f>IF(E46&lt;E47,E47/E46-1,E46/E47-1)</f>
        <v>0.12194095785709269</v>
      </c>
      <c r="F51" s="433" t="str">
        <f>IF(OR(E51&gt;=0.3,E51&lt;=-0.3),"超过30%","")</f>
        <v/>
      </c>
      <c r="G51" s="432">
        <f>IF(G46&lt;G47,G47/G46-1,G46/G47-1)</f>
        <v>0.12188766647365368</v>
      </c>
      <c r="H51" s="433" t="str">
        <f>IF(OR(G51&gt;=0.3,G51&lt;=-0.3),"超过30%","")</f>
        <v/>
      </c>
      <c r="I51" s="432">
        <f>IF(I46&lt;I47,I47/I46-1,I46/I47-1)</f>
        <v>0.12194095785709269</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1792</v>
      </c>
      <c r="D52" s="434"/>
      <c r="E52" s="432">
        <f>IF(E47&lt;G47,G47/E47-1,E47/G47-1)</f>
        <v>3.2209033005211385E-2</v>
      </c>
      <c r="F52" s="433" t="str">
        <f>IF(OR(E52&gt;=0.2,E52&lt;=-0.2),"超过20%","")</f>
        <v/>
      </c>
      <c r="G52" s="432">
        <f>IF(G47&lt;I47,I47/G47-1,G47/I47-1)</f>
        <v>3.2209033005211385E-2</v>
      </c>
      <c r="H52" s="433" t="str">
        <f>IF(OR(G52&gt;=0.2,G52&lt;=-0.2),"超过20%","")</f>
        <v/>
      </c>
      <c r="I52" s="432">
        <f>IF(I47&lt;E47,E47/I47-1,I47/E47-1)</f>
        <v>0</v>
      </c>
      <c r="J52" s="433"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1793</v>
      </c>
      <c r="D53" s="434"/>
      <c r="E53" s="432">
        <f>IF(E46&lt;G46,G46/E46-1,E46/G46-1)</f>
        <v>3.2258064516129004E-2</v>
      </c>
      <c r="F53" s="433" t="str">
        <f>IF(OR(E53&gt;=0.3,E53&lt;=-0.3),"超过30%","")</f>
        <v/>
      </c>
      <c r="G53" s="432">
        <f>IF(G46&lt;I46,I46/G46-1,G46/I46-1)</f>
        <v>3.2258064516129004E-2</v>
      </c>
      <c r="H53" s="433" t="str">
        <f>IF(OR(G53&gt;=0.3,G53&lt;=-0.3),"超过30%","")</f>
        <v/>
      </c>
      <c r="I53" s="432">
        <f>IF(I46&lt;E46,E46/I46-1,I46/E46-1)</f>
        <v>0</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1877</v>
      </c>
      <c r="B55" s="603" t="s">
        <v>1878</v>
      </c>
      <c r="C55" s="1828" t="s">
        <v>1879</v>
      </c>
      <c r="D55" s="1829" t="s">
        <v>1880</v>
      </c>
      <c r="E55" s="604" t="s">
        <v>1881</v>
      </c>
      <c r="F55" s="835" t="s">
        <v>1882</v>
      </c>
      <c r="G55" s="3376" t="s">
        <v>1883</v>
      </c>
      <c r="H55" s="3377"/>
      <c r="I55" s="125" t="s">
        <v>1884</v>
      </c>
      <c r="J55" s="1830">
        <f>项目基本情况!F35</f>
        <v>0</v>
      </c>
      <c r="K55" s="1831" t="s">
        <v>1885</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1886</v>
      </c>
      <c r="B56" s="607">
        <f>C48</f>
        <v>14113</v>
      </c>
      <c r="C56" s="608">
        <v>1</v>
      </c>
      <c r="D56" s="888">
        <v>1</v>
      </c>
      <c r="E56" s="608">
        <f>'数据-汇总表'!E8+'数据-汇总表'!E9</f>
        <v>44140.36</v>
      </c>
      <c r="F56" s="831">
        <f t="shared" ref="F56:F64" si="15">ROUND(B56*E56/10000,0)</f>
        <v>62295</v>
      </c>
      <c r="G56" s="3378"/>
      <c r="H56" s="3379"/>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1887</v>
      </c>
      <c r="B57" s="208">
        <f>ROUND($C$48*C57*D57,0)</f>
        <v>2117</v>
      </c>
      <c r="C57" s="161">
        <f t="shared" ref="C57:C64" si="16">IF($C$55="北京市系数",I57,J57)</f>
        <v>0.6</v>
      </c>
      <c r="D57" s="889">
        <v>0.25</v>
      </c>
      <c r="E57" s="612">
        <f>面积指标!D6</f>
        <v>7514.68</v>
      </c>
      <c r="F57" s="831">
        <f t="shared" si="15"/>
        <v>1591</v>
      </c>
      <c r="G57" s="2748" t="s">
        <v>1888</v>
      </c>
      <c r="H57" s="832" t="str">
        <f>项目基本情况!B37</f>
        <v>七级</v>
      </c>
      <c r="I57" s="836">
        <f>SUMIF(修正!A57:A68,H57,修正!B57:B68)</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1889</v>
      </c>
      <c r="B58" s="208">
        <f t="shared" ref="B58:B64" si="17">ROUND($C$48*C58*D58,0)</f>
        <v>1058</v>
      </c>
      <c r="C58" s="161">
        <f t="shared" si="16"/>
        <v>0.3</v>
      </c>
      <c r="D58" s="889">
        <v>0.25</v>
      </c>
      <c r="E58" s="612"/>
      <c r="F58" s="831">
        <f t="shared" si="15"/>
        <v>0</v>
      </c>
      <c r="G58" s="2749"/>
      <c r="H58" s="832" t="str">
        <f>项目基本情况!B37</f>
        <v>七级</v>
      </c>
      <c r="I58" s="836">
        <f>SUMIF(修正!A57:A68,H58,修正!C57:C68)</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1890</v>
      </c>
      <c r="B59" s="208">
        <f t="shared" si="17"/>
        <v>882</v>
      </c>
      <c r="C59" s="161">
        <f t="shared" si="16"/>
        <v>0.25</v>
      </c>
      <c r="D59" s="889">
        <v>0.25</v>
      </c>
      <c r="E59" s="612"/>
      <c r="F59" s="831">
        <f t="shared" si="15"/>
        <v>0</v>
      </c>
      <c r="G59" s="2749"/>
      <c r="H59" s="832" t="str">
        <f>项目基本情况!B37</f>
        <v>七级</v>
      </c>
      <c r="I59" s="836">
        <f>SUMIF(修正!A57:A68,H59,修正!D57:D68)</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1891</v>
      </c>
      <c r="B60" s="208">
        <f t="shared" si="17"/>
        <v>0</v>
      </c>
      <c r="C60" s="161">
        <f t="shared" si="16"/>
        <v>0</v>
      </c>
      <c r="D60" s="889">
        <v>0.25</v>
      </c>
      <c r="E60" s="207">
        <f>'数据-汇总表'!E11</f>
        <v>0</v>
      </c>
      <c r="F60" s="831">
        <f t="shared" si="15"/>
        <v>0</v>
      </c>
      <c r="G60" s="1832" t="s">
        <v>1892</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1893</v>
      </c>
      <c r="B61" s="208">
        <f t="shared" si="17"/>
        <v>0</v>
      </c>
      <c r="C61" s="161">
        <f t="shared" si="16"/>
        <v>0</v>
      </c>
      <c r="D61" s="889">
        <v>0.25</v>
      </c>
      <c r="E61" s="207">
        <f>'数据-汇总表'!E12</f>
        <v>0</v>
      </c>
      <c r="F61" s="831">
        <f t="shared" si="15"/>
        <v>0</v>
      </c>
      <c r="G61" s="837" t="s">
        <v>1894</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1895</v>
      </c>
      <c r="B62" s="208">
        <f t="shared" si="17"/>
        <v>0</v>
      </c>
      <c r="C62" s="161">
        <f t="shared" si="16"/>
        <v>0</v>
      </c>
      <c r="D62" s="889">
        <v>0.25</v>
      </c>
      <c r="E62" s="207">
        <f>'数据-汇总表'!E13</f>
        <v>0</v>
      </c>
      <c r="F62" s="831">
        <f t="shared" si="15"/>
        <v>0</v>
      </c>
      <c r="G62" s="837" t="s">
        <v>1896</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1897</v>
      </c>
      <c r="B63" s="208">
        <f t="shared" si="17"/>
        <v>529</v>
      </c>
      <c r="C63" s="161">
        <f t="shared" si="16"/>
        <v>0.15</v>
      </c>
      <c r="D63" s="889">
        <v>0.25</v>
      </c>
      <c r="E63" s="207">
        <f>'数据-汇总表'!E14</f>
        <v>14328.11999999997</v>
      </c>
      <c r="F63" s="831">
        <f t="shared" si="15"/>
        <v>758</v>
      </c>
      <c r="G63" s="1832" t="s">
        <v>1888</v>
      </c>
      <c r="H63" s="832" t="str">
        <f>项目基本情况!B37</f>
        <v>七级</v>
      </c>
      <c r="I63" s="836">
        <f>SUMIF(修正!A57:A68,H63,修正!G57:G68)</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1898</v>
      </c>
      <c r="B64" s="208">
        <f t="shared" si="17"/>
        <v>0</v>
      </c>
      <c r="C64" s="161">
        <f t="shared" si="16"/>
        <v>0</v>
      </c>
      <c r="D64" s="889">
        <v>0.25</v>
      </c>
      <c r="E64" s="207">
        <f>'数据-汇总表'!E15</f>
        <v>0</v>
      </c>
      <c r="F64" s="831">
        <f t="shared" si="15"/>
        <v>0</v>
      </c>
      <c r="G64" s="1833" t="s">
        <v>1892</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1899</v>
      </c>
      <c r="B65" s="614" t="s">
        <v>22</v>
      </c>
      <c r="C65" s="614" t="s">
        <v>23</v>
      </c>
      <c r="D65" s="614" t="s">
        <v>392</v>
      </c>
      <c r="E65" s="614">
        <f>IF(B46="楼面地价",SUM(E56:E64),'数据-汇总表'!D3)</f>
        <v>65983.159999999974</v>
      </c>
      <c r="F65" s="615">
        <f>IF(B46="楼面地价",SUM(F56:F64),ROUND(C48*E65/10000,0))</f>
        <v>64644</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5"/>
      <c r="Q67" s="2485"/>
      <c r="R67" s="2485"/>
      <c r="S67" s="2485"/>
      <c r="T67" s="2485"/>
      <c r="U67" s="2485"/>
      <c r="V67" s="2485"/>
      <c r="W67" s="2485"/>
      <c r="X67" s="2485"/>
      <c r="Y67" s="2485"/>
      <c r="Z67" s="2485"/>
      <c r="AA67" s="2485"/>
      <c r="AB67" s="2485"/>
      <c r="AC67" s="2485"/>
    </row>
    <row r="68" spans="1:29" ht="21.75" thickBot="1">
      <c r="A68" s="656" t="s">
        <v>1794</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15">
      <c r="A69" s="1627" t="s">
        <v>1900</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4" t="s">
        <v>672</v>
      </c>
      <c r="B70" s="278"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2506"/>
      <c r="Q70" s="2437"/>
      <c r="R70" s="2437"/>
      <c r="S70" s="2437"/>
      <c r="T70" s="2437"/>
      <c r="U70" s="2437"/>
      <c r="V70" s="2437"/>
      <c r="W70" s="2437"/>
      <c r="X70" s="2437"/>
      <c r="Y70" s="2437"/>
      <c r="Z70" s="2437"/>
      <c r="AA70" s="2437"/>
      <c r="AB70" s="2437"/>
      <c r="AC70" s="2437"/>
    </row>
    <row r="71" spans="1:29" s="102" customFormat="1" ht="15.75" thickBot="1">
      <c r="A71" s="447" t="s">
        <v>1712</v>
      </c>
      <c r="B71" s="448"/>
      <c r="C71" s="449"/>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5">
      <c r="A72" s="453" t="s">
        <v>1677</v>
      </c>
      <c r="B72" s="442"/>
      <c r="C72" s="454" t="s">
        <v>1772</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c r="A74" s="377" t="s">
        <v>1715</v>
      </c>
      <c r="B74" s="458" t="s">
        <v>1681</v>
      </c>
      <c r="C74" s="3168" t="s">
        <v>4323</v>
      </c>
      <c r="D74" s="460"/>
      <c r="E74" s="460"/>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c r="E75" s="465"/>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1684</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1685</v>
      </c>
      <c r="C78" s="476" t="str">
        <f>C79&amp;"（含）"&amp;"-"&amp;D79</f>
        <v>0（含）-1</v>
      </c>
      <c r="D78" s="476" t="str">
        <f t="shared" ref="D78:L78" si="20">D79&amp;"（含）"&amp;"-"&amp;E79</f>
        <v>1（含）-2</v>
      </c>
      <c r="E78" s="476" t="str">
        <f t="shared" si="20"/>
        <v>2（含）-3</v>
      </c>
      <c r="F78" s="476" t="str">
        <f t="shared" si="20"/>
        <v>3（含）-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c r="H79" s="478"/>
      <c r="I79" s="478"/>
      <c r="J79" s="478"/>
      <c r="K79" s="479"/>
      <c r="L79" s="480"/>
      <c r="M79" s="481"/>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t="str">
        <f>B13</f>
        <v>自持限制</v>
      </c>
      <c r="C83" s="3169" t="s">
        <v>4324</v>
      </c>
      <c r="D83" s="3170" t="s">
        <v>4325</v>
      </c>
      <c r="E83" s="3169" t="s">
        <v>4326</v>
      </c>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v>100</v>
      </c>
      <c r="D84" s="465">
        <v>95</v>
      </c>
      <c r="E84" s="465">
        <v>80</v>
      </c>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1686</v>
      </c>
      <c r="B87" s="458" t="s">
        <v>1716</v>
      </c>
      <c r="C87" s="502" t="s">
        <v>1717</v>
      </c>
      <c r="D87" s="502" t="s">
        <v>1718</v>
      </c>
      <c r="E87" s="502" t="s">
        <v>1719</v>
      </c>
      <c r="F87" s="502" t="s">
        <v>1720</v>
      </c>
      <c r="G87" s="502" t="s">
        <v>1721</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1901</v>
      </c>
      <c r="C89" s="507" t="s">
        <v>1717</v>
      </c>
      <c r="D89" s="507" t="s">
        <v>1718</v>
      </c>
      <c r="E89" s="507" t="s">
        <v>1719</v>
      </c>
      <c r="F89" s="507" t="s">
        <v>1720</v>
      </c>
      <c r="G89" s="507" t="s">
        <v>1721</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97</v>
      </c>
      <c r="E90" s="473">
        <f>D90-$K17</f>
        <v>94</v>
      </c>
      <c r="F90" s="473">
        <f>E90-$K17</f>
        <v>91</v>
      </c>
      <c r="G90" s="473">
        <f>F90-$K17</f>
        <v>88</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1817</v>
      </c>
      <c r="C91" s="507" t="s">
        <v>1717</v>
      </c>
      <c r="D91" s="507" t="s">
        <v>1718</v>
      </c>
      <c r="E91" s="507" t="s">
        <v>1719</v>
      </c>
      <c r="F91" s="507" t="s">
        <v>1720</v>
      </c>
      <c r="G91" s="507" t="s">
        <v>1721</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1722</v>
      </c>
      <c r="C93" s="507" t="s">
        <v>1717</v>
      </c>
      <c r="D93" s="507" t="s">
        <v>1718</v>
      </c>
      <c r="E93" s="507" t="s">
        <v>1719</v>
      </c>
      <c r="F93" s="507" t="s">
        <v>1720</v>
      </c>
      <c r="G93" s="507" t="s">
        <v>1721</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98</v>
      </c>
      <c r="E94" s="473">
        <f>D94-$K21</f>
        <v>96</v>
      </c>
      <c r="F94" s="473">
        <f>E94-$K21</f>
        <v>94</v>
      </c>
      <c r="G94" s="473">
        <f>F94-$K21</f>
        <v>92</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15.75" thickTop="1">
      <c r="A95" s="368"/>
      <c r="B95" s="467" t="s">
        <v>1902</v>
      </c>
      <c r="C95" s="507" t="s">
        <v>1717</v>
      </c>
      <c r="D95" s="507" t="s">
        <v>1718</v>
      </c>
      <c r="E95" s="507" t="s">
        <v>1719</v>
      </c>
      <c r="F95" s="507" t="s">
        <v>1720</v>
      </c>
      <c r="G95" s="507" t="s">
        <v>1721</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99</v>
      </c>
      <c r="E96" s="473">
        <f>D96-$K23</f>
        <v>98</v>
      </c>
      <c r="F96" s="473">
        <f>E96-$K23</f>
        <v>97</v>
      </c>
      <c r="G96" s="473">
        <f>F96-$K23</f>
        <v>96</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7.75" thickTop="1">
      <c r="A97" s="368"/>
      <c r="B97" s="467" t="s">
        <v>1903</v>
      </c>
      <c r="C97" s="502" t="s">
        <v>1717</v>
      </c>
      <c r="D97" s="502" t="s">
        <v>1718</v>
      </c>
      <c r="E97" s="502" t="s">
        <v>1719</v>
      </c>
      <c r="F97" s="502" t="s">
        <v>1720</v>
      </c>
      <c r="G97" s="502" t="s">
        <v>1721</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97</v>
      </c>
      <c r="E98" s="473">
        <f>D98-$K25</f>
        <v>94</v>
      </c>
      <c r="F98" s="473">
        <f>E98-$K25</f>
        <v>91</v>
      </c>
      <c r="G98" s="473">
        <f>F98-$K25</f>
        <v>88</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1774</v>
      </c>
      <c r="C99" s="502" t="s">
        <v>1717</v>
      </c>
      <c r="D99" s="502" t="s">
        <v>1718</v>
      </c>
      <c r="E99" s="502" t="s">
        <v>1719</v>
      </c>
      <c r="F99" s="502" t="s">
        <v>1720</v>
      </c>
      <c r="G99" s="502" t="s">
        <v>1721</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1904</v>
      </c>
      <c r="D103" s="468" t="s">
        <v>1905</v>
      </c>
      <c r="E103" s="468" t="s">
        <v>1906</v>
      </c>
      <c r="F103" s="468" t="s">
        <v>1907</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1811</v>
      </c>
      <c r="C105" s="3169" t="s">
        <v>4327</v>
      </c>
      <c r="D105" s="3169" t="s">
        <v>4328</v>
      </c>
      <c r="E105" s="3169" t="s">
        <v>4329</v>
      </c>
      <c r="F105" s="3169" t="s">
        <v>4330</v>
      </c>
      <c r="G105" s="3169" t="s">
        <v>4331</v>
      </c>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3">C106-$K32</f>
        <v>98</v>
      </c>
      <c r="E106" s="473">
        <f t="shared" si="23"/>
        <v>96</v>
      </c>
      <c r="F106" s="473">
        <f t="shared" si="23"/>
        <v>94</v>
      </c>
      <c r="G106" s="473">
        <f t="shared" si="23"/>
        <v>92</v>
      </c>
      <c r="H106" s="473">
        <f t="shared" si="23"/>
        <v>90</v>
      </c>
      <c r="I106" s="473">
        <f t="shared" si="23"/>
        <v>88</v>
      </c>
      <c r="J106" s="473">
        <f t="shared" si="23"/>
        <v>86</v>
      </c>
      <c r="K106" s="473">
        <f t="shared" si="23"/>
        <v>84</v>
      </c>
      <c r="L106" s="473">
        <f t="shared" si="23"/>
        <v>82</v>
      </c>
      <c r="M106" s="473">
        <f t="shared" si="23"/>
        <v>80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1869</v>
      </c>
      <c r="C107" s="3172" t="s">
        <v>24</v>
      </c>
      <c r="D107" s="3172" t="s">
        <v>25</v>
      </c>
      <c r="E107" s="3172" t="s">
        <v>319</v>
      </c>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1690</v>
      </c>
      <c r="B115" s="458" t="s">
        <v>1908</v>
      </c>
      <c r="C115" s="459" t="str">
        <f>C116&amp;"(含)"&amp;"-"&amp;D116</f>
        <v>0(含)-10000</v>
      </c>
      <c r="D115" s="459" t="str">
        <f t="shared" ref="D115:M115" si="25">D116&amp;"(含)"&amp;"-"&amp;E116</f>
        <v>10000(含)-20000</v>
      </c>
      <c r="E115" s="459" t="str">
        <f t="shared" si="25"/>
        <v>20000(含)-30000</v>
      </c>
      <c r="F115" s="459" t="str">
        <f t="shared" si="25"/>
        <v>30000(含)-40000</v>
      </c>
      <c r="G115" s="459" t="str">
        <f t="shared" si="25"/>
        <v>40000(含)-50000</v>
      </c>
      <c r="H115" s="459" t="str">
        <f t="shared" si="25"/>
        <v>50000(含)-</v>
      </c>
      <c r="I115" s="459" t="str">
        <f t="shared" si="25"/>
        <v>(含)-</v>
      </c>
      <c r="J115" s="459" t="str">
        <f t="shared" si="25"/>
        <v>(含)-</v>
      </c>
      <c r="K115" s="459" t="str">
        <f t="shared" si="25"/>
        <v>(含)-</v>
      </c>
      <c r="L115" s="459" t="str">
        <f t="shared" si="25"/>
        <v>(含)-</v>
      </c>
      <c r="M115" s="459"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10000</v>
      </c>
      <c r="E116" s="6">
        <v>20000</v>
      </c>
      <c r="F116" s="6">
        <v>30000</v>
      </c>
      <c r="G116" s="6">
        <v>40000</v>
      </c>
      <c r="H116" s="6">
        <v>50000</v>
      </c>
      <c r="I116" s="6"/>
      <c r="J116" s="522"/>
      <c r="K116" s="522"/>
      <c r="L116" s="523"/>
      <c r="M116" s="524"/>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101</v>
      </c>
      <c r="E117" s="519">
        <v>102</v>
      </c>
      <c r="F117" s="519">
        <v>103</v>
      </c>
      <c r="G117" s="519">
        <v>104</v>
      </c>
      <c r="H117" s="519">
        <v>105</v>
      </c>
      <c r="I117" s="519"/>
      <c r="J117" s="519"/>
      <c r="K117" s="519"/>
      <c r="L117" s="519"/>
      <c r="M117" s="520"/>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1909</v>
      </c>
      <c r="C118" s="3172" t="s">
        <v>4338</v>
      </c>
      <c r="D118" s="3172" t="s">
        <v>4339</v>
      </c>
      <c r="E118" s="3172" t="s">
        <v>4340</v>
      </c>
      <c r="F118" s="3172" t="s">
        <v>4341</v>
      </c>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1910</v>
      </c>
      <c r="C120" s="3169" t="s">
        <v>4347</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1911</v>
      </c>
      <c r="C122" s="3169" t="s">
        <v>4342</v>
      </c>
      <c r="D122" s="3169" t="s">
        <v>4343</v>
      </c>
      <c r="E122" s="3169" t="s">
        <v>4344</v>
      </c>
      <c r="F122" s="3169" t="s">
        <v>4345</v>
      </c>
      <c r="G122" s="3169" t="s">
        <v>4346</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1912</v>
      </c>
      <c r="C124" s="3169" t="s">
        <v>4348</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876</v>
      </c>
      <c r="B1" s="661"/>
      <c r="C1" s="1284" t="s">
        <v>4318</v>
      </c>
      <c r="D1" s="1268" t="s">
        <v>43</v>
      </c>
      <c r="E1" s="1269" t="s">
        <v>677</v>
      </c>
      <c r="F1" s="997">
        <f ca="1">J53</f>
        <v>32.15</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803</v>
      </c>
      <c r="B2" s="1291">
        <f ca="1">C40+J29+L46</f>
        <v>100536</v>
      </c>
      <c r="C2" s="1286" t="s">
        <v>804</v>
      </c>
      <c r="D2" s="1286"/>
      <c r="E2" s="1292"/>
      <c r="F2" s="1293"/>
      <c r="G2" s="2476"/>
      <c r="H2" s="2466"/>
      <c r="I2" s="2466"/>
      <c r="J2" s="2466"/>
      <c r="K2" s="2467"/>
      <c r="L2" s="2466"/>
      <c r="M2" s="2466"/>
    </row>
    <row r="3" spans="1:37" ht="18" customHeight="1" thickBot="1">
      <c r="A3" s="1294" t="s">
        <v>805</v>
      </c>
      <c r="B3" s="1295">
        <f ca="1">IF(ISERROR(B2*10000/F43),0,ROUND(B2*10000/F43,0))</f>
        <v>14774</v>
      </c>
      <c r="C3" s="1286" t="s">
        <v>806</v>
      </c>
      <c r="D3" s="1286"/>
      <c r="E3" s="1292"/>
      <c r="F3" s="1293"/>
      <c r="G3" s="2476"/>
      <c r="H3" s="647" t="s">
        <v>875</v>
      </c>
      <c r="I3" s="1287"/>
      <c r="J3" s="1287"/>
      <c r="K3" s="1288"/>
      <c r="L3" s="1287"/>
      <c r="M3" s="1287"/>
    </row>
    <row r="4" spans="1:37" ht="18" customHeight="1">
      <c r="A4" s="285" t="s">
        <v>686</v>
      </c>
      <c r="B4" s="286" t="s">
        <v>687</v>
      </c>
      <c r="C4" s="286" t="s">
        <v>688</v>
      </c>
      <c r="D4" s="286" t="s">
        <v>689</v>
      </c>
      <c r="E4" s="287" t="s">
        <v>690</v>
      </c>
      <c r="F4" s="288"/>
      <c r="G4" s="1289"/>
      <c r="H4" s="285" t="s">
        <v>686</v>
      </c>
      <c r="I4" s="286" t="s">
        <v>687</v>
      </c>
      <c r="J4" s="286" t="s">
        <v>688</v>
      </c>
      <c r="K4" s="286" t="s">
        <v>689</v>
      </c>
      <c r="L4" s="287" t="s">
        <v>690</v>
      </c>
      <c r="M4" s="288"/>
    </row>
    <row r="5" spans="1:37" ht="18" customHeight="1">
      <c r="A5" s="289">
        <v>1</v>
      </c>
      <c r="B5" s="290" t="s">
        <v>691</v>
      </c>
      <c r="C5" s="1005">
        <f ca="1">C6+C10+C12</f>
        <v>8953</v>
      </c>
      <c r="D5" s="1270" t="s">
        <v>692</v>
      </c>
      <c r="E5" s="1006"/>
      <c r="F5" s="1007"/>
      <c r="G5" s="1289"/>
      <c r="H5" s="289">
        <v>1</v>
      </c>
      <c r="I5" s="290" t="s">
        <v>691</v>
      </c>
      <c r="J5" s="1005">
        <f ca="1">J6+J10+J12</f>
        <v>0</v>
      </c>
      <c r="K5" s="1270" t="s">
        <v>692</v>
      </c>
      <c r="L5" s="1006"/>
      <c r="M5" s="1007"/>
    </row>
    <row r="6" spans="1:37" ht="18" customHeight="1">
      <c r="A6" s="1004" t="s">
        <v>398</v>
      </c>
      <c r="B6" s="3416" t="s">
        <v>693</v>
      </c>
      <c r="C6" s="1009">
        <f ca="1">ROUND(F6*F8*F7*(1-F9)/10000,0)</f>
        <v>8942</v>
      </c>
      <c r="D6" s="145" t="s">
        <v>2104</v>
      </c>
      <c r="E6" s="292" t="s">
        <v>695</v>
      </c>
      <c r="F6" s="293">
        <f ca="1">INDIRECT("'数据-取费表'!u"&amp;$G$1)</f>
        <v>4</v>
      </c>
      <c r="G6" s="1289"/>
      <c r="H6" s="1004" t="s">
        <v>398</v>
      </c>
      <c r="I6" s="3416" t="s">
        <v>693</v>
      </c>
      <c r="J6" s="291">
        <f ca="1">ROUND(M6*M8*M7*(1-M9)/10000,0)</f>
        <v>0</v>
      </c>
      <c r="K6" s="145" t="s">
        <v>2103</v>
      </c>
      <c r="L6" s="292" t="s">
        <v>695</v>
      </c>
      <c r="M6" s="293">
        <f ca="1">INDIRECT("'数据-取费表'!z"&amp;$G$1)</f>
        <v>0</v>
      </c>
    </row>
    <row r="7" spans="1:37" ht="18" customHeight="1">
      <c r="A7" s="1008"/>
      <c r="B7" s="3417"/>
      <c r="C7" s="1010"/>
      <c r="D7" s="297"/>
      <c r="E7" s="1011" t="s">
        <v>696</v>
      </c>
      <c r="F7" s="293">
        <f ca="1">IF(INDIRECT("'数据-取费表'!ah"&amp;$G$1)="",INDIRECT("'数据-取费表'!k"&amp;$G$1),INDIRECT("'数据-取费表'!ah"&amp;$G$1))</f>
        <v>68049.77999999997</v>
      </c>
      <c r="G7" s="1289"/>
      <c r="H7" s="294"/>
      <c r="I7" s="3417"/>
      <c r="J7" s="296"/>
      <c r="K7" s="297"/>
      <c r="L7" s="292" t="s">
        <v>696</v>
      </c>
      <c r="M7" s="293">
        <f ca="1">F7</f>
        <v>68049.77999999997</v>
      </c>
    </row>
    <row r="8" spans="1:37" ht="18" customHeight="1">
      <c r="A8" s="294"/>
      <c r="B8" s="3417"/>
      <c r="C8" s="296"/>
      <c r="D8" s="297"/>
      <c r="E8" s="292" t="s">
        <v>697</v>
      </c>
      <c r="F8" s="293">
        <f ca="1">INDIRECT("'数据-取费表'!ai"&amp;$G$1)</f>
        <v>365</v>
      </c>
      <c r="G8" s="1289"/>
      <c r="H8" s="294"/>
      <c r="I8" s="3417"/>
      <c r="J8" s="296"/>
      <c r="K8" s="297"/>
      <c r="L8" s="292" t="s">
        <v>697</v>
      </c>
      <c r="M8" s="293">
        <f ca="1">INDIRECT("'数据-取费表'!ai"&amp;$G$1)</f>
        <v>365</v>
      </c>
    </row>
    <row r="9" spans="1:37" ht="18" customHeight="1">
      <c r="A9" s="294"/>
      <c r="B9" s="3418"/>
      <c r="C9" s="296"/>
      <c r="D9" s="297"/>
      <c r="E9" s="292" t="s">
        <v>698</v>
      </c>
      <c r="F9" s="302">
        <f ca="1">INDIRECT("'数据-取费表'!w"&amp;$G$1)</f>
        <v>0.1</v>
      </c>
      <c r="G9" s="1289"/>
      <c r="H9" s="294"/>
      <c r="I9" s="3418"/>
      <c r="J9" s="296"/>
      <c r="K9" s="297"/>
      <c r="L9" s="303" t="s">
        <v>698</v>
      </c>
      <c r="M9" s="304">
        <f ca="1">INDIRECT("'数据-取费表'!ab"&amp;$G$1)</f>
        <v>0</v>
      </c>
    </row>
    <row r="10" spans="1:37" ht="18" customHeight="1">
      <c r="A10" s="1004" t="s">
        <v>402</v>
      </c>
      <c r="B10" s="1271" t="s">
        <v>699</v>
      </c>
      <c r="C10" s="306">
        <f ca="1">ROUND(IF(F10="押一",C6/12*F11,IF(F10="押二",C6/12*2*F11,IF(F10="押三",C6/12*3*F11,C11*F11))),0)</f>
        <v>11</v>
      </c>
      <c r="D10" s="148" t="s">
        <v>2112</v>
      </c>
      <c r="E10" s="303" t="s">
        <v>700</v>
      </c>
      <c r="F10" s="1051" t="s">
        <v>4319</v>
      </c>
      <c r="G10" s="1289"/>
      <c r="H10" s="1004" t="s">
        <v>402</v>
      </c>
      <c r="I10" s="1271" t="s">
        <v>699</v>
      </c>
      <c r="J10" s="291">
        <f ca="1">ROUND(IF(M10="押一",J6/12*M11,IF(M10="押二",J6/12*2*M11,IF(M10="押三",J6/12*3*M11,J11*M11))),0)</f>
        <v>0</v>
      </c>
      <c r="K10" s="148" t="s">
        <v>2111</v>
      </c>
      <c r="L10" s="303" t="s">
        <v>700</v>
      </c>
      <c r="M10" s="1051"/>
    </row>
    <row r="11" spans="1:37" ht="18" customHeight="1">
      <c r="A11" s="298"/>
      <c r="B11" s="1272" t="s">
        <v>678</v>
      </c>
      <c r="C11" s="903"/>
      <c r="D11" s="1273"/>
      <c r="E11" s="303" t="s">
        <v>701</v>
      </c>
      <c r="F11" s="304">
        <f ca="1">'数据-取费表'!B39</f>
        <v>1.4999999999999999E-2</v>
      </c>
      <c r="G11" s="1289"/>
      <c r="H11" s="1012"/>
      <c r="I11" s="1272" t="s">
        <v>678</v>
      </c>
      <c r="J11" s="903"/>
      <c r="K11" s="644"/>
      <c r="L11" s="303" t="s">
        <v>701</v>
      </c>
      <c r="M11" s="807">
        <f ca="1">'数据-取费表'!B39</f>
        <v>1.4999999999999999E-2</v>
      </c>
    </row>
    <row r="12" spans="1:37" ht="18" customHeight="1" thickBot="1">
      <c r="A12" s="1018" t="s">
        <v>437</v>
      </c>
      <c r="B12" s="1274" t="s">
        <v>702</v>
      </c>
      <c r="C12" s="1019"/>
      <c r="D12" s="1020"/>
      <c r="E12" s="1025"/>
      <c r="F12" s="1021"/>
      <c r="G12" s="1289"/>
      <c r="H12" s="1018" t="s">
        <v>437</v>
      </c>
      <c r="I12" s="1274" t="s">
        <v>702</v>
      </c>
      <c r="J12" s="1019"/>
      <c r="K12" s="1033"/>
      <c r="L12" s="1025"/>
      <c r="M12" s="1034"/>
    </row>
    <row r="13" spans="1:37" ht="18" customHeight="1" thickTop="1">
      <c r="A13" s="1014">
        <v>2</v>
      </c>
      <c r="B13" s="1015" t="s">
        <v>703</v>
      </c>
      <c r="C13" s="300">
        <f ca="1">ROUND(C29*F13,0)</f>
        <v>58899</v>
      </c>
      <c r="D13" s="1016" t="s">
        <v>704</v>
      </c>
      <c r="E13" s="1016" t="s">
        <v>705</v>
      </c>
      <c r="F13" s="1017">
        <f ca="1">INDIRECT("'数据-取费表'!y"&amp;$G$1)</f>
        <v>0.95</v>
      </c>
      <c r="G13" s="1289"/>
      <c r="H13" s="1014">
        <v>2</v>
      </c>
      <c r="I13" s="1015" t="s">
        <v>703</v>
      </c>
      <c r="J13" s="1003">
        <f ca="1">ROUND(J14*J15,0)</f>
        <v>0</v>
      </c>
      <c r="K13" s="1022" t="s">
        <v>704</v>
      </c>
      <c r="L13" s="1296"/>
      <c r="M13" s="1297"/>
    </row>
    <row r="14" spans="1:37" ht="18" customHeight="1">
      <c r="A14" s="926" t="s">
        <v>397</v>
      </c>
      <c r="B14" s="292" t="s">
        <v>706</v>
      </c>
      <c r="C14" s="308">
        <f ca="1">INDIRECT("'数据-取费表'!m"&amp;$G$1)+INDIRECT("'数据-取费表'!t"&amp;$G$1)</f>
        <v>38108</v>
      </c>
      <c r="D14" s="1254" t="s">
        <v>707</v>
      </c>
      <c r="E14" s="1252"/>
      <c r="F14" s="309"/>
      <c r="G14" s="1289"/>
      <c r="H14" s="926" t="s">
        <v>398</v>
      </c>
      <c r="I14" s="292" t="s">
        <v>708</v>
      </c>
      <c r="J14" s="21">
        <f ca="1">C29</f>
        <v>61999</v>
      </c>
      <c r="K14" s="12"/>
      <c r="L14" s="757"/>
      <c r="M14" s="758"/>
    </row>
    <row r="15" spans="1:37" s="1301" customFormat="1" ht="18" customHeight="1" thickBot="1">
      <c r="A15" s="926" t="s">
        <v>399</v>
      </c>
      <c r="B15" s="292" t="s">
        <v>709</v>
      </c>
      <c r="C15" s="21">
        <f ca="1">ROUND(C14*F15,0)</f>
        <v>1905</v>
      </c>
      <c r="D15" s="310" t="s">
        <v>710</v>
      </c>
      <c r="E15" s="310" t="s">
        <v>711</v>
      </c>
      <c r="F15" s="311">
        <f>'数据-取费表'!B33</f>
        <v>0.05</v>
      </c>
      <c r="G15" s="1300"/>
      <c r="H15" s="1024" t="s">
        <v>402</v>
      </c>
      <c r="I15" s="1025" t="s">
        <v>705</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679</v>
      </c>
      <c r="B16" s="292" t="s">
        <v>712</v>
      </c>
      <c r="C16" s="21">
        <f ca="1">ROUND(INDIRECT("'数据-取费表'!m"&amp;$G$1)*F16,0)</f>
        <v>0</v>
      </c>
      <c r="D16" s="292" t="s">
        <v>710</v>
      </c>
      <c r="E16" s="292" t="s">
        <v>711</v>
      </c>
      <c r="F16" s="312">
        <f ca="1">IF(INDIRECT("'数据-取费表'!c"&amp;$G$1)="住宅",'数据-取费表'!B34,0)</f>
        <v>0</v>
      </c>
      <c r="G16" s="1289"/>
      <c r="H16" s="1014" t="s">
        <v>393</v>
      </c>
      <c r="I16" s="1015" t="s">
        <v>713</v>
      </c>
      <c r="J16" s="300">
        <f ca="1">ROUND(J17+J22+J23+J24,0)</f>
        <v>312</v>
      </c>
      <c r="K16" s="1022" t="s">
        <v>714</v>
      </c>
      <c r="L16" s="1023"/>
      <c r="M16" s="1007"/>
    </row>
    <row r="17" spans="1:37" s="1301" customFormat="1" ht="18" customHeight="1">
      <c r="A17" s="926" t="s">
        <v>680</v>
      </c>
      <c r="B17" s="292" t="s">
        <v>715</v>
      </c>
      <c r="C17" s="21">
        <f ca="1">ROUND(F17*(F43+INDIRECT("'数据-取费表'!S"&amp;$G$1))/10000,0)</f>
        <v>1361</v>
      </c>
      <c r="D17" s="292" t="s">
        <v>716</v>
      </c>
      <c r="E17" s="292" t="s">
        <v>717</v>
      </c>
      <c r="F17" s="23">
        <f>'数据-取费表'!B35</f>
        <v>200</v>
      </c>
      <c r="G17" s="1300"/>
      <c r="H17" s="926" t="s">
        <v>398</v>
      </c>
      <c r="I17" s="292" t="s">
        <v>718</v>
      </c>
      <c r="J17" s="2137">
        <f ca="1">ROUND(IF(AND(项目基本情况!B11="自然人",项目基本情况!B10="北京市"),J6*M17/(1+'数据-取费表'!C42),J18+J19+J20),2)</f>
        <v>2.36</v>
      </c>
      <c r="K17" s="1254" t="s">
        <v>719</v>
      </c>
      <c r="L17" s="1253" t="s">
        <v>720</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681</v>
      </c>
      <c r="B18" s="292" t="s">
        <v>721</v>
      </c>
      <c r="C18" s="21">
        <f ca="1">ROUND(C14*F18,0)</f>
        <v>762</v>
      </c>
      <c r="D18" s="292" t="s">
        <v>710</v>
      </c>
      <c r="E18" s="292" t="s">
        <v>711</v>
      </c>
      <c r="F18" s="312">
        <f>'数据-取费表'!B36</f>
        <v>0.02</v>
      </c>
      <c r="G18" s="1300"/>
      <c r="H18" s="926" t="s">
        <v>397</v>
      </c>
      <c r="I18" s="292" t="s">
        <v>722</v>
      </c>
      <c r="J18" s="21">
        <f ca="1">ROUND(J6*M18/(1+'数据-取费表'!C42),2)</f>
        <v>0</v>
      </c>
      <c r="K18" s="1253" t="s">
        <v>723</v>
      </c>
      <c r="L18" s="292" t="s">
        <v>711</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724</v>
      </c>
      <c r="C19" s="21">
        <f ca="1">SUM(C14:C18)</f>
        <v>42136</v>
      </c>
      <c r="D19" s="121" t="s">
        <v>725</v>
      </c>
      <c r="E19" s="1266"/>
      <c r="F19" s="23"/>
      <c r="G19" s="1289"/>
      <c r="H19" s="926" t="s">
        <v>399</v>
      </c>
      <c r="I19" s="292" t="s">
        <v>726</v>
      </c>
      <c r="J19" s="21">
        <f ca="1">IF(K19="按租金收入计税",ROUND(J6*M19/(1+'数据-取费表'!C42),2),ROUND(C29*M19*0.7,2))</f>
        <v>0</v>
      </c>
      <c r="K19" s="1275" t="s">
        <v>3333</v>
      </c>
      <c r="L19" s="292" t="s">
        <v>711</v>
      </c>
      <c r="M19" s="312">
        <f>IF(K19="按租金收入计税",'数据-取费表'!B51,'数据-取费表'!B50)</f>
        <v>0.12</v>
      </c>
    </row>
    <row r="20" spans="1:37" s="1301" customFormat="1" ht="18" customHeight="1">
      <c r="A20" s="926" t="s">
        <v>402</v>
      </c>
      <c r="B20" s="292" t="s">
        <v>727</v>
      </c>
      <c r="C20" s="21">
        <f ca="1">ROUND(C19*F20,0)</f>
        <v>1264</v>
      </c>
      <c r="D20" s="313" t="s">
        <v>728</v>
      </c>
      <c r="E20" s="292" t="s">
        <v>711</v>
      </c>
      <c r="F20" s="312">
        <f>'数据-取费表'!B37</f>
        <v>0.03</v>
      </c>
      <c r="G20" s="1300"/>
      <c r="H20" s="926" t="s">
        <v>679</v>
      </c>
      <c r="I20" s="145" t="s">
        <v>729</v>
      </c>
      <c r="J20" s="22">
        <f ca="1">ROUND(M20*M21/10000,2)</f>
        <v>2.36</v>
      </c>
      <c r="K20" s="314" t="s">
        <v>730</v>
      </c>
      <c r="L20" s="292" t="s">
        <v>731</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732</v>
      </c>
      <c r="C21" s="21" t="s">
        <v>15</v>
      </c>
      <c r="D21" s="313" t="s">
        <v>733</v>
      </c>
      <c r="E21" s="292" t="s">
        <v>734</v>
      </c>
      <c r="F21" s="312">
        <f>'数据-取费表'!B38</f>
        <v>0.03</v>
      </c>
      <c r="G21" s="1300"/>
      <c r="H21" s="316"/>
      <c r="I21" s="301"/>
      <c r="J21" s="26"/>
      <c r="K21" s="317"/>
      <c r="L21" s="292" t="s">
        <v>735</v>
      </c>
      <c r="M21" s="293">
        <f ca="1">INDIRECT("'数据-取费表'!r"&amp;$G$1)</f>
        <v>15742.02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682</v>
      </c>
      <c r="B22" s="292" t="s">
        <v>736</v>
      </c>
      <c r="C22" s="21"/>
      <c r="D22" s="121" t="str">
        <f>IF(F23&lt;=1,"单利计息。","复利计息。")&amp;"建造成本、管理费用、销售费用产生的利息。"</f>
        <v>复利计息。建造成本、管理费用、销售费用产生的利息。</v>
      </c>
      <c r="E22" s="1266"/>
      <c r="F22" s="23"/>
      <c r="G22" s="1289"/>
      <c r="H22" s="926" t="s">
        <v>402</v>
      </c>
      <c r="I22" s="292" t="s">
        <v>737</v>
      </c>
      <c r="J22" s="21">
        <f ca="1">ROUND(J14*M22,2)</f>
        <v>310</v>
      </c>
      <c r="K22" s="1253" t="s">
        <v>738</v>
      </c>
      <c r="L22" s="292" t="s">
        <v>711</v>
      </c>
      <c r="M22" s="318">
        <f ca="1">INDIRECT("'数据-取费表'!Ak"&amp;$G$1)</f>
        <v>5.0000000000000001E-3</v>
      </c>
    </row>
    <row r="23" spans="1:37" s="1301" customFormat="1" ht="18" customHeight="1">
      <c r="A23" s="926" t="s">
        <v>397</v>
      </c>
      <c r="B23" s="292" t="s">
        <v>739</v>
      </c>
      <c r="C23" s="21">
        <f ca="1">IF('数据-取费表'!B22&lt;=1,ROUND(C19*F24*F23/2,0)+ROUND(C20*F24*F23/2,0),ROUND(C19*(POWER((1+F24),F23/2)-1),0)+ROUND(C20*(POWER((1+F24),F23/2)-1),0))</f>
        <v>2033</v>
      </c>
      <c r="D23" s="136" t="str">
        <f>IF(F23&lt;=1,"(建造成本+管理费用)×利率×(建设周期÷2)","(建造成本+管理费用)×((1+利率)^(建设周期÷2)-1)")</f>
        <v>(建造成本+管理费用)×((1+利率)^(建设周期÷2)-1)</v>
      </c>
      <c r="E23" s="292" t="s">
        <v>740</v>
      </c>
      <c r="F23" s="315">
        <f>'数据-取费表'!B20</f>
        <v>3</v>
      </c>
      <c r="G23" s="1300"/>
      <c r="H23" s="926" t="s">
        <v>437</v>
      </c>
      <c r="I23" s="292" t="s">
        <v>741</v>
      </c>
      <c r="J23" s="21">
        <f ca="1">ROUND(J13*M23,2)</f>
        <v>0</v>
      </c>
      <c r="K23" s="1253" t="s">
        <v>742</v>
      </c>
      <c r="L23" s="292" t="s">
        <v>743</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744</v>
      </c>
      <c r="B24" s="292" t="s">
        <v>745</v>
      </c>
      <c r="C24" s="21">
        <f ca="1">ROUND(IF('数据-取费表'!B22&lt;=1,F21*F24*F23/2,F21*(POWER((1+F24),F23/2)-1)),4)</f>
        <v>1.4E-3</v>
      </c>
      <c r="D24" s="136" t="str">
        <f>IF(F23&lt;=1,"销售费用×利率×(建设周期÷2)","销售费用×((1+利率)^(建设周期÷2)-1)")</f>
        <v>销售费用×((1+利率)^(建设周期÷2)-1)</v>
      </c>
      <c r="E24" s="292" t="s">
        <v>746</v>
      </c>
      <c r="F24" s="320">
        <f ca="1">'数据-取费表'!B40</f>
        <v>3.1E-2</v>
      </c>
      <c r="G24" s="1300"/>
      <c r="H24" s="1024" t="s">
        <v>683</v>
      </c>
      <c r="I24" s="1025" t="s">
        <v>727</v>
      </c>
      <c r="J24" s="1026">
        <f ca="1">ROUND(J5*M24,2)</f>
        <v>0</v>
      </c>
      <c r="K24" s="1027" t="s">
        <v>747</v>
      </c>
      <c r="L24" s="1025" t="s">
        <v>743</v>
      </c>
      <c r="M24" s="1021">
        <f ca="1">INDIRECT("'数据-取费表'!Am"&amp;$G$1)</f>
        <v>1.4999999999999999E-2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748</v>
      </c>
      <c r="B25" s="292" t="s">
        <v>749</v>
      </c>
      <c r="C25" s="21"/>
      <c r="D25" s="121" t="s">
        <v>750</v>
      </c>
      <c r="E25" s="1266"/>
      <c r="F25" s="23"/>
      <c r="G25" s="1289"/>
      <c r="H25" s="1014" t="s">
        <v>394</v>
      </c>
      <c r="I25" s="1029" t="s">
        <v>751</v>
      </c>
      <c r="J25" s="300">
        <f ca="1">J5-J16</f>
        <v>-312</v>
      </c>
      <c r="K25" s="1030" t="s">
        <v>752</v>
      </c>
      <c r="L25" s="1031"/>
      <c r="M25" s="1032"/>
    </row>
    <row r="26" spans="1:37">
      <c r="A26" s="926" t="s">
        <v>397</v>
      </c>
      <c r="B26" s="292" t="s">
        <v>753</v>
      </c>
      <c r="C26" s="21">
        <f ca="1">ROUND((C19+C20)*F26,0)</f>
        <v>10850</v>
      </c>
      <c r="D26" s="313" t="s">
        <v>754</v>
      </c>
      <c r="E26" s="303" t="s">
        <v>755</v>
      </c>
      <c r="F26" s="302">
        <f ca="1">INDIRECT("'数据-取费表'!q"&amp;$G$1)</f>
        <v>0.25</v>
      </c>
      <c r="G26" s="1289"/>
      <c r="H26" s="289" t="s">
        <v>395</v>
      </c>
      <c r="I26" s="290" t="s">
        <v>756</v>
      </c>
      <c r="J26" s="291">
        <f ca="1">IF(J5&lt;&gt;0,ROUND(J25*(1-((1+M28)/(1+M26))^M27)/(M26-M28),0),0)</f>
        <v>0</v>
      </c>
      <c r="K26" s="314" t="s">
        <v>757</v>
      </c>
      <c r="L26" s="292" t="s">
        <v>758</v>
      </c>
      <c r="M26" s="302">
        <f ca="1">INDIRECT("'数据-取费表'!I"&amp;$G$1)</f>
        <v>0.06</v>
      </c>
    </row>
    <row r="27" spans="1:37" ht="18" customHeight="1">
      <c r="A27" s="926" t="s">
        <v>399</v>
      </c>
      <c r="B27" s="292" t="s">
        <v>759</v>
      </c>
      <c r="C27" s="21">
        <f ca="1">ROUND(F21*F26,4)</f>
        <v>7.4999999999999997E-3</v>
      </c>
      <c r="D27" s="313" t="s">
        <v>760</v>
      </c>
      <c r="E27" s="310"/>
      <c r="F27" s="311"/>
      <c r="G27" s="1289"/>
      <c r="H27" s="294"/>
      <c r="I27" s="295"/>
      <c r="J27" s="296"/>
      <c r="K27" s="321" t="s">
        <v>761</v>
      </c>
      <c r="L27" s="292" t="s">
        <v>762</v>
      </c>
      <c r="M27" s="322">
        <f ca="1">INDIRECT("'数据-取费表'!ag"&amp;$G$1)</f>
        <v>0</v>
      </c>
    </row>
    <row r="28" spans="1:37" s="1301" customFormat="1" ht="18" customHeight="1">
      <c r="A28" s="926" t="s">
        <v>400</v>
      </c>
      <c r="B28" s="292" t="s">
        <v>763</v>
      </c>
      <c r="C28" s="21">
        <f>ROUND(F28/(1+'数据-取费表'!C42),4)</f>
        <v>5.33E-2</v>
      </c>
      <c r="D28" s="313" t="s">
        <v>764</v>
      </c>
      <c r="E28" s="292" t="s">
        <v>711</v>
      </c>
      <c r="F28" s="312">
        <f>'数据-取费表'!B41</f>
        <v>5.6000000000000001E-2</v>
      </c>
      <c r="G28" s="1300"/>
      <c r="H28" s="298"/>
      <c r="I28" s="299"/>
      <c r="J28" s="300"/>
      <c r="K28" s="317"/>
      <c r="L28" s="292" t="s">
        <v>765</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766</v>
      </c>
      <c r="C29" s="1026">
        <f ca="1">ROUND((C19+C20+C23+C26)/(1-F21-C24-C27-C28),0)</f>
        <v>61999</v>
      </c>
      <c r="D29" s="1027"/>
      <c r="E29" s="1025"/>
      <c r="F29" s="1028"/>
      <c r="G29" s="1300"/>
      <c r="H29" s="323" t="s">
        <v>396</v>
      </c>
      <c r="I29" s="324" t="s">
        <v>767</v>
      </c>
      <c r="J29" s="325">
        <f ca="1">ROUND(J26/(1+F40)^F41,0)</f>
        <v>0</v>
      </c>
      <c r="K29" s="326" t="s">
        <v>768</v>
      </c>
      <c r="L29" s="327"/>
      <c r="M29" s="328">
        <f ca="1">INDIRECT("'数据-取费表'!k"&amp;$G$1)</f>
        <v>68049.77999999997</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713</v>
      </c>
      <c r="C30" s="300">
        <f ca="1">ROUND(C31+C36+C37+C38,0)</f>
        <v>2004</v>
      </c>
      <c r="D30" s="1022" t="s">
        <v>714</v>
      </c>
      <c r="E30" s="1023"/>
      <c r="F30" s="1007"/>
      <c r="G30" s="1289"/>
      <c r="H30" s="2468"/>
      <c r="I30" s="1302"/>
      <c r="J30" s="1303"/>
      <c r="K30" s="119"/>
      <c r="L30" s="2469"/>
      <c r="M30" s="2470"/>
    </row>
    <row r="31" spans="1:37" ht="18" customHeight="1">
      <c r="A31" s="926" t="s">
        <v>398</v>
      </c>
      <c r="B31" s="292" t="s">
        <v>718</v>
      </c>
      <c r="C31" s="2137">
        <f ca="1">ROUND(IF(AND(项目基本情况!B11="自然人",项目基本情况!B10="北京市"),C6*F31/(1+'数据-取费表'!C42),C32+C33+C34),2)</f>
        <v>1501.21</v>
      </c>
      <c r="D31" s="1254" t="s">
        <v>719</v>
      </c>
      <c r="E31" s="1253" t="s">
        <v>769</v>
      </c>
      <c r="F31" s="2136" t="str">
        <f>IF(项目基本情况!B11="企业","——",IF(M47="住宅",IF(F6*F7*F8/12/(1+'数据-取费表'!F30)&gt;100000,4%,2.5%),IF(F6*F7*F8/12/(1+'数据-取费表'!F30)&gt;100000,12%,7%)))</f>
        <v>——</v>
      </c>
      <c r="G31" s="1289"/>
      <c r="H31" s="2567" t="s">
        <v>2303</v>
      </c>
      <c r="I31" s="1302"/>
      <c r="J31" s="1303"/>
      <c r="K31" s="119"/>
      <c r="L31" s="2469"/>
      <c r="M31" s="2470"/>
    </row>
    <row r="32" spans="1:37" ht="18" customHeight="1">
      <c r="A32" s="926" t="s">
        <v>397</v>
      </c>
      <c r="B32" s="292" t="s">
        <v>722</v>
      </c>
      <c r="C32" s="21">
        <f ca="1">IF(项目基本情况!B11="自然人","——",ROUND(C6*F32/(1+'数据-取费表'!C42),2))</f>
        <v>476.91</v>
      </c>
      <c r="D32" s="1253" t="s">
        <v>723</v>
      </c>
      <c r="E32" s="292" t="s">
        <v>711</v>
      </c>
      <c r="F32" s="320">
        <f>'数据-取费表'!B41</f>
        <v>5.6000000000000001E-2</v>
      </c>
      <c r="G32" s="1289"/>
      <c r="H32" s="2468"/>
      <c r="I32" s="1302"/>
      <c r="J32" s="1303"/>
      <c r="K32" s="119"/>
      <c r="L32" s="2469"/>
      <c r="M32" s="2470"/>
    </row>
    <row r="33" spans="1:18" ht="18" customHeight="1">
      <c r="A33" s="926" t="s">
        <v>399</v>
      </c>
      <c r="B33" s="292" t="s">
        <v>726</v>
      </c>
      <c r="C33" s="21">
        <f ca="1">IF(项目基本情况!B11="自然人","——",IF(D33="按租金收入计税",ROUND(C6*F33/(1+'数据-取费表'!C42),2),IF(D33="按房产原值计税",ROUND(C29*F33*0.7,2),INDIRECT("'数据-取费表'!Aj"&amp;$G$1))))</f>
        <v>1021.94</v>
      </c>
      <c r="D33" s="1275" t="s">
        <v>3333</v>
      </c>
      <c r="E33" s="292" t="s">
        <v>711</v>
      </c>
      <c r="F33" s="312">
        <f>IF(D33="按票据","——",IF(D33="按租金收入计税",'数据-取费表'!B51,'数据-取费表'!B50))</f>
        <v>0.12</v>
      </c>
      <c r="G33" s="1289"/>
      <c r="H33" s="2471"/>
      <c r="I33" s="1302"/>
      <c r="J33" s="1303"/>
      <c r="K33" s="2472"/>
      <c r="L33" s="2471"/>
      <c r="M33" s="2471"/>
    </row>
    <row r="34" spans="1:18" ht="18" customHeight="1">
      <c r="A34" s="1004" t="s">
        <v>679</v>
      </c>
      <c r="B34" s="145" t="s">
        <v>729</v>
      </c>
      <c r="C34" s="22">
        <f ca="1">IF(项目基本情况!B11="自然人","——",ROUND(F34*F35/10000,2))</f>
        <v>2.36</v>
      </c>
      <c r="D34" s="314" t="s">
        <v>730</v>
      </c>
      <c r="E34" s="292" t="s">
        <v>731</v>
      </c>
      <c r="F34" s="315">
        <f>'数据-取费表'!B52</f>
        <v>1.5</v>
      </c>
      <c r="G34" s="1289"/>
      <c r="H34" s="2468"/>
      <c r="I34" s="1302"/>
      <c r="J34" s="1303"/>
      <c r="K34" s="2473"/>
      <c r="L34" s="2474"/>
      <c r="M34" s="2474"/>
    </row>
    <row r="35" spans="1:18" ht="18" customHeight="1">
      <c r="A35" s="1038"/>
      <c r="B35" s="1036"/>
      <c r="C35" s="26"/>
      <c r="D35" s="317"/>
      <c r="E35" s="292" t="s">
        <v>735</v>
      </c>
      <c r="F35" s="293">
        <f ca="1">INDIRECT("'数据-取费表'!r"&amp;$G$1)</f>
        <v>15742.02</v>
      </c>
      <c r="G35" s="1289"/>
      <c r="H35" s="2468"/>
      <c r="I35" s="1302"/>
      <c r="J35" s="1303"/>
      <c r="K35" s="2472"/>
      <c r="L35" s="2471"/>
      <c r="M35" s="2471"/>
    </row>
    <row r="36" spans="1:18" ht="18" customHeight="1">
      <c r="A36" s="1037" t="s">
        <v>402</v>
      </c>
      <c r="B36" s="292" t="s">
        <v>737</v>
      </c>
      <c r="C36" s="21">
        <f ca="1">ROUND(C29*F36,2)</f>
        <v>310</v>
      </c>
      <c r="D36" s="1253" t="s">
        <v>770</v>
      </c>
      <c r="E36" s="292" t="s">
        <v>711</v>
      </c>
      <c r="F36" s="318">
        <f ca="1">INDIRECT("'数据-取费表'!Ak"&amp;$G$1)</f>
        <v>5.0000000000000001E-3</v>
      </c>
      <c r="G36" s="1289"/>
      <c r="H36" s="2471"/>
      <c r="I36" s="1302"/>
      <c r="J36" s="1303"/>
      <c r="K36" s="2328"/>
      <c r="L36" s="2471"/>
      <c r="M36" s="2471"/>
    </row>
    <row r="37" spans="1:18" ht="18" customHeight="1">
      <c r="A37" s="926" t="s">
        <v>437</v>
      </c>
      <c r="B37" s="292" t="s">
        <v>741</v>
      </c>
      <c r="C37" s="21">
        <f ca="1">ROUND(C13*F37,2)</f>
        <v>58.9</v>
      </c>
      <c r="D37" s="1253" t="s">
        <v>742</v>
      </c>
      <c r="E37" s="292" t="s">
        <v>743</v>
      </c>
      <c r="F37" s="319">
        <f ca="1">INDIRECT("'数据-取费表'!Al"&amp;$G$1)</f>
        <v>1E-3</v>
      </c>
      <c r="G37" s="1289"/>
      <c r="H37" s="2471"/>
      <c r="I37" s="1302"/>
      <c r="J37" s="1303"/>
      <c r="K37" s="2328"/>
      <c r="L37" s="2471"/>
      <c r="M37" s="2471"/>
    </row>
    <row r="38" spans="1:18" ht="18" customHeight="1" thickBot="1">
      <c r="A38" s="1024" t="s">
        <v>683</v>
      </c>
      <c r="B38" s="1025" t="s">
        <v>727</v>
      </c>
      <c r="C38" s="1026">
        <f ca="1">ROUND(C5*F38,2)</f>
        <v>134.30000000000001</v>
      </c>
      <c r="D38" s="1027" t="s">
        <v>747</v>
      </c>
      <c r="E38" s="1025" t="s">
        <v>743</v>
      </c>
      <c r="F38" s="1021">
        <f ca="1">INDIRECT("'数据-取费表'!Am"&amp;$G$1)</f>
        <v>1.4999999999999999E-2</v>
      </c>
      <c r="G38" s="1289"/>
      <c r="H38" s="2471"/>
      <c r="I38" s="1302"/>
      <c r="J38" s="1303"/>
      <c r="K38" s="2469"/>
      <c r="L38" s="2471"/>
      <c r="M38" s="2471"/>
    </row>
    <row r="39" spans="1:18" ht="24.6" customHeight="1" thickTop="1">
      <c r="A39" s="1014" t="s">
        <v>394</v>
      </c>
      <c r="B39" s="1029" t="s">
        <v>771</v>
      </c>
      <c r="C39" s="300">
        <f ca="1">C5-C30</f>
        <v>6949</v>
      </c>
      <c r="D39" s="1030" t="s">
        <v>772</v>
      </c>
      <c r="E39" s="1031"/>
      <c r="F39" s="1032"/>
      <c r="G39" s="1289"/>
      <c r="H39" s="2471"/>
      <c r="I39" s="1302"/>
      <c r="J39" s="1303"/>
      <c r="K39" s="2469"/>
      <c r="L39" s="2471"/>
      <c r="M39" s="2471"/>
    </row>
    <row r="40" spans="1:18" ht="18" customHeight="1">
      <c r="A40" s="289" t="s">
        <v>395</v>
      </c>
      <c r="B40" s="290" t="s">
        <v>773</v>
      </c>
      <c r="C40" s="291">
        <f ca="1">ROUND(C39*(1-((1+F42)/(1+F40))^F41)/(F40-F42),0)</f>
        <v>98026</v>
      </c>
      <c r="D40" s="314" t="s">
        <v>757</v>
      </c>
      <c r="E40" s="292" t="s">
        <v>758</v>
      </c>
      <c r="F40" s="302">
        <f ca="1">INDIRECT("'数据-取费表'!I"&amp;$G$1)</f>
        <v>0.06</v>
      </c>
      <c r="G40" s="1289"/>
      <c r="H40" s="1363"/>
      <c r="I40" s="1302"/>
      <c r="J40" s="1303"/>
      <c r="K40" s="2469"/>
      <c r="L40" s="1363"/>
      <c r="M40" s="1363"/>
    </row>
    <row r="41" spans="1:18" ht="18" customHeight="1">
      <c r="A41" s="294"/>
      <c r="B41" s="295"/>
      <c r="C41" s="296"/>
      <c r="D41" s="321" t="s">
        <v>774</v>
      </c>
      <c r="E41" s="292" t="s">
        <v>762</v>
      </c>
      <c r="F41" s="322">
        <f ca="1">IF(INDIRECT("'数据-取费表'!af"&amp;$G$1)=0,INDIRECT("'数据-取费表'!ae"&amp;$G$1),INDIRECT("'数据-取费表'!af"&amp;$G$1))</f>
        <v>32.15</v>
      </c>
      <c r="G41" s="1289"/>
      <c r="H41" s="119"/>
      <c r="I41" s="1302"/>
      <c r="J41" s="1303"/>
      <c r="K41" s="2328"/>
      <c r="L41" s="119"/>
      <c r="M41" s="119"/>
    </row>
    <row r="42" spans="1:18" ht="18" customHeight="1">
      <c r="A42" s="298"/>
      <c r="B42" s="299"/>
      <c r="C42" s="300"/>
      <c r="D42" s="317"/>
      <c r="E42" s="292" t="s">
        <v>765</v>
      </c>
      <c r="F42" s="302">
        <f ca="1">INDIRECT("'数据-取费表'!v"&amp;$G$1)</f>
        <v>0</v>
      </c>
      <c r="G42" s="1289"/>
      <c r="H42" s="119"/>
      <c r="I42" s="1302"/>
      <c r="J42" s="1303"/>
      <c r="K42" s="2328"/>
      <c r="L42" s="119"/>
      <c r="M42" s="119"/>
    </row>
    <row r="43" spans="1:18" ht="18" customHeight="1" thickBot="1">
      <c r="A43" s="323" t="s">
        <v>396</v>
      </c>
      <c r="B43" s="324" t="s">
        <v>775</v>
      </c>
      <c r="C43" s="325">
        <f ca="1">ROUND(C40*10000/F43,0)</f>
        <v>14405</v>
      </c>
      <c r="D43" s="326" t="s">
        <v>776</v>
      </c>
      <c r="E43" s="327" t="s">
        <v>777</v>
      </c>
      <c r="F43" s="328">
        <f ca="1">INDIRECT("'数据-取费表'!k"&amp;$G$1)</f>
        <v>68049.77999999997</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807</v>
      </c>
      <c r="P45" s="1363"/>
      <c r="Q45" s="1363"/>
      <c r="R45" s="1363"/>
    </row>
    <row r="46" spans="1:18" s="1289" customFormat="1" ht="13.5" thickBot="1">
      <c r="A46" s="1308" t="s">
        <v>808</v>
      </c>
      <c r="C46" s="1309">
        <f ca="1">C68-C40</f>
        <v>-103260</v>
      </c>
      <c r="D46" s="1310" t="str">
        <f>C2</f>
        <v>万元</v>
      </c>
      <c r="E46" s="1304"/>
      <c r="F46" s="1304"/>
      <c r="I46" s="1311" t="s">
        <v>809</v>
      </c>
      <c r="J46" s="1312"/>
      <c r="K46" s="1313"/>
      <c r="L46" s="1314">
        <f ca="1">IF(M47="住宅",0,IF(L48&gt;J51,L60,J60))</f>
        <v>2510</v>
      </c>
      <c r="O46" s="1315" t="s">
        <v>810</v>
      </c>
      <c r="P46" s="1316" t="s">
        <v>811</v>
      </c>
      <c r="Q46" s="1317" t="s">
        <v>812</v>
      </c>
      <c r="R46" s="1317" t="s">
        <v>813</v>
      </c>
    </row>
    <row r="47" spans="1:18" s="1289" customFormat="1" ht="13.5" thickBot="1">
      <c r="A47" s="890" t="s">
        <v>686</v>
      </c>
      <c r="B47" s="922" t="s">
        <v>687</v>
      </c>
      <c r="C47" s="1052" t="s">
        <v>688</v>
      </c>
      <c r="D47" s="922" t="s">
        <v>689</v>
      </c>
      <c r="E47" s="993" t="s">
        <v>690</v>
      </c>
      <c r="F47" s="994"/>
      <c r="G47" s="679"/>
      <c r="I47" s="1318" t="s">
        <v>814</v>
      </c>
      <c r="J47" s="1319" t="s">
        <v>4320</v>
      </c>
      <c r="K47" s="1320" t="s">
        <v>815</v>
      </c>
      <c r="L47" s="1321">
        <f ca="1">INDIRECT("'数据-取费表'!d"&amp;$G$1)</f>
        <v>40</v>
      </c>
      <c r="M47" s="1285" t="str">
        <f>IF(ISNUMBER(FIND("住宅",C1)),"住宅","非住宅")</f>
        <v>非住宅</v>
      </c>
      <c r="O47" s="1322" t="s">
        <v>403</v>
      </c>
      <c r="P47" s="1323" t="s">
        <v>816</v>
      </c>
      <c r="Q47" s="1324">
        <f ca="1">C40+J29</f>
        <v>98026</v>
      </c>
      <c r="R47" s="1324" t="s">
        <v>817</v>
      </c>
    </row>
    <row r="48" spans="1:18" s="1289" customFormat="1" ht="28.5" thickBot="1">
      <c r="A48" s="1045" t="s">
        <v>438</v>
      </c>
      <c r="B48" s="290" t="s">
        <v>691</v>
      </c>
      <c r="C48" s="1265">
        <f ca="1">C49+C53+C55</f>
        <v>0</v>
      </c>
      <c r="D48" s="1047"/>
      <c r="E48" s="1048"/>
      <c r="F48" s="906"/>
      <c r="G48" s="679"/>
      <c r="H48" s="680"/>
      <c r="I48" s="1325" t="s">
        <v>818</v>
      </c>
      <c r="J48" s="1326" t="s">
        <v>4321</v>
      </c>
      <c r="K48" s="1327" t="s">
        <v>819</v>
      </c>
      <c r="L48" s="1328">
        <f ca="1">INDIRECT("'数据-取费表'!f"&amp;$G$1)</f>
        <v>32.15</v>
      </c>
      <c r="O48" s="1322" t="s">
        <v>404</v>
      </c>
      <c r="P48" s="1323" t="s">
        <v>820</v>
      </c>
      <c r="Q48" s="1324">
        <f ca="1">J60</f>
        <v>2510</v>
      </c>
      <c r="R48" s="1324" t="s">
        <v>821</v>
      </c>
    </row>
    <row r="49" spans="1:18" s="1289" customFormat="1" ht="13.5" thickBot="1">
      <c r="A49" s="919" t="s">
        <v>439</v>
      </c>
      <c r="B49" s="1276" t="s">
        <v>778</v>
      </c>
      <c r="C49" s="1049">
        <f ca="1">ROUND(F49*F51*F50*(1-F52)/10000,0)</f>
        <v>0</v>
      </c>
      <c r="D49" s="990" t="s">
        <v>2105</v>
      </c>
      <c r="E49" s="1277" t="s">
        <v>779</v>
      </c>
      <c r="F49" s="995"/>
      <c r="H49" s="680"/>
      <c r="I49" s="1325" t="s">
        <v>822</v>
      </c>
      <c r="J49" s="1329">
        <f>'数据-取费表'!N18</f>
        <v>2021</v>
      </c>
      <c r="K49" s="1327" t="s">
        <v>823</v>
      </c>
      <c r="L49" s="1330"/>
      <c r="O49" s="1331" t="s">
        <v>405</v>
      </c>
      <c r="P49" s="1323" t="s">
        <v>824</v>
      </c>
      <c r="Q49" s="1324">
        <f ca="1">C29</f>
        <v>61999</v>
      </c>
      <c r="R49" s="1324" t="s">
        <v>817</v>
      </c>
    </row>
    <row r="50" spans="1:18" s="1289" customFormat="1" ht="13.5" thickBot="1">
      <c r="A50" s="920"/>
      <c r="B50" s="923"/>
      <c r="C50" s="1053"/>
      <c r="D50" s="897"/>
      <c r="E50" s="991" t="s">
        <v>696</v>
      </c>
      <c r="F50" s="992">
        <f ca="1">F7</f>
        <v>68049.77999999997</v>
      </c>
      <c r="H50" s="680"/>
      <c r="I50" s="1325" t="s">
        <v>825</v>
      </c>
      <c r="J50" s="1332">
        <f>SUMPRODUCT((I63:I65=J47)*(J62:L62=J48)*(J63:L65))</f>
        <v>60</v>
      </c>
      <c r="K50" s="1327" t="s">
        <v>826</v>
      </c>
      <c r="L50" s="1330"/>
      <c r="M50" s="1333"/>
      <c r="O50" s="1331" t="s">
        <v>406</v>
      </c>
      <c r="P50" s="1323" t="s">
        <v>827</v>
      </c>
      <c r="Q50" s="1334">
        <f ca="1">J58</f>
        <v>0.41399999999999998</v>
      </c>
      <c r="R50" s="1324"/>
    </row>
    <row r="51" spans="1:18" s="1289" customFormat="1" ht="13.5" thickBot="1">
      <c r="A51" s="921"/>
      <c r="B51" s="923"/>
      <c r="C51" s="924"/>
      <c r="D51" s="897"/>
      <c r="E51" s="925" t="s">
        <v>697</v>
      </c>
      <c r="F51" s="293">
        <f ca="1">F8</f>
        <v>365</v>
      </c>
      <c r="I51" s="1335" t="s">
        <v>828</v>
      </c>
      <c r="J51" s="1328">
        <f>IF(J49="",J50,J49+J50-YEAR('数据-取费表'!B2))</f>
        <v>57</v>
      </c>
      <c r="K51" s="1336" t="s">
        <v>829</v>
      </c>
      <c r="L51" s="1337">
        <f ca="1">ROUND(-PV(INDIRECT("'数据-取费表'!h"&amp;$G$1),J51,(C39-C13*C76),0),0)</f>
        <v>47494</v>
      </c>
      <c r="M51" s="1338"/>
      <c r="O51" s="1331" t="s">
        <v>407</v>
      </c>
      <c r="P51" s="1323" t="s">
        <v>830</v>
      </c>
      <c r="Q51" s="1334">
        <f>J52</f>
        <v>7.4999999999999997E-2</v>
      </c>
      <c r="R51" s="1324"/>
    </row>
    <row r="52" spans="1:18" s="1289" customFormat="1" ht="13.5" thickBot="1">
      <c r="A52" s="921"/>
      <c r="B52" s="923"/>
      <c r="C52" s="924"/>
      <c r="D52" s="897"/>
      <c r="E52" s="925" t="s">
        <v>698</v>
      </c>
      <c r="F52" s="989"/>
      <c r="I52" s="1339" t="s">
        <v>831</v>
      </c>
      <c r="J52" s="1340">
        <v>7.4999999999999997E-2</v>
      </c>
      <c r="K52" s="1339" t="s">
        <v>832</v>
      </c>
      <c r="L52" s="1340"/>
      <c r="O52" s="1331" t="s">
        <v>408</v>
      </c>
      <c r="P52" s="1323" t="s">
        <v>833</v>
      </c>
      <c r="Q52" s="1324">
        <f ca="1">J53</f>
        <v>32.15</v>
      </c>
      <c r="R52" s="1324" t="s">
        <v>834</v>
      </c>
    </row>
    <row r="53" spans="1:18" s="1289" customFormat="1" ht="24.75" thickBot="1">
      <c r="A53" s="1077" t="s">
        <v>440</v>
      </c>
      <c r="B53" s="1278" t="s">
        <v>699</v>
      </c>
      <c r="C53" s="306">
        <f ca="1">ROUND(IF(F53="押一",C49/12*F11,IF(F53="押二",C49/12*2*F11,IF(F53="押三",C49/12*3*F11,C54*F11))),0)</f>
        <v>0</v>
      </c>
      <c r="D53" s="148" t="s">
        <v>2111</v>
      </c>
      <c r="E53" s="303" t="s">
        <v>700</v>
      </c>
      <c r="F53" s="1051"/>
      <c r="I53" s="1341" t="s">
        <v>835</v>
      </c>
      <c r="J53" s="2003">
        <f ca="1">IF(M47="住宅",IF(D1="——",MAX(J51,L48),MAX(J51,L48-'数据-取费表'!B24)),IF(D1="——",MIN(J51,L48),MIN(J51,L48-'数据-取费表'!B24)))</f>
        <v>32.15</v>
      </c>
      <c r="K53" s="3414" t="s">
        <v>836</v>
      </c>
      <c r="L53" s="3415"/>
      <c r="O53" s="1322" t="s">
        <v>409</v>
      </c>
      <c r="P53" s="1323" t="s">
        <v>837</v>
      </c>
      <c r="Q53" s="1324">
        <f ca="1">Q47+Q48</f>
        <v>100536</v>
      </c>
      <c r="R53" s="1324" t="s">
        <v>410</v>
      </c>
    </row>
    <row r="54" spans="1:18" s="1289" customFormat="1" ht="13.5" thickBot="1">
      <c r="A54" s="1078"/>
      <c r="B54" s="1272" t="s">
        <v>678</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838</v>
      </c>
      <c r="P54" s="1286"/>
      <c r="Q54" s="1286"/>
      <c r="R54" s="1286"/>
    </row>
    <row r="55" spans="1:18" s="1289" customFormat="1" ht="13.5" thickBot="1">
      <c r="A55" s="1018" t="s">
        <v>437</v>
      </c>
      <c r="B55" s="1274" t="s">
        <v>702</v>
      </c>
      <c r="C55" s="1019"/>
      <c r="D55" s="148"/>
      <c r="E55" s="1279"/>
      <c r="F55" s="1342"/>
      <c r="I55" s="1345" t="s">
        <v>839</v>
      </c>
      <c r="J55" s="1346">
        <f ca="1">ROUND(IF(J47="钢混",J57/J50,1-(1-2%)*(J50-J57)/J50),3)</f>
        <v>0.41399999999999998</v>
      </c>
      <c r="K55" s="1347" t="s">
        <v>840</v>
      </c>
      <c r="L55" s="1348"/>
      <c r="O55" s="1315" t="s">
        <v>810</v>
      </c>
      <c r="P55" s="1316" t="s">
        <v>811</v>
      </c>
      <c r="Q55" s="1317" t="s">
        <v>812</v>
      </c>
      <c r="R55" s="1317" t="s">
        <v>813</v>
      </c>
    </row>
    <row r="56" spans="1:18" s="1289" customFormat="1" ht="25.5" thickTop="1" thickBot="1">
      <c r="A56" s="901">
        <v>2</v>
      </c>
      <c r="B56" s="902" t="s">
        <v>703</v>
      </c>
      <c r="C56" s="222">
        <f ca="1">C13</f>
        <v>58899</v>
      </c>
      <c r="D56" s="1349"/>
      <c r="E56" s="1350"/>
      <c r="F56" s="1342"/>
      <c r="I56" s="1351" t="s">
        <v>841</v>
      </c>
      <c r="J56" s="1352" t="s">
        <v>3393</v>
      </c>
      <c r="K56" s="1325" t="s">
        <v>842</v>
      </c>
      <c r="L56" s="1328" t="str">
        <f ca="1">IF(L48&lt;J51,"——",L48-J53)</f>
        <v>——</v>
      </c>
      <c r="O56" s="1322" t="s">
        <v>403</v>
      </c>
      <c r="P56" s="1323" t="s">
        <v>816</v>
      </c>
      <c r="Q56" s="1324">
        <f ca="1">C40+J29</f>
        <v>98026</v>
      </c>
      <c r="R56" s="1324" t="s">
        <v>817</v>
      </c>
    </row>
    <row r="57" spans="1:18" s="1289" customFormat="1" ht="24.75" thickBot="1">
      <c r="A57" s="1353"/>
      <c r="B57" s="894" t="s">
        <v>766</v>
      </c>
      <c r="C57" s="228">
        <f ca="1">C29</f>
        <v>61999</v>
      </c>
      <c r="D57" s="1354"/>
      <c r="E57" s="1355"/>
      <c r="F57" s="1356"/>
      <c r="I57" s="1357" t="s">
        <v>843</v>
      </c>
      <c r="J57" s="1358">
        <f ca="1">IF(OR(M47="住宅",J51&lt;L48,J56="是"),"——",J51-L48)</f>
        <v>24.85</v>
      </c>
      <c r="K57" s="1325" t="s">
        <v>844</v>
      </c>
      <c r="L57" s="1328" t="str">
        <f ca="1">IF(L48&lt;J51,"——",IF(L55="比较法",L49,IF(L55="基准地价",L50,L51)))</f>
        <v>——</v>
      </c>
      <c r="O57" s="1322" t="s">
        <v>404</v>
      </c>
      <c r="P57" s="1323" t="s">
        <v>845</v>
      </c>
      <c r="Q57" s="1324">
        <f ca="1">L60</f>
        <v>0</v>
      </c>
      <c r="R57" s="1324" t="s">
        <v>846</v>
      </c>
    </row>
    <row r="58" spans="1:18" s="1289" customFormat="1" ht="24.75" thickBot="1">
      <c r="A58" s="305" t="s">
        <v>393</v>
      </c>
      <c r="B58" s="902" t="s">
        <v>713</v>
      </c>
      <c r="C58" s="306">
        <f ca="1">ROUND(C59+C64+C65+C66,0)</f>
        <v>371</v>
      </c>
      <c r="D58" s="904" t="s">
        <v>714</v>
      </c>
      <c r="E58" s="905"/>
      <c r="F58" s="906"/>
      <c r="I58" s="1357" t="s">
        <v>847</v>
      </c>
      <c r="J58" s="1359">
        <f ca="1">IF(J55&lt;0.4,0.4,J55)</f>
        <v>0.41399999999999998</v>
      </c>
      <c r="K58" s="1336" t="s">
        <v>848</v>
      </c>
      <c r="L58" s="1328" t="e">
        <f ca="1">ROUND(POWER(1+L52,L47-L48)*(POWER(1+L52,L48)-1)/(POWER(1+L52,L47)-1),4)</f>
        <v>#DIV/0!</v>
      </c>
      <c r="O58" s="1331" t="s">
        <v>405</v>
      </c>
      <c r="P58" s="1323" t="s">
        <v>849</v>
      </c>
      <c r="Q58" s="1324">
        <f>IF(L55="比较法",L49,IF(L55="基准地价",L50,0))</f>
        <v>0</v>
      </c>
      <c r="R58" s="1324" t="s">
        <v>817</v>
      </c>
    </row>
    <row r="59" spans="1:18" s="1289" customFormat="1" ht="24.75" thickBot="1">
      <c r="A59" s="926" t="s">
        <v>398</v>
      </c>
      <c r="B59" s="894" t="s">
        <v>718</v>
      </c>
      <c r="C59" s="2137">
        <f ca="1">ROUND(IF(AND(项目基本情况!B11="自然人",项目基本情况!B10="北京市"),C49*F59/(1+'数据-取费表'!C42),C60+C61+C62),0)</f>
        <v>2</v>
      </c>
      <c r="D59" s="907" t="s">
        <v>719</v>
      </c>
      <c r="E59" s="908" t="s">
        <v>720</v>
      </c>
      <c r="F59" s="2136" t="str">
        <f>IF(项目基本情况!B11="企业","——",IF('数据-取费表'!B10="住宅",IF(F49*F50*F51/12/(1+'数据-取费表'!F30)&gt;100000,4%,2.5%),IF(F49*F50*F51/12/(1+'数据-取费表'!F30)&gt;100000,12%,7%)))</f>
        <v>——</v>
      </c>
      <c r="I59" s="1357" t="s">
        <v>850</v>
      </c>
      <c r="J59" s="1358">
        <f ca="1">IF(OR(M47="住宅",J51&lt;L48,J56="是"),"——",ROUND(C29*J58,0))</f>
        <v>25668</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851</v>
      </c>
      <c r="Q59" s="1334">
        <f>L52</f>
        <v>0</v>
      </c>
      <c r="R59" s="1324"/>
    </row>
    <row r="60" spans="1:18" s="1289" customFormat="1" ht="16.5" thickBot="1">
      <c r="A60" s="926" t="s">
        <v>397</v>
      </c>
      <c r="B60" s="894" t="s">
        <v>722</v>
      </c>
      <c r="C60" s="21">
        <f ca="1">IF(项目基本情况!B11="自然人","——",ROUND(C48*F60/(1+'数据-取费表'!C42),2))</f>
        <v>0</v>
      </c>
      <c r="D60" s="908" t="s">
        <v>723</v>
      </c>
      <c r="E60" s="894" t="s">
        <v>711</v>
      </c>
      <c r="F60" s="320">
        <f t="shared" ref="F60:F66" si="0">F32</f>
        <v>5.6000000000000001E-2</v>
      </c>
      <c r="I60" s="1360" t="s">
        <v>852</v>
      </c>
      <c r="J60" s="1361">
        <f ca="1">IF(OR(M47="住宅",J51&lt;L48,J56="是"),"0",ROUND(J59/(1+J52)^J53,0))</f>
        <v>2510</v>
      </c>
      <c r="K60" s="1362" t="s">
        <v>853</v>
      </c>
      <c r="L60" s="1361">
        <f ca="1">IF(OR(M47="住宅",L48&lt;J51),0,ROUND(L57*(L58/L59-1),0))</f>
        <v>0</v>
      </c>
      <c r="O60" s="1331" t="s">
        <v>407</v>
      </c>
      <c r="P60" s="1323" t="s">
        <v>854</v>
      </c>
      <c r="Q60" s="1324" t="e">
        <f ca="1">L58</f>
        <v>#DIV/0!</v>
      </c>
      <c r="R60" s="1324" t="s">
        <v>855</v>
      </c>
    </row>
    <row r="61" spans="1:18" s="1289" customFormat="1" ht="13.5" thickBot="1">
      <c r="A61" s="926" t="s">
        <v>780</v>
      </c>
      <c r="B61" s="894" t="s">
        <v>781</v>
      </c>
      <c r="C61" s="21">
        <f ca="1">IF(项目基本情况!B11="自然人","——",IF(D61="按租金收入计税",ROUND(C49*F61/(1+'数据-取费表'!C42),2),IF(D61="按房产原值计税",ROUND(C57*F61*0.7,2),INDIRECT("'数据-取费表'!Aj"&amp;$G$1))))</f>
        <v>0</v>
      </c>
      <c r="D61" s="1275" t="s">
        <v>3333</v>
      </c>
      <c r="E61" s="894" t="s">
        <v>782</v>
      </c>
      <c r="F61" s="312">
        <f t="shared" si="0"/>
        <v>0.12</v>
      </c>
      <c r="I61" s="1363"/>
      <c r="J61" s="1363"/>
      <c r="K61" s="1363"/>
      <c r="L61" s="1363"/>
      <c r="O61" s="1331" t="s">
        <v>408</v>
      </c>
      <c r="P61" s="1323" t="str">
        <f>K59</f>
        <v>建筑物剩余耐用年限下的土地年期修正系数Kn</v>
      </c>
      <c r="Q61" s="1324" t="e">
        <f ca="1">L59</f>
        <v>#DIV/0!</v>
      </c>
      <c r="R61" s="1324" t="s">
        <v>856</v>
      </c>
    </row>
    <row r="62" spans="1:18" s="1289" customFormat="1" ht="13.5" thickBot="1">
      <c r="A62" s="926" t="s">
        <v>783</v>
      </c>
      <c r="B62" s="893" t="s">
        <v>784</v>
      </c>
      <c r="C62" s="22">
        <f ca="1">IF(项目基本情况!B11="自然人","——",ROUND(F62*F63/10000,2))</f>
        <v>2.36</v>
      </c>
      <c r="D62" s="909" t="s">
        <v>785</v>
      </c>
      <c r="E62" s="894" t="s">
        <v>786</v>
      </c>
      <c r="F62" s="315">
        <f t="shared" si="0"/>
        <v>1.5</v>
      </c>
      <c r="I62" s="1364" t="s">
        <v>857</v>
      </c>
      <c r="J62" s="608" t="s">
        <v>858</v>
      </c>
      <c r="K62" s="608" t="s">
        <v>859</v>
      </c>
      <c r="L62" s="608" t="s">
        <v>860</v>
      </c>
      <c r="M62" s="1365" t="s">
        <v>861</v>
      </c>
      <c r="O62" s="1322" t="s">
        <v>409</v>
      </c>
      <c r="P62" s="1323" t="s">
        <v>862</v>
      </c>
      <c r="Q62" s="1324">
        <f ca="1">Q56+Q57</f>
        <v>98026</v>
      </c>
      <c r="R62" s="1324" t="s">
        <v>410</v>
      </c>
    </row>
    <row r="63" spans="1:18" s="1289" customFormat="1" ht="13.5" thickBot="1">
      <c r="A63" s="316"/>
      <c r="B63" s="900"/>
      <c r="C63" s="26"/>
      <c r="D63" s="910"/>
      <c r="E63" s="894" t="s">
        <v>787</v>
      </c>
      <c r="F63" s="293">
        <f t="shared" ca="1" si="0"/>
        <v>15742.02</v>
      </c>
      <c r="I63" s="1364" t="s">
        <v>863</v>
      </c>
      <c r="J63" s="608">
        <v>70</v>
      </c>
      <c r="K63" s="608">
        <v>50</v>
      </c>
      <c r="L63" s="608">
        <v>80</v>
      </c>
      <c r="M63" s="1366">
        <v>0.02</v>
      </c>
      <c r="O63" s="1307" t="s">
        <v>864</v>
      </c>
      <c r="P63" s="1286"/>
      <c r="Q63" s="1286"/>
      <c r="R63" s="1286"/>
    </row>
    <row r="64" spans="1:18" s="1289" customFormat="1" ht="13.5" thickBot="1">
      <c r="A64" s="926" t="s">
        <v>788</v>
      </c>
      <c r="B64" s="894" t="s">
        <v>789</v>
      </c>
      <c r="C64" s="21">
        <f ca="1">ROUND(C57*F64,2)</f>
        <v>310</v>
      </c>
      <c r="D64" s="908" t="s">
        <v>790</v>
      </c>
      <c r="E64" s="894" t="s">
        <v>782</v>
      </c>
      <c r="F64" s="318">
        <f t="shared" ca="1" si="0"/>
        <v>5.0000000000000001E-3</v>
      </c>
      <c r="I64" s="1364" t="s">
        <v>865</v>
      </c>
      <c r="J64" s="608">
        <v>50</v>
      </c>
      <c r="K64" s="608">
        <v>35</v>
      </c>
      <c r="L64" s="608">
        <v>60</v>
      </c>
      <c r="M64" s="1365">
        <v>0</v>
      </c>
      <c r="O64" s="1315" t="s">
        <v>810</v>
      </c>
      <c r="P64" s="1316" t="s">
        <v>811</v>
      </c>
      <c r="Q64" s="1317" t="s">
        <v>812</v>
      </c>
      <c r="R64" s="1317" t="s">
        <v>813</v>
      </c>
    </row>
    <row r="65" spans="1:18" s="1289" customFormat="1" ht="13.5" thickBot="1">
      <c r="A65" s="926" t="s">
        <v>791</v>
      </c>
      <c r="B65" s="894" t="s">
        <v>741</v>
      </c>
      <c r="C65" s="21">
        <f ca="1">ROUND(C56*F65,2)</f>
        <v>58.9</v>
      </c>
      <c r="D65" s="908" t="s">
        <v>742</v>
      </c>
      <c r="E65" s="894" t="s">
        <v>743</v>
      </c>
      <c r="F65" s="319">
        <f t="shared" ca="1" si="0"/>
        <v>1E-3</v>
      </c>
      <c r="I65" s="1364" t="s">
        <v>866</v>
      </c>
      <c r="J65" s="608">
        <v>40</v>
      </c>
      <c r="K65" s="608">
        <v>30</v>
      </c>
      <c r="L65" s="608">
        <v>50</v>
      </c>
      <c r="M65" s="1366">
        <v>0.02</v>
      </c>
      <c r="O65" s="1322" t="s">
        <v>403</v>
      </c>
      <c r="P65" s="1323" t="s">
        <v>867</v>
      </c>
      <c r="Q65" s="1324">
        <f ca="1">C40+J29</f>
        <v>98026</v>
      </c>
      <c r="R65" s="1324" t="s">
        <v>817</v>
      </c>
    </row>
    <row r="66" spans="1:18" s="1289" customFormat="1" ht="16.5" thickBot="1">
      <c r="A66" s="926" t="s">
        <v>792</v>
      </c>
      <c r="B66" s="894" t="s">
        <v>727</v>
      </c>
      <c r="C66" s="21">
        <f ca="1">ROUND(C48*F66,2)</f>
        <v>0</v>
      </c>
      <c r="D66" s="908" t="s">
        <v>793</v>
      </c>
      <c r="E66" s="894" t="s">
        <v>711</v>
      </c>
      <c r="F66" s="302">
        <f t="shared" ca="1" si="0"/>
        <v>1.4999999999999999E-2</v>
      </c>
      <c r="O66" s="1322" t="s">
        <v>404</v>
      </c>
      <c r="P66" s="1323" t="s">
        <v>845</v>
      </c>
      <c r="Q66" s="1324">
        <f ca="1">L60</f>
        <v>0</v>
      </c>
      <c r="R66" s="1324" t="s">
        <v>868</v>
      </c>
    </row>
    <row r="67" spans="1:18" s="1289" customFormat="1" ht="16.5" thickBot="1">
      <c r="A67" s="901" t="s">
        <v>394</v>
      </c>
      <c r="B67" s="911" t="s">
        <v>751</v>
      </c>
      <c r="C67" s="306">
        <f ca="1">C48-C58</f>
        <v>-371</v>
      </c>
      <c r="D67" s="907" t="s">
        <v>752</v>
      </c>
      <c r="E67" s="912"/>
      <c r="F67" s="913"/>
      <c r="O67" s="1331" t="s">
        <v>405</v>
      </c>
      <c r="P67" s="1323" t="s">
        <v>849</v>
      </c>
      <c r="Q67" s="1367">
        <f ca="1">L51</f>
        <v>47494</v>
      </c>
      <c r="R67" s="1324" t="s">
        <v>869</v>
      </c>
    </row>
    <row r="68" spans="1:18" s="1289" customFormat="1" ht="16.5" thickBot="1">
      <c r="A68" s="891" t="s">
        <v>395</v>
      </c>
      <c r="B68" s="892" t="s">
        <v>773</v>
      </c>
      <c r="C68" s="291">
        <f ca="1">ROUND(C67*(1-((1+F70)/(1+F68))^F69)/(F68-F70),0)</f>
        <v>-5234</v>
      </c>
      <c r="D68" s="909" t="s">
        <v>757</v>
      </c>
      <c r="E68" s="894" t="s">
        <v>758</v>
      </c>
      <c r="F68" s="302">
        <f ca="1">F40</f>
        <v>0.06</v>
      </c>
      <c r="O68" s="1331" t="s">
        <v>406</v>
      </c>
      <c r="P68" s="1368" t="s">
        <v>870</v>
      </c>
      <c r="Q68" s="1324">
        <f ca="1">ROUND(Q69-Q70*Q71,0)</f>
        <v>2532</v>
      </c>
      <c r="R68" s="1324" t="s">
        <v>414</v>
      </c>
    </row>
    <row r="69" spans="1:18" s="1289" customFormat="1" ht="13.5" thickBot="1">
      <c r="A69" s="895"/>
      <c r="B69" s="896"/>
      <c r="C69" s="296"/>
      <c r="D69" s="914" t="s">
        <v>761</v>
      </c>
      <c r="E69" s="894" t="s">
        <v>762</v>
      </c>
      <c r="F69" s="322">
        <f ca="1">F41</f>
        <v>32.15</v>
      </c>
      <c r="O69" s="1331" t="s">
        <v>411</v>
      </c>
      <c r="P69" s="1368" t="s">
        <v>871</v>
      </c>
      <c r="Q69" s="1324">
        <f ca="1">C39</f>
        <v>6949</v>
      </c>
      <c r="R69" s="1324" t="s">
        <v>817</v>
      </c>
    </row>
    <row r="70" spans="1:18" s="1289" customFormat="1" ht="13.5" thickBot="1">
      <c r="A70" s="898"/>
      <c r="B70" s="899"/>
      <c r="C70" s="300"/>
      <c r="D70" s="910"/>
      <c r="E70" s="894" t="s">
        <v>765</v>
      </c>
      <c r="F70" s="989"/>
      <c r="O70" s="1331" t="s">
        <v>412</v>
      </c>
      <c r="P70" s="1368" t="s">
        <v>872</v>
      </c>
      <c r="Q70" s="1324">
        <f ca="1">C13</f>
        <v>58899</v>
      </c>
      <c r="R70" s="1324" t="s">
        <v>817</v>
      </c>
    </row>
    <row r="71" spans="1:18" s="1289" customFormat="1" ht="13.5" thickBot="1">
      <c r="A71" s="915" t="s">
        <v>396</v>
      </c>
      <c r="B71" s="916" t="s">
        <v>775</v>
      </c>
      <c r="C71" s="325">
        <f ca="1">ROUND(C68*10000/F71,0)</f>
        <v>-769</v>
      </c>
      <c r="D71" s="917" t="s">
        <v>776</v>
      </c>
      <c r="E71" s="918" t="s">
        <v>777</v>
      </c>
      <c r="F71" s="328">
        <f ca="1">F43</f>
        <v>68049.77999999997</v>
      </c>
      <c r="O71" s="1331" t="s">
        <v>413</v>
      </c>
      <c r="P71" s="1368" t="s">
        <v>873</v>
      </c>
      <c r="Q71" s="1334">
        <f ca="1">C76</f>
        <v>7.4999999999999997E-2</v>
      </c>
      <c r="R71" s="1324"/>
    </row>
    <row r="72" spans="1:18" s="1289" customFormat="1" ht="13.5" thickBot="1">
      <c r="B72" s="683"/>
      <c r="C72" s="683"/>
      <c r="O72" s="1331" t="s">
        <v>407</v>
      </c>
      <c r="P72" s="1323" t="s">
        <v>851</v>
      </c>
      <c r="Q72" s="1334">
        <f>L52</f>
        <v>0</v>
      </c>
      <c r="R72" s="1324"/>
    </row>
    <row r="73" spans="1:18" ht="16.5" thickBot="1">
      <c r="A73" s="1289"/>
      <c r="B73" s="683"/>
      <c r="C73" s="683"/>
      <c r="D73" s="1289"/>
      <c r="E73" s="1289"/>
      <c r="F73" s="1289"/>
      <c r="O73" s="1331" t="s">
        <v>408</v>
      </c>
      <c r="P73" s="1323" t="s">
        <v>854</v>
      </c>
      <c r="Q73" s="1324" t="e">
        <f ca="1">L58</f>
        <v>#DIV/0!</v>
      </c>
      <c r="R73" s="1324" t="s">
        <v>855</v>
      </c>
    </row>
    <row r="74" spans="1:18" ht="13.5" thickBot="1">
      <c r="A74" s="1289"/>
      <c r="B74" s="263" t="s">
        <v>874</v>
      </c>
      <c r="C74" s="1370"/>
      <c r="D74" s="1289"/>
      <c r="E74" s="1289"/>
      <c r="F74" s="1289"/>
      <c r="O74" s="1331" t="s">
        <v>415</v>
      </c>
      <c r="P74" s="1323" t="str">
        <f>K59</f>
        <v>建筑物剩余耐用年限下的土地年期修正系数Kn</v>
      </c>
      <c r="Q74" s="1324" t="e">
        <f ca="1">L59</f>
        <v>#DIV/0!</v>
      </c>
      <c r="R74" s="1324" t="s">
        <v>856</v>
      </c>
    </row>
    <row r="75" spans="1:18" ht="13.5" thickBot="1">
      <c r="A75" s="1289"/>
      <c r="B75" s="329" t="s">
        <v>794</v>
      </c>
      <c r="C75" s="330">
        <f ca="1">ROUND(C13*C76,0)</f>
        <v>4417</v>
      </c>
      <c r="D75" s="1289"/>
      <c r="E75" s="1289"/>
      <c r="F75" s="1289"/>
      <c r="K75" s="1306"/>
      <c r="L75" s="1289"/>
      <c r="O75" s="1322" t="s">
        <v>409</v>
      </c>
      <c r="P75" s="1323" t="s">
        <v>837</v>
      </c>
      <c r="Q75" s="1324">
        <f ca="1">Q65+Q66</f>
        <v>98026</v>
      </c>
      <c r="R75" s="1324" t="s">
        <v>410</v>
      </c>
    </row>
    <row r="76" spans="1:18">
      <c r="B76" s="331" t="s">
        <v>795</v>
      </c>
      <c r="C76" s="332">
        <f ca="1">INDIRECT("'数据-取费表'!j"&amp;$G$1)</f>
        <v>7.4999999999999997E-2</v>
      </c>
      <c r="I76" s="1289"/>
      <c r="J76" s="1289"/>
      <c r="K76" s="1306"/>
      <c r="L76" s="1289"/>
    </row>
    <row r="77" spans="1:18">
      <c r="B77" s="333" t="s">
        <v>796</v>
      </c>
      <c r="C77" s="334"/>
      <c r="I77" s="1289"/>
      <c r="J77" s="1289"/>
      <c r="K77" s="1306"/>
      <c r="L77" s="1289"/>
    </row>
    <row r="78" spans="1:18">
      <c r="B78" s="260" t="s">
        <v>797</v>
      </c>
      <c r="C78" s="335"/>
    </row>
    <row r="79" spans="1:18">
      <c r="B79" s="329" t="s">
        <v>798</v>
      </c>
      <c r="C79" s="264">
        <f ca="1">1-C80</f>
        <v>0.36399999999999999</v>
      </c>
    </row>
    <row r="80" spans="1:18">
      <c r="B80" s="329" t="s">
        <v>799</v>
      </c>
      <c r="C80" s="264">
        <f ca="1">ROUND(C75/C39,3)</f>
        <v>0.63600000000000001</v>
      </c>
    </row>
    <row r="81" spans="2:3">
      <c r="B81" s="260" t="s">
        <v>800</v>
      </c>
      <c r="C81" s="228"/>
    </row>
    <row r="82" spans="2:3">
      <c r="B82" s="263" t="s">
        <v>801</v>
      </c>
      <c r="C82" s="265">
        <f ca="1">1-C83</f>
        <v>0.39900000000000002</v>
      </c>
    </row>
    <row r="83" spans="2:3">
      <c r="B83" s="263" t="s">
        <v>802</v>
      </c>
      <c r="C83" s="264">
        <f ca="1">ROUND(C13/C40,3)</f>
        <v>0.60099999999999998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876</v>
      </c>
      <c r="B1" s="661"/>
      <c r="C1" s="1284"/>
      <c r="D1" s="1268" t="s">
        <v>43</v>
      </c>
      <c r="E1" s="1269" t="s">
        <v>677</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877</v>
      </c>
      <c r="B2" s="3121" t="e">
        <f ca="1">ROUND(D2/10000,4)</f>
        <v>#DIV/0!</v>
      </c>
      <c r="C2" s="1286" t="s">
        <v>878</v>
      </c>
      <c r="D2" s="1372" t="e">
        <f ca="1">C40+J29+L46</f>
        <v>#DIV/0!</v>
      </c>
      <c r="E2" s="1292" t="s">
        <v>879</v>
      </c>
      <c r="F2" s="1293"/>
      <c r="G2" s="2476"/>
      <c r="H2" s="2466"/>
      <c r="I2" s="2466"/>
      <c r="J2" s="2466"/>
      <c r="K2" s="2467"/>
      <c r="L2" s="2466"/>
      <c r="M2" s="2466"/>
    </row>
    <row r="3" spans="1:37" ht="18" customHeight="1" thickBot="1">
      <c r="A3" s="1294" t="s">
        <v>880</v>
      </c>
      <c r="B3" s="1295">
        <f ca="1">IF(ISERROR(D2/F43),0,ROUND(D2/F43,0))</f>
        <v>0</v>
      </c>
      <c r="C3" s="1286" t="s">
        <v>881</v>
      </c>
      <c r="D3" s="1286"/>
      <c r="E3" s="1292"/>
      <c r="F3" s="1293"/>
      <c r="G3" s="2476"/>
      <c r="H3" s="647" t="s">
        <v>875</v>
      </c>
      <c r="I3" s="1287"/>
      <c r="J3" s="1287"/>
      <c r="K3" s="1288"/>
      <c r="L3" s="1287"/>
      <c r="M3" s="1287"/>
    </row>
    <row r="4" spans="1:37" ht="18" customHeight="1">
      <c r="A4" s="285" t="s">
        <v>882</v>
      </c>
      <c r="B4" s="286" t="s">
        <v>883</v>
      </c>
      <c r="C4" s="286" t="s">
        <v>884</v>
      </c>
      <c r="D4" s="286" t="s">
        <v>885</v>
      </c>
      <c r="E4" s="287" t="s">
        <v>886</v>
      </c>
      <c r="F4" s="288"/>
      <c r="G4" s="1289"/>
      <c r="H4" s="285" t="s">
        <v>882</v>
      </c>
      <c r="I4" s="286" t="s">
        <v>883</v>
      </c>
      <c r="J4" s="286" t="s">
        <v>884</v>
      </c>
      <c r="K4" s="286" t="s">
        <v>885</v>
      </c>
      <c r="L4" s="287" t="s">
        <v>886</v>
      </c>
      <c r="M4" s="288"/>
    </row>
    <row r="5" spans="1:37" ht="18" customHeight="1">
      <c r="A5" s="289">
        <v>1</v>
      </c>
      <c r="B5" s="290" t="s">
        <v>887</v>
      </c>
      <c r="C5" s="1005">
        <f ca="1">C6+C10+C12</f>
        <v>0</v>
      </c>
      <c r="D5" s="1270" t="s">
        <v>888</v>
      </c>
      <c r="E5" s="1006"/>
      <c r="F5" s="1007"/>
      <c r="G5" s="1289"/>
      <c r="H5" s="289">
        <v>1</v>
      </c>
      <c r="I5" s="290" t="s">
        <v>887</v>
      </c>
      <c r="J5" s="1005">
        <f ca="1">J6+J10+J12</f>
        <v>0</v>
      </c>
      <c r="K5" s="1270" t="s">
        <v>888</v>
      </c>
      <c r="L5" s="1006"/>
      <c r="M5" s="1007"/>
    </row>
    <row r="6" spans="1:37" ht="18" customHeight="1">
      <c r="A6" s="1004" t="s">
        <v>398</v>
      </c>
      <c r="B6" s="3416" t="s">
        <v>693</v>
      </c>
      <c r="C6" s="1009">
        <f ca="1">ROUND(F6*F8*F7*(1-F9),0)</f>
        <v>0</v>
      </c>
      <c r="D6" s="145" t="s">
        <v>2101</v>
      </c>
      <c r="E6" s="292" t="s">
        <v>695</v>
      </c>
      <c r="F6" s="293">
        <f ca="1">INDIRECT("'数据-取费表'!u"&amp;$G$1)</f>
        <v>0</v>
      </c>
      <c r="G6" s="1289"/>
      <c r="H6" s="1004" t="s">
        <v>398</v>
      </c>
      <c r="I6" s="3416" t="s">
        <v>693</v>
      </c>
      <c r="J6" s="291">
        <f ca="1">ROUND(M6*M8*M7*(1-M9),0)</f>
        <v>0</v>
      </c>
      <c r="K6" s="1281" t="s">
        <v>2102</v>
      </c>
      <c r="L6" s="292" t="s">
        <v>695</v>
      </c>
      <c r="M6" s="293">
        <f ca="1">INDIRECT("'数据-取费表'!z"&amp;$G$1)</f>
        <v>0</v>
      </c>
    </row>
    <row r="7" spans="1:37" ht="18" customHeight="1">
      <c r="A7" s="1008"/>
      <c r="B7" s="3417"/>
      <c r="C7" s="1010"/>
      <c r="D7" s="297"/>
      <c r="E7" s="1011" t="s">
        <v>696</v>
      </c>
      <c r="F7" s="293">
        <f ca="1">IF(INDIRECT("'数据-取费表'!ah"&amp;$G$1)="",INDIRECT("'数据-取费表'!k"&amp;$G$1),INDIRECT("'数据-取费表'!ah"&amp;$G$1))</f>
        <v>0</v>
      </c>
      <c r="G7" s="1289"/>
      <c r="H7" s="294"/>
      <c r="I7" s="3417"/>
      <c r="J7" s="296"/>
      <c r="K7" s="297"/>
      <c r="L7" s="292" t="s">
        <v>696</v>
      </c>
      <c r="M7" s="293">
        <f ca="1">F7</f>
        <v>0</v>
      </c>
    </row>
    <row r="8" spans="1:37" ht="18" customHeight="1">
      <c r="A8" s="294"/>
      <c r="B8" s="3417"/>
      <c r="C8" s="296"/>
      <c r="D8" s="297"/>
      <c r="E8" s="292" t="s">
        <v>697</v>
      </c>
      <c r="F8" s="293">
        <f ca="1">INDIRECT("'数据-取费表'!ai"&amp;$G$1)</f>
        <v>0</v>
      </c>
      <c r="G8" s="1289"/>
      <c r="H8" s="294"/>
      <c r="I8" s="3417"/>
      <c r="J8" s="296"/>
      <c r="K8" s="297"/>
      <c r="L8" s="292" t="s">
        <v>697</v>
      </c>
      <c r="M8" s="293">
        <f ca="1">INDIRECT("'数据-取费表'!ai"&amp;$G$1)</f>
        <v>0</v>
      </c>
    </row>
    <row r="9" spans="1:37" ht="18" customHeight="1">
      <c r="A9" s="294"/>
      <c r="B9" s="3418"/>
      <c r="C9" s="296"/>
      <c r="D9" s="297"/>
      <c r="E9" s="292" t="s">
        <v>698</v>
      </c>
      <c r="F9" s="302">
        <f ca="1">INDIRECT("'数据-取费表'!w"&amp;$G$1)</f>
        <v>0</v>
      </c>
      <c r="G9" s="1289"/>
      <c r="H9" s="294"/>
      <c r="I9" s="3418"/>
      <c r="J9" s="296"/>
      <c r="K9" s="297"/>
      <c r="L9" s="303" t="s">
        <v>698</v>
      </c>
      <c r="M9" s="304">
        <f ca="1">INDIRECT("'数据-取费表'!ab"&amp;$G$1)</f>
        <v>0</v>
      </c>
    </row>
    <row r="10" spans="1:37" ht="18" customHeight="1">
      <c r="A10" s="1004" t="s">
        <v>402</v>
      </c>
      <c r="B10" s="1271" t="s">
        <v>699</v>
      </c>
      <c r="C10" s="306">
        <f ca="1">ROUND(IF(F10="押一",C6/12*F11,IF(F10="押二",C6/12*2*F11,IF(F10="押三",C6/12*3*F11,C11*F11))),0)</f>
        <v>0</v>
      </c>
      <c r="D10" s="148" t="s">
        <v>2111</v>
      </c>
      <c r="E10" s="303" t="s">
        <v>700</v>
      </c>
      <c r="F10" s="1051"/>
      <c r="G10" s="1289"/>
      <c r="H10" s="1004" t="s">
        <v>402</v>
      </c>
      <c r="I10" s="1271" t="s">
        <v>699</v>
      </c>
      <c r="J10" s="291">
        <f ca="1">ROUND(IF(M10="押一",J6/12*M11,IF(M10="押二",J6/12*2*M11,IF(M10="押三",J6/12*3*M11,J11*M11))),0)</f>
        <v>0</v>
      </c>
      <c r="K10" s="1282" t="s">
        <v>2113</v>
      </c>
      <c r="L10" s="303" t="s">
        <v>700</v>
      </c>
      <c r="M10" s="1051"/>
    </row>
    <row r="11" spans="1:37" ht="18" customHeight="1">
      <c r="A11" s="298"/>
      <c r="B11" s="1272" t="s">
        <v>889</v>
      </c>
      <c r="C11" s="903"/>
      <c r="D11" s="297"/>
      <c r="E11" s="303" t="s">
        <v>701</v>
      </c>
      <c r="F11" s="304">
        <f ca="1">'数据-取费表'!B39</f>
        <v>1.4999999999999999E-2</v>
      </c>
      <c r="G11" s="1289"/>
      <c r="H11" s="1012"/>
      <c r="I11" s="1272" t="s">
        <v>890</v>
      </c>
      <c r="J11" s="903"/>
      <c r="K11" s="644"/>
      <c r="L11" s="303" t="s">
        <v>701</v>
      </c>
      <c r="M11" s="807">
        <f ca="1">'数据-取费表'!B39</f>
        <v>1.4999999999999999E-2</v>
      </c>
    </row>
    <row r="12" spans="1:37" ht="18" customHeight="1" thickBot="1">
      <c r="A12" s="1018" t="s">
        <v>437</v>
      </c>
      <c r="B12" s="1274" t="s">
        <v>702</v>
      </c>
      <c r="C12" s="1019"/>
      <c r="D12" s="1020"/>
      <c r="E12" s="1025"/>
      <c r="F12" s="1021"/>
      <c r="G12" s="1289"/>
      <c r="H12" s="1018" t="s">
        <v>437</v>
      </c>
      <c r="I12" s="1274" t="s">
        <v>702</v>
      </c>
      <c r="J12" s="1019"/>
      <c r="K12" s="1033"/>
      <c r="L12" s="1025"/>
      <c r="M12" s="1034"/>
    </row>
    <row r="13" spans="1:37" ht="18" customHeight="1" thickTop="1">
      <c r="A13" s="1014">
        <v>2</v>
      </c>
      <c r="B13" s="1015" t="s">
        <v>703</v>
      </c>
      <c r="C13" s="300">
        <f ca="1">ROUND(C29*F13,0)</f>
        <v>0</v>
      </c>
      <c r="D13" s="1016" t="s">
        <v>704</v>
      </c>
      <c r="E13" s="1016" t="s">
        <v>705</v>
      </c>
      <c r="F13" s="1017">
        <f ca="1">INDIRECT("'数据-取费表'!y"&amp;$G$1)</f>
        <v>0</v>
      </c>
      <c r="G13" s="1289"/>
      <c r="H13" s="1014">
        <v>2</v>
      </c>
      <c r="I13" s="1015" t="s">
        <v>703</v>
      </c>
      <c r="J13" s="1003">
        <f ca="1">ROUND(J14*J15,0)</f>
        <v>0</v>
      </c>
      <c r="K13" s="1022" t="s">
        <v>704</v>
      </c>
      <c r="L13" s="1296"/>
      <c r="M13" s="1297"/>
    </row>
    <row r="14" spans="1:37" ht="18" customHeight="1">
      <c r="A14" s="926" t="s">
        <v>397</v>
      </c>
      <c r="B14" s="292" t="s">
        <v>706</v>
      </c>
      <c r="C14" s="308">
        <f ca="1">ROUND(INDIRECT("'数据-取费表'!l"&amp;$G$1)*F43+'数据-取费表'!L14*INDIRECT("'数据-取费表'!S"&amp;$G$1),0)</f>
        <v>0</v>
      </c>
      <c r="D14" s="1254" t="s">
        <v>707</v>
      </c>
      <c r="E14" s="1252"/>
      <c r="F14" s="309"/>
      <c r="G14" s="1289"/>
      <c r="H14" s="926" t="s">
        <v>398</v>
      </c>
      <c r="I14" s="292" t="s">
        <v>708</v>
      </c>
      <c r="J14" s="21">
        <f ca="1">C29</f>
        <v>0</v>
      </c>
      <c r="K14" s="12"/>
      <c r="L14" s="757"/>
      <c r="M14" s="758"/>
    </row>
    <row r="15" spans="1:37" s="1301" customFormat="1" ht="18" customHeight="1" thickBot="1">
      <c r="A15" s="926" t="s">
        <v>399</v>
      </c>
      <c r="B15" s="292" t="s">
        <v>709</v>
      </c>
      <c r="C15" s="21">
        <f ca="1">ROUND(C14*F15,0)</f>
        <v>0</v>
      </c>
      <c r="D15" s="310" t="s">
        <v>710</v>
      </c>
      <c r="E15" s="310" t="s">
        <v>711</v>
      </c>
      <c r="F15" s="311">
        <f>'数据-取费表'!B33</f>
        <v>0.05</v>
      </c>
      <c r="G15" s="1300"/>
      <c r="H15" s="1024" t="s">
        <v>402</v>
      </c>
      <c r="I15" s="1025" t="s">
        <v>705</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679</v>
      </c>
      <c r="B16" s="292" t="s">
        <v>712</v>
      </c>
      <c r="C16" s="21">
        <f ca="1">ROUND(INDIRECT("'数据-取费表'!l"&amp;$G$1)*F43*F16,0)</f>
        <v>0</v>
      </c>
      <c r="D16" s="292" t="s">
        <v>710</v>
      </c>
      <c r="E16" s="292" t="s">
        <v>711</v>
      </c>
      <c r="F16" s="312">
        <f ca="1">IF(INDIRECT("'数据-取费表'!c"&amp;$G$1)="住宅",'数据-取费表'!B34,0)</f>
        <v>0</v>
      </c>
      <c r="G16" s="1289"/>
      <c r="H16" s="1014" t="s">
        <v>393</v>
      </c>
      <c r="I16" s="1015" t="s">
        <v>713</v>
      </c>
      <c r="J16" s="300">
        <f ca="1">ROUND(J17+J22+J23+J24,0)</f>
        <v>0</v>
      </c>
      <c r="K16" s="1022" t="s">
        <v>714</v>
      </c>
      <c r="L16" s="1023"/>
      <c r="M16" s="1007"/>
    </row>
    <row r="17" spans="1:37" s="1301" customFormat="1" ht="18" customHeight="1">
      <c r="A17" s="926" t="s">
        <v>680</v>
      </c>
      <c r="B17" s="292" t="s">
        <v>715</v>
      </c>
      <c r="C17" s="21">
        <f ca="1">ROUND(F17*(F43+INDIRECT("'数据-取费表'!S"&amp;$G$1)),0)</f>
        <v>0</v>
      </c>
      <c r="D17" s="292" t="s">
        <v>716</v>
      </c>
      <c r="E17" s="292" t="s">
        <v>717</v>
      </c>
      <c r="F17" s="23">
        <f>'数据-取费表'!B35</f>
        <v>200</v>
      </c>
      <c r="G17" s="1300"/>
      <c r="H17" s="926" t="s">
        <v>398</v>
      </c>
      <c r="I17" s="292" t="s">
        <v>718</v>
      </c>
      <c r="J17" s="2137">
        <f ca="1">ROUND(IF(AND(项目基本情况!B11="自然人",项目基本情况!B10="北京市"),J6*M17/(1+'数据-取费表'!C42),J18+J19+J20),0)</f>
        <v>0</v>
      </c>
      <c r="K17" s="1254" t="s">
        <v>719</v>
      </c>
      <c r="L17" s="1253" t="s">
        <v>720</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681</v>
      </c>
      <c r="B18" s="292" t="s">
        <v>721</v>
      </c>
      <c r="C18" s="21">
        <f ca="1">ROUND(C14*F18,0)</f>
        <v>0</v>
      </c>
      <c r="D18" s="292" t="s">
        <v>710</v>
      </c>
      <c r="E18" s="292" t="s">
        <v>711</v>
      </c>
      <c r="F18" s="312">
        <f>'数据-取费表'!B36</f>
        <v>0.02</v>
      </c>
      <c r="G18" s="1300"/>
      <c r="H18" s="926" t="s">
        <v>397</v>
      </c>
      <c r="I18" s="292" t="s">
        <v>722</v>
      </c>
      <c r="J18" s="21">
        <f ca="1">ROUND(J6*M18/(1+'数据-取费表'!C42),0)</f>
        <v>0</v>
      </c>
      <c r="K18" s="1253" t="s">
        <v>723</v>
      </c>
      <c r="L18" s="292" t="s">
        <v>711</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724</v>
      </c>
      <c r="C19" s="21">
        <f ca="1">SUM(C14:C18)</f>
        <v>0</v>
      </c>
      <c r="D19" s="121" t="s">
        <v>725</v>
      </c>
      <c r="E19" s="1266"/>
      <c r="F19" s="23"/>
      <c r="G19" s="1289"/>
      <c r="H19" s="926" t="s">
        <v>399</v>
      </c>
      <c r="I19" s="292" t="s">
        <v>726</v>
      </c>
      <c r="J19" s="21">
        <f ca="1">IF(K19="按租金收入计税",ROUND(J6*M19/(1+'数据-取费表'!C42),0),ROUND(C29*M19*0.7,0))</f>
        <v>0</v>
      </c>
      <c r="K19" s="1275" t="s">
        <v>3333</v>
      </c>
      <c r="L19" s="292" t="s">
        <v>711</v>
      </c>
      <c r="M19" s="312">
        <f>IF(K19="按租金收入计税",'数据-取费表'!B51,'数据-取费表'!B50)</f>
        <v>0.12</v>
      </c>
    </row>
    <row r="20" spans="1:37" s="1301" customFormat="1" ht="18" customHeight="1">
      <c r="A20" s="926" t="s">
        <v>402</v>
      </c>
      <c r="B20" s="292" t="s">
        <v>727</v>
      </c>
      <c r="C20" s="21">
        <f ca="1">ROUND(C19*F20,0)</f>
        <v>0</v>
      </c>
      <c r="D20" s="313" t="s">
        <v>728</v>
      </c>
      <c r="E20" s="292" t="s">
        <v>711</v>
      </c>
      <c r="F20" s="312">
        <f>'数据-取费表'!B37</f>
        <v>0.03</v>
      </c>
      <c r="G20" s="1300"/>
      <c r="H20" s="926" t="s">
        <v>679</v>
      </c>
      <c r="I20" s="145" t="s">
        <v>729</v>
      </c>
      <c r="J20" s="22">
        <f ca="1">ROUND(M20*M21,0)</f>
        <v>0</v>
      </c>
      <c r="K20" s="314" t="s">
        <v>730</v>
      </c>
      <c r="L20" s="292" t="s">
        <v>731</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732</v>
      </c>
      <c r="C21" s="21" t="s">
        <v>0</v>
      </c>
      <c r="D21" s="313" t="s">
        <v>733</v>
      </c>
      <c r="E21" s="292" t="s">
        <v>734</v>
      </c>
      <c r="F21" s="312">
        <f>'数据-取费表'!B38</f>
        <v>0.03</v>
      </c>
      <c r="G21" s="1300"/>
      <c r="H21" s="316"/>
      <c r="I21" s="301"/>
      <c r="J21" s="26"/>
      <c r="K21" s="317"/>
      <c r="L21" s="292" t="s">
        <v>735</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682</v>
      </c>
      <c r="B22" s="292" t="s">
        <v>736</v>
      </c>
      <c r="C22" s="21"/>
      <c r="D22" s="121" t="str">
        <f>IF(F23&lt;=1,"单利计息。","复利计息。")&amp;"建造成本、管理费用、销售费用产生的利息。"</f>
        <v>复利计息。建造成本、管理费用、销售费用产生的利息。</v>
      </c>
      <c r="E22" s="1266"/>
      <c r="F22" s="23"/>
      <c r="G22" s="1289"/>
      <c r="H22" s="926" t="s">
        <v>402</v>
      </c>
      <c r="I22" s="292" t="s">
        <v>737</v>
      </c>
      <c r="J22" s="21">
        <f ca="1">ROUND(J14*M22,0)</f>
        <v>0</v>
      </c>
      <c r="K22" s="1253" t="s">
        <v>738</v>
      </c>
      <c r="L22" s="292" t="s">
        <v>711</v>
      </c>
      <c r="M22" s="318">
        <f ca="1">INDIRECT("'数据-取费表'!Ak"&amp;$G$1)</f>
        <v>0</v>
      </c>
    </row>
    <row r="23" spans="1:37" s="1301" customFormat="1" ht="18" customHeight="1">
      <c r="A23" s="926" t="s">
        <v>397</v>
      </c>
      <c r="B23" s="292" t="s">
        <v>739</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740</v>
      </c>
      <c r="F23" s="315">
        <f>'数据-取费表'!B20</f>
        <v>3</v>
      </c>
      <c r="G23" s="1300"/>
      <c r="H23" s="926" t="s">
        <v>437</v>
      </c>
      <c r="I23" s="292" t="s">
        <v>741</v>
      </c>
      <c r="J23" s="21">
        <f ca="1">ROUND(J13*M23,0)</f>
        <v>0</v>
      </c>
      <c r="K23" s="1253" t="s">
        <v>742</v>
      </c>
      <c r="L23" s="292" t="s">
        <v>743</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744</v>
      </c>
      <c r="B24" s="292" t="s">
        <v>745</v>
      </c>
      <c r="C24" s="21">
        <f ca="1">ROUND(IF('数据-取费表'!B22&lt;=1,F21*F24*F23/2,F21*(POWER((1+F24),F23/2)-1)),4)</f>
        <v>1.4E-3</v>
      </c>
      <c r="D24" s="136" t="str">
        <f>IF(F23&lt;=1,"销售费用×利率×(建设周期÷2)","销售费用×((1+利率)^(建设周期÷2)-1)")</f>
        <v>销售费用×((1+利率)^(建设周期÷2)-1)</v>
      </c>
      <c r="E24" s="292" t="s">
        <v>746</v>
      </c>
      <c r="F24" s="320">
        <f ca="1">'数据-取费表'!B40</f>
        <v>3.1E-2</v>
      </c>
      <c r="G24" s="1300"/>
      <c r="H24" s="1024" t="s">
        <v>683</v>
      </c>
      <c r="I24" s="1025" t="s">
        <v>727</v>
      </c>
      <c r="J24" s="1026">
        <f ca="1">ROUND(J5*M24,0)</f>
        <v>0</v>
      </c>
      <c r="K24" s="1027" t="s">
        <v>747</v>
      </c>
      <c r="L24" s="1025" t="s">
        <v>743</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748</v>
      </c>
      <c r="B25" s="292" t="s">
        <v>749</v>
      </c>
      <c r="C25" s="21"/>
      <c r="D25" s="121" t="s">
        <v>750</v>
      </c>
      <c r="E25" s="1266"/>
      <c r="F25" s="23"/>
      <c r="G25" s="1289"/>
      <c r="H25" s="1014" t="s">
        <v>394</v>
      </c>
      <c r="I25" s="1029" t="s">
        <v>751</v>
      </c>
      <c r="J25" s="300">
        <f ca="1">J5-J16</f>
        <v>0</v>
      </c>
      <c r="K25" s="1030" t="s">
        <v>752</v>
      </c>
      <c r="L25" s="1031"/>
      <c r="M25" s="1032"/>
    </row>
    <row r="26" spans="1:37" ht="18" customHeight="1">
      <c r="A26" s="926" t="s">
        <v>397</v>
      </c>
      <c r="B26" s="292" t="s">
        <v>753</v>
      </c>
      <c r="C26" s="21">
        <f ca="1">ROUND((C19+C20)*F26,0)</f>
        <v>0</v>
      </c>
      <c r="D26" s="313" t="s">
        <v>754</v>
      </c>
      <c r="E26" s="303" t="s">
        <v>755</v>
      </c>
      <c r="F26" s="302">
        <f ca="1">INDIRECT("'数据-取费表'!q"&amp;$G$1)</f>
        <v>0</v>
      </c>
      <c r="G26" s="1289"/>
      <c r="H26" s="289" t="s">
        <v>395</v>
      </c>
      <c r="I26" s="290" t="s">
        <v>756</v>
      </c>
      <c r="J26" s="291">
        <f ca="1">IF(J5&lt;&gt;0,ROUND(J25*(1-((1+M28)/(1+M26))^M27)/(M26-M28),0),0)</f>
        <v>0</v>
      </c>
      <c r="K26" s="314" t="s">
        <v>757</v>
      </c>
      <c r="L26" s="292" t="s">
        <v>758</v>
      </c>
      <c r="M26" s="302">
        <f ca="1">INDIRECT("'数据-取费表'!I"&amp;$G$1)</f>
        <v>0</v>
      </c>
    </row>
    <row r="27" spans="1:37" ht="18" customHeight="1">
      <c r="A27" s="926" t="s">
        <v>399</v>
      </c>
      <c r="B27" s="292" t="s">
        <v>759</v>
      </c>
      <c r="C27" s="21">
        <f ca="1">ROUND(F21*F26,4)</f>
        <v>0</v>
      </c>
      <c r="D27" s="313" t="s">
        <v>760</v>
      </c>
      <c r="E27" s="310"/>
      <c r="F27" s="311"/>
      <c r="G27" s="1289"/>
      <c r="H27" s="294"/>
      <c r="I27" s="295"/>
      <c r="J27" s="296"/>
      <c r="K27" s="321" t="s">
        <v>761</v>
      </c>
      <c r="L27" s="292" t="s">
        <v>762</v>
      </c>
      <c r="M27" s="322">
        <f ca="1">INDIRECT("'数据-取费表'!ag"&amp;$G$1)</f>
        <v>0</v>
      </c>
    </row>
    <row r="28" spans="1:37" s="1301" customFormat="1" ht="18" customHeight="1">
      <c r="A28" s="926" t="s">
        <v>400</v>
      </c>
      <c r="B28" s="292" t="s">
        <v>763</v>
      </c>
      <c r="C28" s="21">
        <f>ROUND(F28/(1+'数据-取费表'!C42),4)</f>
        <v>5.33E-2</v>
      </c>
      <c r="D28" s="313" t="s">
        <v>764</v>
      </c>
      <c r="E28" s="292" t="s">
        <v>711</v>
      </c>
      <c r="F28" s="312">
        <f>'数据-取费表'!B41</f>
        <v>5.6000000000000001E-2</v>
      </c>
      <c r="G28" s="1300"/>
      <c r="H28" s="298"/>
      <c r="I28" s="299"/>
      <c r="J28" s="300"/>
      <c r="K28" s="317"/>
      <c r="L28" s="292" t="s">
        <v>765</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766</v>
      </c>
      <c r="C29" s="1026">
        <f ca="1">ROUND((C19+C20+C23+C26)/(1-F21-C24-C27-C28),0)</f>
        <v>0</v>
      </c>
      <c r="D29" s="1027"/>
      <c r="E29" s="1025"/>
      <c r="F29" s="1028"/>
      <c r="G29" s="1300"/>
      <c r="H29" s="323" t="s">
        <v>396</v>
      </c>
      <c r="I29" s="324" t="s">
        <v>767</v>
      </c>
      <c r="J29" s="325">
        <f ca="1">ROUND(J26/(1+F40)^F41,0)</f>
        <v>0</v>
      </c>
      <c r="K29" s="326" t="s">
        <v>768</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713</v>
      </c>
      <c r="C30" s="300">
        <f ca="1">ROUND(C31+C36+C37+C38,0)</f>
        <v>0</v>
      </c>
      <c r="D30" s="1022" t="s">
        <v>714</v>
      </c>
      <c r="E30" s="1023"/>
      <c r="F30" s="1007"/>
      <c r="G30" s="1289"/>
      <c r="H30" s="2468"/>
      <c r="I30" s="1302"/>
      <c r="J30" s="1303"/>
      <c r="K30" s="119"/>
      <c r="L30" s="2469"/>
      <c r="M30" s="2470"/>
    </row>
    <row r="31" spans="1:37" ht="18" customHeight="1">
      <c r="A31" s="926" t="s">
        <v>398</v>
      </c>
      <c r="B31" s="292" t="s">
        <v>718</v>
      </c>
      <c r="C31" s="2137">
        <f ca="1">ROUND(IF(AND(项目基本情况!B11="自然人",项目基本情况!B10="北京市"),C6*F31/(1+'数据-取费表'!C42),C32+C33+C34),0)</f>
        <v>0</v>
      </c>
      <c r="D31" s="1254" t="s">
        <v>719</v>
      </c>
      <c r="E31" s="1253" t="s">
        <v>769</v>
      </c>
      <c r="F31" s="2136" t="str">
        <f>IF(项目基本情况!B11="企业","——",IF(M47="住宅",IF(F6*F7*F8/12/(1+'数据-取费表'!F30)&gt;100000,4%,2.5%),IF(F6*F7*F8/12/(1+'数据-取费表'!F30)&gt;100000,12%,7%)))</f>
        <v>——</v>
      </c>
      <c r="G31" s="1289"/>
      <c r="H31" s="2567" t="s">
        <v>2303</v>
      </c>
      <c r="I31" s="1302"/>
      <c r="J31" s="1303"/>
      <c r="K31" s="119"/>
      <c r="L31" s="2469"/>
      <c r="M31" s="2470"/>
    </row>
    <row r="32" spans="1:37" ht="18" customHeight="1">
      <c r="A32" s="926" t="s">
        <v>397</v>
      </c>
      <c r="B32" s="292" t="s">
        <v>722</v>
      </c>
      <c r="C32" s="21">
        <f ca="1">IF(项目基本情况!B11="自然人","——",ROUND(C6*F32/(1+'数据-取费表'!C42),0))</f>
        <v>0</v>
      </c>
      <c r="D32" s="1253" t="s">
        <v>723</v>
      </c>
      <c r="E32" s="292" t="s">
        <v>711</v>
      </c>
      <c r="F32" s="320">
        <f>'数据-取费表'!B41</f>
        <v>5.6000000000000001E-2</v>
      </c>
      <c r="G32" s="1289"/>
      <c r="H32" s="2468"/>
      <c r="I32" s="1302"/>
      <c r="J32" s="1303"/>
      <c r="K32" s="119"/>
      <c r="L32" s="2469"/>
      <c r="M32" s="2470"/>
    </row>
    <row r="33" spans="1:18" ht="18" customHeight="1">
      <c r="A33" s="926" t="s">
        <v>399</v>
      </c>
      <c r="B33" s="292" t="s">
        <v>726</v>
      </c>
      <c r="C33" s="21">
        <f ca="1">IF(项目基本情况!B11="自然人","——",IF(D33="按租金收入计税",ROUND(C6*F33/(1+'数据-取费表'!C42),0),IF(D33="按房产原值计税",ROUND(C29*F33*0.7,0),INDIRECT("'数据-取费表'!Aj"&amp;$G$1))))</f>
        <v>0</v>
      </c>
      <c r="D33" s="1275" t="s">
        <v>3333</v>
      </c>
      <c r="E33" s="292" t="s">
        <v>711</v>
      </c>
      <c r="F33" s="312">
        <f>IF(D33="按票据","——",IF(D33="按租金收入计税",'数据-取费表'!B51,'数据-取费表'!B50))</f>
        <v>0.12</v>
      </c>
      <c r="G33" s="1289"/>
      <c r="H33" s="2471"/>
      <c r="I33" s="1302"/>
      <c r="J33" s="1303"/>
      <c r="K33" s="2472"/>
      <c r="L33" s="2471"/>
      <c r="M33" s="2471"/>
    </row>
    <row r="34" spans="1:18" ht="18" customHeight="1">
      <c r="A34" s="1004" t="s">
        <v>679</v>
      </c>
      <c r="B34" s="145" t="s">
        <v>729</v>
      </c>
      <c r="C34" s="22">
        <f ca="1">IF(项目基本情况!B11="自然人","——",ROUND(F34*F35,0))</f>
        <v>0</v>
      </c>
      <c r="D34" s="314" t="s">
        <v>730</v>
      </c>
      <c r="E34" s="292" t="s">
        <v>731</v>
      </c>
      <c r="F34" s="315">
        <f>'数据-取费表'!B52</f>
        <v>1.5</v>
      </c>
      <c r="G34" s="1289"/>
      <c r="H34" s="2468"/>
      <c r="I34" s="1302"/>
      <c r="J34" s="1303"/>
      <c r="K34" s="2473"/>
      <c r="L34" s="2474"/>
      <c r="M34" s="2474"/>
    </row>
    <row r="35" spans="1:18" ht="18" customHeight="1">
      <c r="A35" s="1038"/>
      <c r="B35" s="1036"/>
      <c r="C35" s="26"/>
      <c r="D35" s="317"/>
      <c r="E35" s="292" t="s">
        <v>735</v>
      </c>
      <c r="F35" s="293">
        <f ca="1">INDIRECT("'数据-取费表'!r"&amp;$G$1)</f>
        <v>0</v>
      </c>
      <c r="G35" s="1289"/>
      <c r="H35" s="2468"/>
      <c r="I35" s="1302"/>
      <c r="J35" s="1303"/>
      <c r="K35" s="2472"/>
      <c r="L35" s="2471"/>
      <c r="M35" s="2471"/>
    </row>
    <row r="36" spans="1:18" ht="18" customHeight="1">
      <c r="A36" s="1037" t="s">
        <v>402</v>
      </c>
      <c r="B36" s="292" t="s">
        <v>737</v>
      </c>
      <c r="C36" s="21">
        <f ca="1">ROUND(C29*F36,0)</f>
        <v>0</v>
      </c>
      <c r="D36" s="1253" t="s">
        <v>770</v>
      </c>
      <c r="E36" s="292" t="s">
        <v>711</v>
      </c>
      <c r="F36" s="318">
        <f ca="1">INDIRECT("'数据-取费表'!Ak"&amp;$G$1)</f>
        <v>0</v>
      </c>
      <c r="G36" s="1289"/>
      <c r="H36" s="2471"/>
      <c r="I36" s="1302"/>
      <c r="J36" s="1303"/>
      <c r="K36" s="2328"/>
      <c r="L36" s="2471"/>
      <c r="M36" s="2471"/>
    </row>
    <row r="37" spans="1:18" ht="18" customHeight="1">
      <c r="A37" s="926" t="s">
        <v>437</v>
      </c>
      <c r="B37" s="292" t="s">
        <v>741</v>
      </c>
      <c r="C37" s="21">
        <f ca="1">ROUND(C13*F37,0)</f>
        <v>0</v>
      </c>
      <c r="D37" s="1253" t="s">
        <v>742</v>
      </c>
      <c r="E37" s="292" t="s">
        <v>743</v>
      </c>
      <c r="F37" s="319">
        <f ca="1">INDIRECT("'数据-取费表'!Al"&amp;$G$1)</f>
        <v>0</v>
      </c>
      <c r="G37" s="1289"/>
      <c r="H37" s="2471"/>
      <c r="I37" s="1302"/>
      <c r="J37" s="1303"/>
      <c r="K37" s="2328"/>
      <c r="L37" s="2471"/>
      <c r="M37" s="2471"/>
    </row>
    <row r="38" spans="1:18" ht="18" customHeight="1" thickBot="1">
      <c r="A38" s="1024" t="s">
        <v>683</v>
      </c>
      <c r="B38" s="1025" t="s">
        <v>727</v>
      </c>
      <c r="C38" s="1026">
        <f ca="1">ROUND(C5*F38,0)</f>
        <v>0</v>
      </c>
      <c r="D38" s="1027" t="s">
        <v>747</v>
      </c>
      <c r="E38" s="1025" t="s">
        <v>743</v>
      </c>
      <c r="F38" s="1021">
        <f ca="1">INDIRECT("'数据-取费表'!Am"&amp;$G$1)</f>
        <v>0</v>
      </c>
      <c r="G38" s="1289"/>
      <c r="H38" s="2471"/>
      <c r="I38" s="1302"/>
      <c r="J38" s="1303"/>
      <c r="K38" s="2469"/>
      <c r="L38" s="2471"/>
      <c r="M38" s="2471"/>
    </row>
    <row r="39" spans="1:18" ht="24.6" customHeight="1" thickTop="1">
      <c r="A39" s="1014" t="s">
        <v>394</v>
      </c>
      <c r="B39" s="1029" t="s">
        <v>771</v>
      </c>
      <c r="C39" s="300">
        <f ca="1">C5-C30</f>
        <v>0</v>
      </c>
      <c r="D39" s="1030" t="s">
        <v>772</v>
      </c>
      <c r="E39" s="1031"/>
      <c r="F39" s="1032"/>
      <c r="G39" s="1289"/>
      <c r="H39" s="2471"/>
      <c r="I39" s="1302"/>
      <c r="J39" s="1303"/>
      <c r="K39" s="2469"/>
      <c r="L39" s="2471"/>
      <c r="M39" s="2471"/>
    </row>
    <row r="40" spans="1:18" ht="18" customHeight="1">
      <c r="A40" s="289" t="s">
        <v>395</v>
      </c>
      <c r="B40" s="290" t="s">
        <v>773</v>
      </c>
      <c r="C40" s="291" t="e">
        <f ca="1">ROUND(C39*(1-((1+F42)/(1+F40))^F41)/(F40-F42),0)</f>
        <v>#DIV/0!</v>
      </c>
      <c r="D40" s="314" t="s">
        <v>757</v>
      </c>
      <c r="E40" s="292" t="s">
        <v>758</v>
      </c>
      <c r="F40" s="302">
        <f ca="1">INDIRECT("'数据-取费表'!I"&amp;$G$1)</f>
        <v>0</v>
      </c>
      <c r="G40" s="1289"/>
      <c r="H40" s="1363"/>
      <c r="I40" s="1302"/>
      <c r="J40" s="1303"/>
      <c r="K40" s="2469"/>
      <c r="L40" s="1363"/>
      <c r="M40" s="1363"/>
    </row>
    <row r="41" spans="1:18" ht="18" customHeight="1">
      <c r="A41" s="294"/>
      <c r="B41" s="295"/>
      <c r="C41" s="296"/>
      <c r="D41" s="321" t="s">
        <v>774</v>
      </c>
      <c r="E41" s="292" t="s">
        <v>762</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765</v>
      </c>
      <c r="F42" s="302">
        <f ca="1">INDIRECT("'数据-取费表'!v"&amp;$G$1)</f>
        <v>0</v>
      </c>
      <c r="G42" s="1289"/>
      <c r="H42" s="119"/>
      <c r="I42" s="1302"/>
      <c r="J42" s="1303"/>
      <c r="K42" s="2328"/>
      <c r="L42" s="119"/>
      <c r="M42" s="119"/>
    </row>
    <row r="43" spans="1:18" ht="18" customHeight="1" thickBot="1">
      <c r="A43" s="323" t="s">
        <v>396</v>
      </c>
      <c r="B43" s="324" t="s">
        <v>775</v>
      </c>
      <c r="C43" s="325" t="e">
        <f ca="1">ROUND(C40/F43,0)</f>
        <v>#DIV/0!</v>
      </c>
      <c r="D43" s="326" t="s">
        <v>776</v>
      </c>
      <c r="E43" s="327" t="s">
        <v>777</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7" t="s">
        <v>3349</v>
      </c>
      <c r="B45" s="1304"/>
      <c r="C45" s="1373" t="e">
        <f ca="1">ROUND((C68-C40)/10000,4)</f>
        <v>#DIV/0!</v>
      </c>
      <c r="D45" s="3128" t="s">
        <v>3350</v>
      </c>
      <c r="E45" s="1304"/>
      <c r="F45" s="1304"/>
      <c r="O45" s="1307" t="s">
        <v>807</v>
      </c>
      <c r="P45" s="1363"/>
      <c r="Q45" s="1363"/>
      <c r="R45" s="1363"/>
    </row>
    <row r="46" spans="1:18" s="1289" customFormat="1" ht="13.5" thickBot="1">
      <c r="A46" s="1308" t="s">
        <v>808</v>
      </c>
      <c r="C46" s="1309" t="e">
        <f ca="1">ROUND(C45,0)</f>
        <v>#DIV/0!</v>
      </c>
      <c r="D46" s="1310" t="str">
        <f>C2</f>
        <v>万元</v>
      </c>
      <c r="I46" s="1311" t="s">
        <v>809</v>
      </c>
      <c r="J46" s="1312"/>
      <c r="K46" s="1313"/>
      <c r="L46" s="1314" t="e">
        <f ca="1">IF(M47="住宅",0,IF(L48&gt;J51,L60,J60))</f>
        <v>#DIV/0!</v>
      </c>
      <c r="O46" s="1315" t="s">
        <v>810</v>
      </c>
      <c r="P46" s="1316" t="s">
        <v>811</v>
      </c>
      <c r="Q46" s="1317" t="s">
        <v>812</v>
      </c>
      <c r="R46" s="1317" t="s">
        <v>813</v>
      </c>
    </row>
    <row r="47" spans="1:18" s="1289" customFormat="1" ht="13.5" thickBot="1">
      <c r="A47" s="890" t="s">
        <v>686</v>
      </c>
      <c r="B47" s="922" t="s">
        <v>687</v>
      </c>
      <c r="C47" s="922" t="s">
        <v>688</v>
      </c>
      <c r="D47" s="922" t="s">
        <v>689</v>
      </c>
      <c r="E47" s="993" t="s">
        <v>690</v>
      </c>
      <c r="F47" s="994"/>
      <c r="G47" s="679"/>
      <c r="I47" s="1318" t="s">
        <v>814</v>
      </c>
      <c r="J47" s="1319"/>
      <c r="K47" s="1320" t="s">
        <v>815</v>
      </c>
      <c r="L47" s="1321">
        <f ca="1">INDIRECT("'数据-取费表'!d"&amp;$G$1)</f>
        <v>0</v>
      </c>
      <c r="M47" s="1285" t="str">
        <f>IF(ISNUMBER(FIND("住宅",C1)),"住宅","非住宅")</f>
        <v>非住宅</v>
      </c>
      <c r="O47" s="1322" t="s">
        <v>403</v>
      </c>
      <c r="P47" s="1323" t="s">
        <v>816</v>
      </c>
      <c r="Q47" s="1324" t="e">
        <f ca="1">C40+J29</f>
        <v>#DIV/0!</v>
      </c>
      <c r="R47" s="1324" t="s">
        <v>817</v>
      </c>
    </row>
    <row r="48" spans="1:18" s="1289" customFormat="1" ht="28.5" thickBot="1">
      <c r="A48" s="1045" t="s">
        <v>438</v>
      </c>
      <c r="B48" s="290" t="s">
        <v>691</v>
      </c>
      <c r="C48" s="1265">
        <f ca="1">C49+C53+C55</f>
        <v>0</v>
      </c>
      <c r="D48" s="1047"/>
      <c r="E48" s="1048"/>
      <c r="F48" s="906"/>
      <c r="G48" s="679"/>
      <c r="H48" s="680"/>
      <c r="I48" s="1325" t="s">
        <v>818</v>
      </c>
      <c r="J48" s="1326"/>
      <c r="K48" s="1327" t="s">
        <v>819</v>
      </c>
      <c r="L48" s="1328">
        <f ca="1">INDIRECT("'数据-取费表'!f"&amp;$G$1)</f>
        <v>0</v>
      </c>
      <c r="O48" s="1322" t="s">
        <v>404</v>
      </c>
      <c r="P48" s="1323" t="s">
        <v>820</v>
      </c>
      <c r="Q48" s="1324" t="e">
        <f ca="1">J60</f>
        <v>#DIV/0!</v>
      </c>
      <c r="R48" s="1324" t="s">
        <v>821</v>
      </c>
    </row>
    <row r="49" spans="1:18" s="1289" customFormat="1" ht="13.5" thickBot="1">
      <c r="A49" s="919" t="s">
        <v>439</v>
      </c>
      <c r="B49" s="1276" t="s">
        <v>778</v>
      </c>
      <c r="C49" s="1049">
        <f ca="1">ROUND(F49*F51*F50*(1-F52),0)</f>
        <v>0</v>
      </c>
      <c r="D49" s="990" t="s">
        <v>694</v>
      </c>
      <c r="E49" s="1277" t="s">
        <v>779</v>
      </c>
      <c r="F49" s="995"/>
      <c r="H49" s="680"/>
      <c r="I49" s="1325" t="s">
        <v>822</v>
      </c>
      <c r="J49" s="1329"/>
      <c r="K49" s="1327" t="s">
        <v>823</v>
      </c>
      <c r="L49" s="1330"/>
      <c r="O49" s="1331" t="s">
        <v>405</v>
      </c>
      <c r="P49" s="1323" t="s">
        <v>824</v>
      </c>
      <c r="Q49" s="1324">
        <f ca="1">C29</f>
        <v>0</v>
      </c>
      <c r="R49" s="1324" t="s">
        <v>817</v>
      </c>
    </row>
    <row r="50" spans="1:18" s="1289" customFormat="1" ht="13.5" thickBot="1">
      <c r="A50" s="920"/>
      <c r="B50" s="923"/>
      <c r="C50" s="924"/>
      <c r="D50" s="897"/>
      <c r="E50" s="991" t="s">
        <v>696</v>
      </c>
      <c r="F50" s="992">
        <f ca="1">F7</f>
        <v>0</v>
      </c>
      <c r="H50" s="680"/>
      <c r="I50" s="1325" t="s">
        <v>825</v>
      </c>
      <c r="J50" s="1332">
        <f>SUMPRODUCT((I63:I65=J47)*(J62:L62=J48)*(J63:L65))</f>
        <v>0</v>
      </c>
      <c r="K50" s="1327" t="s">
        <v>826</v>
      </c>
      <c r="L50" s="1330"/>
      <c r="M50" s="1333"/>
      <c r="O50" s="1331" t="s">
        <v>406</v>
      </c>
      <c r="P50" s="1323" t="s">
        <v>827</v>
      </c>
      <c r="Q50" s="1334" t="e">
        <f ca="1">J58</f>
        <v>#DIV/0!</v>
      </c>
      <c r="R50" s="1324"/>
    </row>
    <row r="51" spans="1:18" s="1289" customFormat="1" ht="13.5" thickBot="1">
      <c r="A51" s="921"/>
      <c r="B51" s="923"/>
      <c r="C51" s="924"/>
      <c r="D51" s="897"/>
      <c r="E51" s="925" t="s">
        <v>697</v>
      </c>
      <c r="F51" s="293">
        <f ca="1">F8</f>
        <v>0</v>
      </c>
      <c r="I51" s="1335" t="s">
        <v>828</v>
      </c>
      <c r="J51" s="1328">
        <f>IF(J49="",J50,J49+J50-YEAR('数据-取费表'!B2))</f>
        <v>0</v>
      </c>
      <c r="K51" s="1336" t="s">
        <v>829</v>
      </c>
      <c r="L51" s="1337">
        <f ca="1">ROUND(-PV(INDIRECT("'数据-取费表'!h"&amp;$G$1),J51,(C39-C13*C76),0),0)</f>
        <v>0</v>
      </c>
      <c r="M51" s="1338"/>
      <c r="O51" s="1331" t="s">
        <v>407</v>
      </c>
      <c r="P51" s="1323" t="s">
        <v>830</v>
      </c>
      <c r="Q51" s="1334">
        <f>J52</f>
        <v>0</v>
      </c>
      <c r="R51" s="1324"/>
    </row>
    <row r="52" spans="1:18" s="1289" customFormat="1" ht="13.5" thickBot="1">
      <c r="A52" s="921"/>
      <c r="B52" s="923"/>
      <c r="C52" s="924"/>
      <c r="D52" s="897"/>
      <c r="E52" s="925" t="s">
        <v>698</v>
      </c>
      <c r="F52" s="989"/>
      <c r="I52" s="1339" t="s">
        <v>831</v>
      </c>
      <c r="J52" s="1340"/>
      <c r="K52" s="1339" t="s">
        <v>832</v>
      </c>
      <c r="L52" s="1340"/>
      <c r="O52" s="1331" t="s">
        <v>408</v>
      </c>
      <c r="P52" s="1323" t="s">
        <v>833</v>
      </c>
      <c r="Q52" s="1324">
        <f ca="1">J53</f>
        <v>0</v>
      </c>
      <c r="R52" s="1324" t="s">
        <v>834</v>
      </c>
    </row>
    <row r="53" spans="1:18" s="1289" customFormat="1" ht="30.75" customHeight="1" thickBot="1">
      <c r="A53" s="1046" t="s">
        <v>440</v>
      </c>
      <c r="B53" s="313" t="s">
        <v>699</v>
      </c>
      <c r="C53" s="306">
        <f ca="1">ROUND(IF(F53="押一",C49/12*F11,IF(F53="押二",C49/12*2*F11,IF(F53="押三",C49/12*3*F11,C54*F11))),0)</f>
        <v>0</v>
      </c>
      <c r="D53" s="148" t="s">
        <v>2114</v>
      </c>
      <c r="E53" s="303" t="s">
        <v>700</v>
      </c>
      <c r="F53" s="1051"/>
      <c r="I53" s="1341" t="s">
        <v>835</v>
      </c>
      <c r="J53" s="2003">
        <f ca="1">IF(M47="住宅",IF(D1="——",MAX(J51,L48),MAX(J51,L48-'数据-取费表'!B24)),IF(D1="——",MIN(J51,L48),MIN(J51,L48-'数据-取费表'!B24)))</f>
        <v>0</v>
      </c>
      <c r="K53" s="3414" t="s">
        <v>836</v>
      </c>
      <c r="L53" s="3415"/>
      <c r="O53" s="1322" t="s">
        <v>409</v>
      </c>
      <c r="P53" s="1323" t="s">
        <v>837</v>
      </c>
      <c r="Q53" s="1324" t="e">
        <f ca="1">Q47+Q48</f>
        <v>#DIV/0!</v>
      </c>
      <c r="R53" s="1324" t="s">
        <v>410</v>
      </c>
    </row>
    <row r="54" spans="1:18" s="1289" customFormat="1" ht="13.5" thickBot="1">
      <c r="A54" s="919"/>
      <c r="B54" s="1374" t="s">
        <v>890</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838</v>
      </c>
      <c r="P54" s="1286"/>
      <c r="Q54" s="1286"/>
      <c r="R54" s="1286"/>
    </row>
    <row r="55" spans="1:18" s="1289" customFormat="1" ht="13.5" thickBot="1">
      <c r="A55" s="1018" t="s">
        <v>437</v>
      </c>
      <c r="B55" s="1274" t="s">
        <v>702</v>
      </c>
      <c r="C55" s="1019"/>
      <c r="D55" s="148"/>
      <c r="E55" s="1279"/>
      <c r="F55" s="1342"/>
      <c r="I55" s="1345" t="s">
        <v>839</v>
      </c>
      <c r="J55" s="1346" t="e">
        <f ca="1">ROUND(IF(J47="钢混",J57/J50,1-(1-2%)*(J50-J57)/J50),3)</f>
        <v>#DIV/0!</v>
      </c>
      <c r="K55" s="1347" t="s">
        <v>840</v>
      </c>
      <c r="L55" s="1348"/>
      <c r="O55" s="1315" t="s">
        <v>810</v>
      </c>
      <c r="P55" s="1316" t="s">
        <v>811</v>
      </c>
      <c r="Q55" s="1317" t="s">
        <v>812</v>
      </c>
      <c r="R55" s="1317" t="s">
        <v>813</v>
      </c>
    </row>
    <row r="56" spans="1:18" s="1289" customFormat="1" ht="36" customHeight="1" thickTop="1" thickBot="1">
      <c r="A56" s="901">
        <v>2</v>
      </c>
      <c r="B56" s="902" t="s">
        <v>703</v>
      </c>
      <c r="C56" s="222">
        <f ca="1">C13</f>
        <v>0</v>
      </c>
      <c r="D56" s="1349"/>
      <c r="E56" s="1350"/>
      <c r="F56" s="1342"/>
      <c r="I56" s="1351" t="s">
        <v>841</v>
      </c>
      <c r="J56" s="1352"/>
      <c r="K56" s="1325" t="s">
        <v>842</v>
      </c>
      <c r="L56" s="1328">
        <f ca="1">IF(L48&lt;J51,"——",L48-J51)</f>
        <v>0</v>
      </c>
      <c r="O56" s="1322" t="s">
        <v>403</v>
      </c>
      <c r="P56" s="1323" t="s">
        <v>816</v>
      </c>
      <c r="Q56" s="1324" t="e">
        <f ca="1">C40+J29</f>
        <v>#DIV/0!</v>
      </c>
      <c r="R56" s="1324" t="s">
        <v>817</v>
      </c>
    </row>
    <row r="57" spans="1:18" s="1289" customFormat="1" ht="24.75" thickBot="1">
      <c r="A57" s="1353"/>
      <c r="B57" s="894" t="s">
        <v>766</v>
      </c>
      <c r="C57" s="228">
        <f ca="1">C29</f>
        <v>0</v>
      </c>
      <c r="D57" s="1354"/>
      <c r="E57" s="1355"/>
      <c r="F57" s="1356"/>
      <c r="I57" s="1357" t="s">
        <v>843</v>
      </c>
      <c r="J57" s="1358">
        <f ca="1">IF(OR(M47="住宅",J51&lt;L48,J56="是"),"——",J51-L48)</f>
        <v>0</v>
      </c>
      <c r="K57" s="1325" t="s">
        <v>891</v>
      </c>
      <c r="L57" s="1328">
        <f ca="1">IF(L48&lt;J51,"——",IF(L55="比较法",L49,IF(L55="基准地价",L50,L51)))</f>
        <v>0</v>
      </c>
      <c r="O57" s="1322" t="s">
        <v>404</v>
      </c>
      <c r="P57" s="1323" t="s">
        <v>892</v>
      </c>
      <c r="Q57" s="1324" t="e">
        <f ca="1">L60</f>
        <v>#DIV/0!</v>
      </c>
      <c r="R57" s="1324" t="s">
        <v>893</v>
      </c>
    </row>
    <row r="58" spans="1:18" s="1289" customFormat="1" ht="24.75" thickBot="1">
      <c r="A58" s="305" t="s">
        <v>393</v>
      </c>
      <c r="B58" s="902" t="s">
        <v>713</v>
      </c>
      <c r="C58" s="306">
        <f ca="1">ROUND(C59+C64+C65+C66,0)</f>
        <v>0</v>
      </c>
      <c r="D58" s="904" t="s">
        <v>714</v>
      </c>
      <c r="E58" s="905"/>
      <c r="F58" s="906"/>
      <c r="I58" s="1357" t="s">
        <v>847</v>
      </c>
      <c r="J58" s="1359" t="e">
        <f ca="1">IF(J55&lt;0.4,0.4,J55)</f>
        <v>#DIV/0!</v>
      </c>
      <c r="K58" s="1336" t="s">
        <v>894</v>
      </c>
      <c r="L58" s="1328" t="e">
        <f ca="1">ROUND(POWER(1+L52,L47-L48)*(POWER(1+L52,L48)-1)/(POWER(1+L52,L47)-1),4)</f>
        <v>#DIV/0!</v>
      </c>
      <c r="O58" s="1331" t="s">
        <v>405</v>
      </c>
      <c r="P58" s="1323" t="s">
        <v>849</v>
      </c>
      <c r="Q58" s="1324">
        <f>IF(L55="比较法",L49,IF(L55="基准地价",L50,0))</f>
        <v>0</v>
      </c>
      <c r="R58" s="1324" t="s">
        <v>817</v>
      </c>
    </row>
    <row r="59" spans="1:18" s="1289" customFormat="1" ht="24.75" thickBot="1">
      <c r="A59" s="926" t="s">
        <v>398</v>
      </c>
      <c r="B59" s="894" t="s">
        <v>718</v>
      </c>
      <c r="C59" s="2137">
        <f ca="1">ROUND(IF(AND(项目基本情况!B11="自然人",项目基本情况!B10="北京市"),C49*F59/(1+'数据-取费表'!C42),C60+C61+C62),0)</f>
        <v>0</v>
      </c>
      <c r="D59" s="907" t="s">
        <v>719</v>
      </c>
      <c r="E59" s="908" t="s">
        <v>720</v>
      </c>
      <c r="F59" s="2136" t="str">
        <f>IF(项目基本情况!B11="企业","——",IF('数据-取费表'!B10="住宅",IF(F49*F50*F51/12/(1+'数据-取费表'!F30)&gt;100000,4%,2.5%),IF(F49*F50*F51/12/(1+'数据-取费表'!F30)&gt;100000,12%,7%)))</f>
        <v>——</v>
      </c>
      <c r="I59" s="1357" t="s">
        <v>850</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851</v>
      </c>
      <c r="Q59" s="1334">
        <f>L52</f>
        <v>0</v>
      </c>
      <c r="R59" s="1324"/>
    </row>
    <row r="60" spans="1:18" s="1289" customFormat="1" ht="16.5" thickBot="1">
      <c r="A60" s="926" t="s">
        <v>397</v>
      </c>
      <c r="B60" s="894" t="s">
        <v>722</v>
      </c>
      <c r="C60" s="21">
        <f ca="1">IF(项目基本情况!B11="自然人","——",ROUND(C48*F60/(1+'数据-取费表'!C42),0))</f>
        <v>0</v>
      </c>
      <c r="D60" s="908" t="s">
        <v>723</v>
      </c>
      <c r="E60" s="894" t="s">
        <v>711</v>
      </c>
      <c r="F60" s="320">
        <f t="shared" ref="F60:F66" si="0">F32</f>
        <v>5.6000000000000001E-2</v>
      </c>
      <c r="I60" s="1360" t="s">
        <v>852</v>
      </c>
      <c r="J60" s="1361" t="e">
        <f ca="1">IF(OR(M47="住宅",J51&lt;L48,J56="是"),"0",ROUND(J59/(1+J52)^J53,0))</f>
        <v>#DIV/0!</v>
      </c>
      <c r="K60" s="1362" t="s">
        <v>853</v>
      </c>
      <c r="L60" s="1361" t="e">
        <f ca="1">IF(OR(M47="住宅",L48&lt;J51),0,ROUND(L57*(L58/L59-1),0))</f>
        <v>#DIV/0!</v>
      </c>
      <c r="O60" s="1331" t="s">
        <v>407</v>
      </c>
      <c r="P60" s="1323" t="s">
        <v>854</v>
      </c>
      <c r="Q60" s="1324" t="e">
        <f ca="1">L58</f>
        <v>#DIV/0!</v>
      </c>
      <c r="R60" s="1324" t="s">
        <v>855</v>
      </c>
    </row>
    <row r="61" spans="1:18" s="1289" customFormat="1" ht="13.5" thickBot="1">
      <c r="A61" s="926" t="s">
        <v>780</v>
      </c>
      <c r="B61" s="894" t="s">
        <v>781</v>
      </c>
      <c r="C61" s="21">
        <f ca="1">IF(项目基本情况!B11="自然人","——",IF(D61="按租金收入计税",ROUND(C49*F61/(1+'数据-取费表'!C42),0),IF(D61="按房产原值计税",ROUND(C57*F61*0.7,0),INDIRECT("'数据-取费表'!Aj"&amp;$G$1))))</f>
        <v>0</v>
      </c>
      <c r="D61" s="1275" t="s">
        <v>3333</v>
      </c>
      <c r="E61" s="894" t="s">
        <v>782</v>
      </c>
      <c r="F61" s="312">
        <f t="shared" si="0"/>
        <v>0.12</v>
      </c>
      <c r="I61" s="1363"/>
      <c r="J61" s="1363"/>
      <c r="K61" s="1363"/>
      <c r="L61" s="1363"/>
      <c r="O61" s="1331" t="s">
        <v>408</v>
      </c>
      <c r="P61" s="1323" t="str">
        <f>K59</f>
        <v>建筑物剩余耐用年限下的土地年期修正系数Kn</v>
      </c>
      <c r="Q61" s="1324" t="e">
        <f ca="1">L59</f>
        <v>#DIV/0!</v>
      </c>
      <c r="R61" s="1324" t="s">
        <v>856</v>
      </c>
    </row>
    <row r="62" spans="1:18" s="1289" customFormat="1" ht="13.5" thickBot="1">
      <c r="A62" s="926" t="s">
        <v>783</v>
      </c>
      <c r="B62" s="893" t="s">
        <v>784</v>
      </c>
      <c r="C62" s="22">
        <f ca="1">IF(项目基本情况!B11="自然人","——",ROUND(F62*F63,0))</f>
        <v>0</v>
      </c>
      <c r="D62" s="909" t="s">
        <v>785</v>
      </c>
      <c r="E62" s="894" t="s">
        <v>786</v>
      </c>
      <c r="F62" s="315">
        <f t="shared" si="0"/>
        <v>1.5</v>
      </c>
      <c r="I62" s="1364" t="s">
        <v>857</v>
      </c>
      <c r="J62" s="608" t="s">
        <v>858</v>
      </c>
      <c r="K62" s="608" t="s">
        <v>859</v>
      </c>
      <c r="L62" s="608" t="s">
        <v>860</v>
      </c>
      <c r="M62" s="1365" t="s">
        <v>861</v>
      </c>
      <c r="O62" s="1322" t="s">
        <v>409</v>
      </c>
      <c r="P62" s="1323" t="s">
        <v>862</v>
      </c>
      <c r="Q62" s="1324" t="e">
        <f ca="1">Q56+Q57</f>
        <v>#DIV/0!</v>
      </c>
      <c r="R62" s="1324" t="s">
        <v>410</v>
      </c>
    </row>
    <row r="63" spans="1:18" s="1289" customFormat="1" ht="13.5" thickBot="1">
      <c r="A63" s="316"/>
      <c r="B63" s="900"/>
      <c r="C63" s="26"/>
      <c r="D63" s="910"/>
      <c r="E63" s="894" t="s">
        <v>787</v>
      </c>
      <c r="F63" s="293">
        <f t="shared" ca="1" si="0"/>
        <v>0</v>
      </c>
      <c r="I63" s="1364" t="s">
        <v>863</v>
      </c>
      <c r="J63" s="608">
        <v>70</v>
      </c>
      <c r="K63" s="608">
        <v>50</v>
      </c>
      <c r="L63" s="608">
        <v>80</v>
      </c>
      <c r="M63" s="1366">
        <v>0.02</v>
      </c>
      <c r="O63" s="1307" t="s">
        <v>864</v>
      </c>
      <c r="P63" s="1286"/>
      <c r="Q63" s="1286"/>
      <c r="R63" s="1286"/>
    </row>
    <row r="64" spans="1:18" s="1289" customFormat="1" ht="13.5" thickBot="1">
      <c r="A64" s="926" t="s">
        <v>788</v>
      </c>
      <c r="B64" s="894" t="s">
        <v>789</v>
      </c>
      <c r="C64" s="21">
        <f ca="1">ROUND(C57*F64,0)</f>
        <v>0</v>
      </c>
      <c r="D64" s="908" t="s">
        <v>790</v>
      </c>
      <c r="E64" s="894" t="s">
        <v>782</v>
      </c>
      <c r="F64" s="318">
        <f t="shared" ca="1" si="0"/>
        <v>0</v>
      </c>
      <c r="I64" s="1364" t="s">
        <v>865</v>
      </c>
      <c r="J64" s="608">
        <v>50</v>
      </c>
      <c r="K64" s="608">
        <v>35</v>
      </c>
      <c r="L64" s="608">
        <v>60</v>
      </c>
      <c r="M64" s="1365">
        <v>0</v>
      </c>
      <c r="O64" s="1315" t="s">
        <v>810</v>
      </c>
      <c r="P64" s="1316" t="s">
        <v>811</v>
      </c>
      <c r="Q64" s="1317" t="s">
        <v>812</v>
      </c>
      <c r="R64" s="1317" t="s">
        <v>813</v>
      </c>
    </row>
    <row r="65" spans="1:18" s="1289" customFormat="1" ht="13.5" thickBot="1">
      <c r="A65" s="926" t="s">
        <v>791</v>
      </c>
      <c r="B65" s="894" t="s">
        <v>741</v>
      </c>
      <c r="C65" s="21">
        <f ca="1">ROUND(C56*F65,0)</f>
        <v>0</v>
      </c>
      <c r="D65" s="908" t="s">
        <v>742</v>
      </c>
      <c r="E65" s="894" t="s">
        <v>743</v>
      </c>
      <c r="F65" s="319">
        <f t="shared" ca="1" si="0"/>
        <v>0</v>
      </c>
      <c r="I65" s="1364" t="s">
        <v>866</v>
      </c>
      <c r="J65" s="608">
        <v>40</v>
      </c>
      <c r="K65" s="608">
        <v>30</v>
      </c>
      <c r="L65" s="608">
        <v>50</v>
      </c>
      <c r="M65" s="1366">
        <v>0.02</v>
      </c>
      <c r="O65" s="1322" t="s">
        <v>403</v>
      </c>
      <c r="P65" s="1323" t="s">
        <v>867</v>
      </c>
      <c r="Q65" s="1324" t="e">
        <f ca="1">C40+J29</f>
        <v>#DIV/0!</v>
      </c>
      <c r="R65" s="1324" t="s">
        <v>817</v>
      </c>
    </row>
    <row r="66" spans="1:18" s="1289" customFormat="1" ht="16.5" thickBot="1">
      <c r="A66" s="926" t="s">
        <v>792</v>
      </c>
      <c r="B66" s="894" t="s">
        <v>727</v>
      </c>
      <c r="C66" s="21">
        <f ca="1">ROUND(C48*F66,0)</f>
        <v>0</v>
      </c>
      <c r="D66" s="908" t="s">
        <v>793</v>
      </c>
      <c r="E66" s="894" t="s">
        <v>711</v>
      </c>
      <c r="F66" s="302">
        <f t="shared" ca="1" si="0"/>
        <v>0</v>
      </c>
      <c r="O66" s="1322" t="s">
        <v>404</v>
      </c>
      <c r="P66" s="1323" t="s">
        <v>845</v>
      </c>
      <c r="Q66" s="1324" t="e">
        <f ca="1">L60</f>
        <v>#DIV/0!</v>
      </c>
      <c r="R66" s="1324" t="s">
        <v>868</v>
      </c>
    </row>
    <row r="67" spans="1:18" s="1289" customFormat="1" ht="16.5" thickBot="1">
      <c r="A67" s="901" t="s">
        <v>394</v>
      </c>
      <c r="B67" s="911" t="s">
        <v>751</v>
      </c>
      <c r="C67" s="306">
        <f ca="1">C48-C58</f>
        <v>0</v>
      </c>
      <c r="D67" s="907" t="s">
        <v>752</v>
      </c>
      <c r="E67" s="912"/>
      <c r="F67" s="913"/>
      <c r="O67" s="1331" t="s">
        <v>405</v>
      </c>
      <c r="P67" s="1323" t="s">
        <v>849</v>
      </c>
      <c r="Q67" s="1367">
        <f ca="1">L51</f>
        <v>0</v>
      </c>
      <c r="R67" s="1324" t="s">
        <v>869</v>
      </c>
    </row>
    <row r="68" spans="1:18" s="1289" customFormat="1" ht="16.5" thickBot="1">
      <c r="A68" s="891" t="s">
        <v>395</v>
      </c>
      <c r="B68" s="892" t="s">
        <v>773</v>
      </c>
      <c r="C68" s="291" t="e">
        <f ca="1">ROUND(C67*(1-((1+F70)/(1+F68))^F69)/(F68-F70),0)</f>
        <v>#DIV/0!</v>
      </c>
      <c r="D68" s="909" t="s">
        <v>757</v>
      </c>
      <c r="E68" s="894" t="s">
        <v>758</v>
      </c>
      <c r="F68" s="302">
        <f ca="1">F40</f>
        <v>0</v>
      </c>
      <c r="O68" s="1331" t="s">
        <v>406</v>
      </c>
      <c r="P68" s="1368" t="s">
        <v>870</v>
      </c>
      <c r="Q68" s="1324">
        <f ca="1">ROUND(Q69-Q70*Q71,0)</f>
        <v>0</v>
      </c>
      <c r="R68" s="1324" t="s">
        <v>414</v>
      </c>
    </row>
    <row r="69" spans="1:18" s="1289" customFormat="1" ht="13.5" thickBot="1">
      <c r="A69" s="895"/>
      <c r="B69" s="896"/>
      <c r="C69" s="296"/>
      <c r="D69" s="914" t="s">
        <v>761</v>
      </c>
      <c r="E69" s="894" t="s">
        <v>762</v>
      </c>
      <c r="F69" s="322">
        <f ca="1">F41</f>
        <v>0</v>
      </c>
      <c r="O69" s="1331" t="s">
        <v>411</v>
      </c>
      <c r="P69" s="1368" t="s">
        <v>871</v>
      </c>
      <c r="Q69" s="1324">
        <f ca="1">C39</f>
        <v>0</v>
      </c>
      <c r="R69" s="1324" t="s">
        <v>817</v>
      </c>
    </row>
    <row r="70" spans="1:18" s="1289" customFormat="1" ht="13.5" thickBot="1">
      <c r="A70" s="898"/>
      <c r="B70" s="899"/>
      <c r="C70" s="300"/>
      <c r="D70" s="910"/>
      <c r="E70" s="894" t="s">
        <v>765</v>
      </c>
      <c r="F70" s="989"/>
      <c r="O70" s="1331" t="s">
        <v>412</v>
      </c>
      <c r="P70" s="1368" t="s">
        <v>872</v>
      </c>
      <c r="Q70" s="1324">
        <f ca="1">C13</f>
        <v>0</v>
      </c>
      <c r="R70" s="1324" t="s">
        <v>817</v>
      </c>
    </row>
    <row r="71" spans="1:18" s="1289" customFormat="1" ht="13.5" thickBot="1">
      <c r="A71" s="915" t="s">
        <v>396</v>
      </c>
      <c r="B71" s="916" t="s">
        <v>775</v>
      </c>
      <c r="C71" s="325" t="e">
        <f ca="1">ROUND(C68/F71,0)</f>
        <v>#DIV/0!</v>
      </c>
      <c r="D71" s="917" t="s">
        <v>776</v>
      </c>
      <c r="E71" s="918" t="s">
        <v>777</v>
      </c>
      <c r="F71" s="328">
        <f ca="1">F43</f>
        <v>0</v>
      </c>
      <c r="O71" s="1331" t="s">
        <v>413</v>
      </c>
      <c r="P71" s="1368" t="s">
        <v>873</v>
      </c>
      <c r="Q71" s="1334">
        <f ca="1">C76</f>
        <v>0</v>
      </c>
      <c r="R71" s="1324"/>
    </row>
    <row r="72" spans="1:18" s="1289" customFormat="1" ht="13.5" thickBot="1">
      <c r="B72" s="683"/>
      <c r="C72" s="683"/>
      <c r="O72" s="1331" t="s">
        <v>407</v>
      </c>
      <c r="P72" s="1323" t="s">
        <v>851</v>
      </c>
      <c r="Q72" s="1334">
        <f>L52</f>
        <v>0</v>
      </c>
      <c r="R72" s="1324"/>
    </row>
    <row r="73" spans="1:18" ht="16.5" thickBot="1">
      <c r="A73" s="1289"/>
      <c r="B73" s="683"/>
      <c r="C73" s="683"/>
      <c r="D73" s="1289"/>
      <c r="E73" s="1289"/>
      <c r="F73" s="1289"/>
      <c r="O73" s="1331" t="s">
        <v>408</v>
      </c>
      <c r="P73" s="1323" t="s">
        <v>854</v>
      </c>
      <c r="Q73" s="1324" t="e">
        <f ca="1">L58</f>
        <v>#DIV/0!</v>
      </c>
      <c r="R73" s="1324" t="s">
        <v>855</v>
      </c>
    </row>
    <row r="74" spans="1:18" ht="13.5" thickBot="1">
      <c r="A74" s="1289"/>
      <c r="B74" s="263" t="s">
        <v>874</v>
      </c>
      <c r="C74" s="1370"/>
      <c r="D74" s="1289"/>
      <c r="E74" s="1289"/>
      <c r="F74" s="1289"/>
      <c r="O74" s="1331" t="s">
        <v>415</v>
      </c>
      <c r="P74" s="1323" t="str">
        <f>K59</f>
        <v>建筑物剩余耐用年限下的土地年期修正系数Kn</v>
      </c>
      <c r="Q74" s="1324" t="e">
        <f ca="1">L59</f>
        <v>#DIV/0!</v>
      </c>
      <c r="R74" s="1324" t="s">
        <v>856</v>
      </c>
    </row>
    <row r="75" spans="1:18" ht="13.5" thickBot="1">
      <c r="A75" s="1289"/>
      <c r="B75" s="329" t="s">
        <v>794</v>
      </c>
      <c r="C75" s="330">
        <f ca="1">ROUND(C13*C76,0)</f>
        <v>0</v>
      </c>
      <c r="D75" s="1289"/>
      <c r="E75" s="1289"/>
      <c r="F75" s="1289"/>
      <c r="K75" s="1306"/>
      <c r="L75" s="1289"/>
      <c r="O75" s="1322" t="s">
        <v>409</v>
      </c>
      <c r="P75" s="1323" t="s">
        <v>837</v>
      </c>
      <c r="Q75" s="1324" t="e">
        <f ca="1">Q65+Q66</f>
        <v>#DIV/0!</v>
      </c>
      <c r="R75" s="1324" t="s">
        <v>410</v>
      </c>
    </row>
    <row r="76" spans="1:18">
      <c r="B76" s="331" t="s">
        <v>795</v>
      </c>
      <c r="C76" s="332">
        <f ca="1">INDIRECT("'数据-取费表'!j"&amp;$G$1)</f>
        <v>0</v>
      </c>
      <c r="I76" s="1289"/>
      <c r="J76" s="1289"/>
      <c r="K76" s="1306"/>
      <c r="L76" s="1289"/>
    </row>
    <row r="77" spans="1:18">
      <c r="B77" s="333" t="s">
        <v>796</v>
      </c>
      <c r="C77" s="334"/>
      <c r="I77" s="1289"/>
      <c r="J77" s="1289"/>
      <c r="K77" s="1306"/>
      <c r="L77" s="1289"/>
    </row>
    <row r="78" spans="1:18">
      <c r="B78" s="260" t="s">
        <v>797</v>
      </c>
      <c r="C78" s="335"/>
    </row>
    <row r="79" spans="1:18">
      <c r="B79" s="329" t="s">
        <v>798</v>
      </c>
      <c r="C79" s="264" t="e">
        <f ca="1">1-C80</f>
        <v>#DIV/0!</v>
      </c>
    </row>
    <row r="80" spans="1:18">
      <c r="B80" s="329" t="s">
        <v>799</v>
      </c>
      <c r="C80" s="264" t="e">
        <f ca="1">ROUND(C75/C39,3)</f>
        <v>#DIV/0!</v>
      </c>
    </row>
    <row r="81" spans="2:3">
      <c r="B81" s="260" t="s">
        <v>800</v>
      </c>
      <c r="C81" s="228"/>
    </row>
    <row r="82" spans="2:3">
      <c r="B82" s="263" t="s">
        <v>801</v>
      </c>
      <c r="C82" s="265" t="e">
        <f ca="1">1-C83</f>
        <v>#DIV/0!</v>
      </c>
    </row>
    <row r="83" spans="2:3">
      <c r="B83" s="263" t="s">
        <v>802</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0" t="s">
        <v>2312</v>
      </c>
      <c r="B2" s="2592" t="e">
        <f>IF(D2="——",C40,C40+E2)</f>
        <v>#DIV/0!</v>
      </c>
      <c r="C2" s="2593" t="s">
        <v>2313</v>
      </c>
      <c r="D2" s="3136" t="s">
        <v>3356</v>
      </c>
      <c r="E2" s="3137"/>
      <c r="F2" s="2595"/>
      <c r="G2" s="2596"/>
      <c r="H2" s="2597"/>
      <c r="I2" s="2598"/>
      <c r="J2" s="3425" t="s">
        <v>2314</v>
      </c>
      <c r="K2" s="3426"/>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427" t="s">
        <v>2324</v>
      </c>
      <c r="K3" s="3428"/>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427" t="s">
        <v>2326</v>
      </c>
      <c r="K4" s="3428"/>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433" t="s">
        <v>2330</v>
      </c>
      <c r="B6" s="3434"/>
      <c r="C6" s="3435"/>
      <c r="D6" s="2619"/>
      <c r="E6" s="2620"/>
      <c r="F6" s="2621"/>
      <c r="G6" s="2622"/>
      <c r="H6" s="2597"/>
      <c r="I6" s="2598"/>
      <c r="J6" s="3419">
        <v>1</v>
      </c>
      <c r="K6" s="3420"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419"/>
      <c r="K7" s="3421"/>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436" t="s">
        <v>2344</v>
      </c>
      <c r="C8" s="3437"/>
      <c r="D8" s="2638" t="s">
        <v>2345</v>
      </c>
      <c r="E8" s="2639" t="s">
        <v>2346</v>
      </c>
      <c r="F8" s="2640" t="s">
        <v>2347</v>
      </c>
      <c r="G8" s="2641"/>
      <c r="H8" s="2597"/>
      <c r="I8" s="2598"/>
      <c r="J8" s="3419"/>
      <c r="K8" s="3421"/>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436" t="s">
        <v>2350</v>
      </c>
      <c r="C9" s="3437"/>
      <c r="D9" s="2638">
        <f>ROUND(D6*E9,0)</f>
        <v>0</v>
      </c>
      <c r="E9" s="2642"/>
      <c r="F9" s="2643" t="s">
        <v>2351</v>
      </c>
      <c r="G9" s="2622"/>
      <c r="H9" s="2597"/>
      <c r="I9" s="2598"/>
      <c r="J9" s="3419"/>
      <c r="K9" s="3421"/>
      <c r="L9" s="2632" t="s">
        <v>2352</v>
      </c>
      <c r="M9" s="2633"/>
      <c r="N9" s="2609"/>
      <c r="O9" s="2634"/>
      <c r="P9" s="2634"/>
      <c r="Q9" s="2635">
        <v>365</v>
      </c>
      <c r="R9" s="2636">
        <f t="shared" si="0"/>
        <v>0</v>
      </c>
      <c r="S9" s="2590"/>
      <c r="T9" s="2590"/>
      <c r="U9" s="2590"/>
      <c r="V9" s="2598"/>
    </row>
    <row r="10" spans="1:22" s="2602" customFormat="1" ht="13.15" customHeight="1">
      <c r="A10" s="2637">
        <v>2</v>
      </c>
      <c r="B10" s="3436" t="s">
        <v>2353</v>
      </c>
      <c r="C10" s="3437"/>
      <c r="D10" s="2638">
        <f>ROUND(D6*E10,0)</f>
        <v>0</v>
      </c>
      <c r="E10" s="2642"/>
      <c r="F10" s="2643" t="s">
        <v>2354</v>
      </c>
      <c r="G10" s="2622"/>
      <c r="H10" s="2597"/>
      <c r="I10" s="2598"/>
      <c r="J10" s="3419"/>
      <c r="K10" s="3421"/>
      <c r="L10" s="2632" t="s">
        <v>2355</v>
      </c>
      <c r="M10" s="2633"/>
      <c r="N10" s="2609"/>
      <c r="O10" s="2634"/>
      <c r="P10" s="2634"/>
      <c r="Q10" s="2635">
        <v>365</v>
      </c>
      <c r="R10" s="2636">
        <f t="shared" si="0"/>
        <v>0</v>
      </c>
      <c r="S10" s="2590"/>
      <c r="T10" s="2590"/>
      <c r="U10" s="2590"/>
      <c r="V10" s="2598"/>
    </row>
    <row r="11" spans="1:22" s="2602" customFormat="1" ht="13.15" customHeight="1">
      <c r="A11" s="2637">
        <v>3</v>
      </c>
      <c r="B11" s="3436" t="s">
        <v>2356</v>
      </c>
      <c r="C11" s="3437"/>
      <c r="D11" s="2638">
        <f>D12+D14+D15+D16</f>
        <v>0</v>
      </c>
      <c r="E11" s="2644" t="e">
        <f>D11/D6</f>
        <v>#DIV/0!</v>
      </c>
      <c r="F11" s="2640"/>
      <c r="G11" s="2641"/>
      <c r="H11" s="2597"/>
      <c r="I11" s="2598"/>
      <c r="J11" s="3419"/>
      <c r="K11" s="3421"/>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429" t="s">
        <v>2359</v>
      </c>
      <c r="C12" s="3430"/>
      <c r="D12" s="2646">
        <f>ROUND(D13*1.2%*(1-30%),0)</f>
        <v>0</v>
      </c>
      <c r="E12" s="2647">
        <v>1.2E-2</v>
      </c>
      <c r="F12" s="2640" t="s">
        <v>2360</v>
      </c>
      <c r="G12" s="2641"/>
      <c r="H12" s="2597"/>
      <c r="I12" s="2598"/>
      <c r="J12" s="3419"/>
      <c r="K12" s="3421"/>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419"/>
      <c r="K13" s="3421"/>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429" t="s">
        <v>2365</v>
      </c>
      <c r="C14" s="3430"/>
      <c r="D14" s="2646">
        <f>ROUND(E14*B5/10000,0)</f>
        <v>0</v>
      </c>
      <c r="E14" s="2635"/>
      <c r="F14" s="2640" t="s">
        <v>2366</v>
      </c>
      <c r="G14" s="2641"/>
      <c r="H14" s="2597"/>
      <c r="I14" s="2598"/>
      <c r="J14" s="3419"/>
      <c r="K14" s="3422"/>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429" t="s">
        <v>2369</v>
      </c>
      <c r="C15" s="3430"/>
      <c r="D15" s="2646">
        <f>ROUND(D6*E15,0)</f>
        <v>0</v>
      </c>
      <c r="E15" s="2647">
        <v>5.5E-2</v>
      </c>
      <c r="F15" s="2640" t="s">
        <v>2370</v>
      </c>
      <c r="G15" s="2622"/>
      <c r="H15" s="2597"/>
      <c r="I15" s="2598"/>
      <c r="J15" s="3419">
        <v>2</v>
      </c>
      <c r="K15" s="3420"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429" t="s">
        <v>2378</v>
      </c>
      <c r="C16" s="3430"/>
      <c r="D16" s="2657">
        <f>D6*E16</f>
        <v>0</v>
      </c>
      <c r="E16" s="2658"/>
      <c r="F16" s="2643" t="s">
        <v>2379</v>
      </c>
      <c r="G16" s="2622"/>
      <c r="H16" s="2597"/>
      <c r="I16" s="2598"/>
      <c r="J16" s="3419"/>
      <c r="K16" s="3421"/>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431" t="s">
        <v>2381</v>
      </c>
      <c r="C17" s="3432"/>
      <c r="D17" s="2660">
        <f>ROUND(D6*E17,0)</f>
        <v>0</v>
      </c>
      <c r="E17" s="2661"/>
      <c r="F17" s="2662" t="s">
        <v>2382</v>
      </c>
      <c r="G17" s="2622"/>
      <c r="H17" s="2597"/>
      <c r="I17" s="2598"/>
      <c r="J17" s="3419"/>
      <c r="K17" s="3421"/>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419"/>
      <c r="K18" s="3421"/>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419"/>
      <c r="K19" s="3422"/>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9">
        <v>3</v>
      </c>
      <c r="K20" s="3420"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419"/>
      <c r="K21" s="3421"/>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419"/>
      <c r="K22" s="3421"/>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419"/>
      <c r="K23" s="3421"/>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419"/>
      <c r="K24" s="3422"/>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423">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424"/>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425" t="s">
        <v>2314</v>
      </c>
      <c r="K32" s="3426"/>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427" t="s">
        <v>2324</v>
      </c>
      <c r="K33" s="3428"/>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427" t="s">
        <v>2326</v>
      </c>
      <c r="K34" s="342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419">
        <v>1</v>
      </c>
      <c r="K36" s="3420"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419"/>
      <c r="K37" s="3421"/>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9"/>
      <c r="K38" s="3421"/>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419"/>
      <c r="K39" s="3421"/>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419"/>
      <c r="K40" s="3422"/>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423">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424"/>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1654</v>
      </c>
      <c r="B1" s="1723"/>
      <c r="C1" s="1723"/>
      <c r="D1" s="1723"/>
      <c r="E1" s="1724"/>
      <c r="F1" s="2477"/>
      <c r="G1" s="457"/>
      <c r="H1" s="457"/>
      <c r="I1" s="457"/>
      <c r="J1" s="457"/>
      <c r="K1" s="457"/>
      <c r="L1" s="457"/>
      <c r="M1" s="457"/>
      <c r="N1" s="457"/>
      <c r="O1" s="457"/>
      <c r="P1" s="457"/>
      <c r="Q1" s="457"/>
      <c r="R1" s="457"/>
      <c r="S1" s="457"/>
    </row>
    <row r="2" spans="1:22" ht="15.75">
      <c r="A2" s="1725" t="s">
        <v>1458</v>
      </c>
      <c r="B2" s="809">
        <f ca="1">SUMIF(B6:B13,"&lt;&gt;#ref!",B6:B13)</f>
        <v>100536</v>
      </c>
      <c r="C2" s="1726" t="s">
        <v>1647</v>
      </c>
      <c r="D2" s="1727" t="s">
        <v>1648</v>
      </c>
      <c r="E2" s="2390">
        <f>SUM(E6:E13)</f>
        <v>68049.77999999997</v>
      </c>
      <c r="F2" s="2477"/>
      <c r="G2" s="457"/>
      <c r="H2" s="457"/>
      <c r="I2" s="457"/>
      <c r="J2" s="457"/>
      <c r="K2" s="457"/>
      <c r="L2" s="457"/>
      <c r="M2" s="457"/>
      <c r="N2" s="457"/>
      <c r="O2" s="457"/>
      <c r="P2" s="457"/>
      <c r="Q2" s="457"/>
      <c r="R2" s="457"/>
      <c r="S2" s="457"/>
    </row>
    <row r="3" spans="1:22" ht="15.75">
      <c r="A3" s="1725" t="s">
        <v>685</v>
      </c>
      <c r="B3" s="2384">
        <f ca="1">ROUND(B2*10000/E2,0)</f>
        <v>14774</v>
      </c>
      <c r="C3" s="1726" t="s">
        <v>1655</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1649</v>
      </c>
      <c r="B5" s="3438" t="s">
        <v>1650</v>
      </c>
      <c r="C5" s="3439"/>
      <c r="D5" s="2478"/>
      <c r="E5" s="1728" t="s">
        <v>1651</v>
      </c>
      <c r="F5" s="127" t="s">
        <v>1652</v>
      </c>
      <c r="G5" s="457"/>
      <c r="H5" s="457"/>
      <c r="I5" s="457"/>
      <c r="J5" s="457"/>
      <c r="K5" s="457"/>
      <c r="L5" s="457"/>
      <c r="M5" s="457"/>
      <c r="N5" s="457"/>
      <c r="O5" s="457"/>
      <c r="P5" s="457"/>
      <c r="Q5" s="457"/>
      <c r="R5" s="457"/>
      <c r="S5" s="457"/>
    </row>
    <row r="6" spans="1:22">
      <c r="A6" s="2387" t="str">
        <f>'数据-取费表'!AN6</f>
        <v>收益法</v>
      </c>
      <c r="B6" s="2385">
        <f ca="1">IF(F6="是",'数据-取费表'!AO6,0)</f>
        <v>100536</v>
      </c>
      <c r="C6" s="1726" t="s">
        <v>1647</v>
      </c>
      <c r="D6" s="2477"/>
      <c r="E6" s="2389">
        <f>IF(OR(A6=0,F6="否"),0,'数据-取费表'!K6+'数据-取费表'!S6)</f>
        <v>68049.77999999997</v>
      </c>
      <c r="F6" s="1729" t="s">
        <v>1653</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1647</v>
      </c>
      <c r="D7" s="2477"/>
      <c r="E7" s="2389">
        <f>IF(OR(A7=0,F7="否"),0,'数据-取费表'!K7+'数据-取费表'!S7)</f>
        <v>0</v>
      </c>
      <c r="F7" s="1729" t="s">
        <v>1653</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1647</v>
      </c>
      <c r="D8" s="2477"/>
      <c r="E8" s="2389">
        <f>IF(OR(A8=0,F8="否"),0,'数据-取费表'!K8+'数据-取费表'!S8)</f>
        <v>0</v>
      </c>
      <c r="F8" s="1729" t="s">
        <v>1653</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1647</v>
      </c>
      <c r="D9" s="2477"/>
      <c r="E9" s="2389">
        <f>IF(OR(A9=0,F9="否"),0,'数据-取费表'!K9+'数据-取费表'!S9)</f>
        <v>0</v>
      </c>
      <c r="F9" s="1729" t="s">
        <v>1653</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1647</v>
      </c>
      <c r="D10" s="2477"/>
      <c r="E10" s="2389">
        <f>IF(OR(A10=0,F10="否"),0,'数据-取费表'!K10+'数据-取费表'!S10)</f>
        <v>0</v>
      </c>
      <c r="F10" s="1729" t="s">
        <v>1653</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1647</v>
      </c>
      <c r="D11" s="2477"/>
      <c r="E11" s="2389">
        <f>IF(OR(A11=0,F11="否"),0,'数据-取费表'!K11+'数据-取费表'!S11)</f>
        <v>0</v>
      </c>
      <c r="F11" s="1729" t="s">
        <v>1653</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1647</v>
      </c>
      <c r="D12" s="2477"/>
      <c r="E12" s="2389">
        <f>IF(OR(A12=0,F12="否"),0,'数据-取费表'!K12+'数据-取费表'!S12)</f>
        <v>0</v>
      </c>
      <c r="F12" s="1729" t="s">
        <v>1653</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1647</v>
      </c>
      <c r="D13" s="2479"/>
      <c r="E13" s="2389">
        <f>IF(OR(A13=0,F13="否"),0,'数据-取费表'!K13+'数据-取费表'!S13)</f>
        <v>0</v>
      </c>
      <c r="F13" s="1729" t="s">
        <v>1653</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897</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898</v>
      </c>
    </row>
    <row r="6" spans="1:1" ht="18.75">
      <c r="A6" s="1381" t="s">
        <v>899</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估价对象为北京市房地产，为所有。根据《国有土地使用证》[]，估价对象（分摊）出让国有建设用地使用权面积为15742.02平方米，建筑面积为68049.78平方米。</v>
      </c>
    </row>
    <row r="8" spans="1:1" ht="57.75">
      <c r="A8" s="1382" t="s">
        <v>900</v>
      </c>
    </row>
    <row r="9" spans="1:1" ht="18.75">
      <c r="A9" s="1381" t="s">
        <v>901</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估价对象为北京市房地产,属开发建设的商业项目，该项目尚在开发建设中。根据《国有土地使用证》[]，估价对象（分摊）出让国有建设用地使用权面积为15742.02平方米，规划建筑面积为68049.78平方米。</v>
      </c>
    </row>
    <row r="11" spans="1:1" ht="76.5">
      <c r="A11" s="1382" t="s">
        <v>902</v>
      </c>
    </row>
    <row r="12" spans="1:1" ht="18.75">
      <c r="A12" s="1380" t="s">
        <v>903</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904</v>
      </c>
    </row>
    <row r="15" spans="1:1" ht="18">
      <c r="A15" s="1383" t="str">
        <f>TEXT(项目基本情况!D3,"yyyy年m月d日;;")&amp;IF(项目基本情况!D3=项目基本情况!B3,"（评估专业人员实地查勘之日）","")</f>
        <v>2024年11月8日（评估专业人员实地查勘之日）</v>
      </c>
    </row>
    <row r="16" spans="1:1" ht="18.75">
      <c r="A16" s="1378" t="s">
        <v>905</v>
      </c>
    </row>
    <row r="17" spans="1:1" ht="75">
      <c r="A17" s="1379" t="s">
        <v>906</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895</v>
      </c>
    </row>
    <row r="24" spans="1:1" ht="18">
      <c r="A24" s="1384" t="str">
        <f>"本次评估采用的主估价方法为"&amp;结果表!K4&amp;"和"&amp;结果表!L4&amp;"。"</f>
        <v>本次评估采用的主估价方法为成本法和收益法。</v>
      </c>
    </row>
    <row r="25" spans="1:1" ht="18">
      <c r="A25" s="1384"/>
    </row>
    <row r="26" spans="1:1" ht="18.75">
      <c r="A26" s="1385" t="s">
        <v>896</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731" t="s">
        <v>1657</v>
      </c>
      <c r="C1" s="1152" t="s">
        <v>1658</v>
      </c>
      <c r="D1" s="1139"/>
      <c r="E1" s="3122"/>
      <c r="F1" s="1732"/>
      <c r="G1" s="1149" t="s">
        <v>1659</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684</v>
      </c>
      <c r="B2" s="312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1660</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685</v>
      </c>
      <c r="B3" s="341">
        <f>IF(C2="——",C49,ROUND(B2*10000/D3,0))</f>
        <v>0</v>
      </c>
      <c r="C3" s="342" t="s">
        <v>1661</v>
      </c>
      <c r="D3" s="341">
        <f>IF(D1="",'数据-汇总表'!E3,SUMIF('数据-汇总表'!$C19:$C33,D1,'数据-汇总表'!$E19:$E33))</f>
        <v>68049.77999999997</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3" t="s">
        <v>1662</v>
      </c>
      <c r="B4" s="344"/>
      <c r="C4" s="3376" t="s">
        <v>1663</v>
      </c>
      <c r="D4" s="3388"/>
      <c r="E4" s="3389" t="s">
        <v>1664</v>
      </c>
      <c r="F4" s="3390"/>
      <c r="G4" s="3376" t="s">
        <v>1665</v>
      </c>
      <c r="H4" s="3388"/>
      <c r="I4" s="3376" t="s">
        <v>1666</v>
      </c>
      <c r="J4" s="3388"/>
      <c r="K4" s="1741" t="s">
        <v>1667</v>
      </c>
      <c r="L4" s="2484"/>
      <c r="M4" s="2485"/>
      <c r="N4" s="2485"/>
      <c r="O4" s="2485"/>
      <c r="P4" s="3391" t="s">
        <v>1668</v>
      </c>
      <c r="Q4" s="3392"/>
      <c r="R4" s="3397" t="s">
        <v>1664</v>
      </c>
      <c r="S4" s="3398"/>
      <c r="T4" s="3397" t="s">
        <v>1665</v>
      </c>
      <c r="U4" s="3398"/>
      <c r="V4" s="3384" t="s">
        <v>1666</v>
      </c>
      <c r="W4" s="3384"/>
      <c r="X4" s="1262"/>
      <c r="Y4" s="3397" t="s">
        <v>1668</v>
      </c>
      <c r="Z4" s="3398"/>
      <c r="AA4" s="3385" t="s">
        <v>1664</v>
      </c>
      <c r="AB4" s="3385" t="s">
        <v>1665</v>
      </c>
      <c r="AC4" s="3385" t="s">
        <v>1666</v>
      </c>
    </row>
    <row r="5" spans="1:29" ht="15">
      <c r="A5" s="346"/>
      <c r="B5" s="347"/>
      <c r="C5" s="3405" t="s">
        <v>1669</v>
      </c>
      <c r="D5" s="3406"/>
      <c r="E5" s="3412" t="s">
        <v>1670</v>
      </c>
      <c r="F5" s="3413"/>
      <c r="G5" s="3405" t="s">
        <v>1671</v>
      </c>
      <c r="H5" s="3406"/>
      <c r="I5" s="3405" t="s">
        <v>1672</v>
      </c>
      <c r="J5" s="3406"/>
      <c r="K5" s="1742"/>
      <c r="L5" s="2484"/>
      <c r="M5" s="2485"/>
      <c r="N5" s="2485"/>
      <c r="O5" s="2485"/>
      <c r="P5" s="3393"/>
      <c r="Q5" s="3394"/>
      <c r="R5" s="3399"/>
      <c r="S5" s="3400"/>
      <c r="T5" s="3399"/>
      <c r="U5" s="3400"/>
      <c r="V5" s="3384"/>
      <c r="W5" s="3384"/>
      <c r="X5" s="1262"/>
      <c r="Y5" s="3399"/>
      <c r="Z5" s="3400"/>
      <c r="AA5" s="3386"/>
      <c r="AB5" s="3386"/>
      <c r="AC5" s="3386"/>
    </row>
    <row r="6" spans="1:29" ht="15.75" thickBot="1">
      <c r="A6" s="348"/>
      <c r="B6" s="349"/>
      <c r="C6" s="3403" t="s">
        <v>1673</v>
      </c>
      <c r="D6" s="3404"/>
      <c r="E6" s="3410" t="s">
        <v>1673</v>
      </c>
      <c r="F6" s="3411"/>
      <c r="G6" s="3403" t="s">
        <v>1673</v>
      </c>
      <c r="H6" s="3404"/>
      <c r="I6" s="3403" t="s">
        <v>1673</v>
      </c>
      <c r="J6" s="3404"/>
      <c r="K6" s="1742" t="s">
        <v>1674</v>
      </c>
      <c r="L6" s="2484"/>
      <c r="M6" s="2485"/>
      <c r="N6" s="2485"/>
      <c r="O6" s="2485"/>
      <c r="P6" s="3395"/>
      <c r="Q6" s="3396"/>
      <c r="R6" s="3399"/>
      <c r="S6" s="3400"/>
      <c r="T6" s="3401"/>
      <c r="U6" s="3402"/>
      <c r="V6" s="3384"/>
      <c r="W6" s="3384"/>
      <c r="X6" s="1262"/>
      <c r="Y6" s="3401"/>
      <c r="Z6" s="3402"/>
      <c r="AA6" s="3387"/>
      <c r="AB6" s="3387"/>
      <c r="AC6" s="3387"/>
    </row>
    <row r="7" spans="1:29" s="102" customFormat="1" ht="15.75" thickBot="1">
      <c r="A7" s="350" t="s">
        <v>1675</v>
      </c>
      <c r="B7" s="351"/>
      <c r="C7" s="352">
        <f>'数据-取费表'!B2</f>
        <v>45604</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07" t="s">
        <v>1676</v>
      </c>
      <c r="Q7" s="3409"/>
      <c r="R7" s="662" t="s">
        <v>20</v>
      </c>
      <c r="S7" s="663">
        <f t="shared" ref="S7:S15" si="0">F7</f>
        <v>0</v>
      </c>
      <c r="T7" s="662" t="s">
        <v>20</v>
      </c>
      <c r="U7" s="663">
        <f t="shared" ref="U7:U15" si="1">H7</f>
        <v>0</v>
      </c>
      <c r="V7" s="662" t="s">
        <v>20</v>
      </c>
      <c r="W7" s="663">
        <f t="shared" ref="W7:W15" si="2">J7</f>
        <v>0</v>
      </c>
      <c r="X7" s="664"/>
      <c r="Y7" s="3407" t="s">
        <v>1676</v>
      </c>
      <c r="Z7" s="3408"/>
      <c r="AA7" s="50" t="e">
        <f>D7/F7</f>
        <v>#DIV/0!</v>
      </c>
      <c r="AB7" s="50" t="e">
        <f>D7/H7</f>
        <v>#DIV/0!</v>
      </c>
      <c r="AC7" s="50" t="e">
        <f>D7/J7</f>
        <v>#DIV/0!</v>
      </c>
    </row>
    <row r="8" spans="1:29" s="102" customFormat="1" ht="15.75" thickBot="1">
      <c r="A8" s="350" t="s">
        <v>1677</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07" t="s">
        <v>1679</v>
      </c>
      <c r="Q8" s="3408"/>
      <c r="R8" s="662" t="s">
        <v>20</v>
      </c>
      <c r="S8" s="663">
        <f t="shared" si="0"/>
        <v>100</v>
      </c>
      <c r="T8" s="662" t="s">
        <v>20</v>
      </c>
      <c r="U8" s="663">
        <f t="shared" si="1"/>
        <v>100</v>
      </c>
      <c r="V8" s="662" t="s">
        <v>20</v>
      </c>
      <c r="W8" s="663">
        <f t="shared" si="2"/>
        <v>100</v>
      </c>
      <c r="X8" s="664"/>
      <c r="Y8" s="3407" t="s">
        <v>1679</v>
      </c>
      <c r="Z8" s="3408"/>
      <c r="AA8" s="50">
        <f t="shared" ref="AA8:AA19" si="3">D8/F8</f>
        <v>1</v>
      </c>
      <c r="AB8" s="50">
        <f t="shared" ref="AB8:AB19" si="4">D8/H8</f>
        <v>1</v>
      </c>
      <c r="AC8" s="50">
        <f t="shared" ref="AC8:AC19" si="5">D8/J8</f>
        <v>1</v>
      </c>
    </row>
    <row r="9" spans="1:29" s="102" customFormat="1">
      <c r="A9" s="357" t="s">
        <v>1680</v>
      </c>
      <c r="B9" s="60" t="s">
        <v>1681</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378" t="s">
        <v>1682</v>
      </c>
      <c r="Q9" s="528" t="str">
        <f t="shared" ref="Q9:Q15" si="6">B9</f>
        <v>用途</v>
      </c>
      <c r="R9" s="662" t="s">
        <v>14</v>
      </c>
      <c r="S9" s="663">
        <f t="shared" si="0"/>
        <v>100</v>
      </c>
      <c r="T9" s="662" t="s">
        <v>14</v>
      </c>
      <c r="U9" s="663">
        <f t="shared" si="1"/>
        <v>100</v>
      </c>
      <c r="V9" s="662" t="s">
        <v>14</v>
      </c>
      <c r="W9" s="663">
        <f t="shared" si="2"/>
        <v>100</v>
      </c>
      <c r="X9" s="664"/>
      <c r="Y9" s="3276" t="s">
        <v>1683</v>
      </c>
      <c r="Z9" s="50" t="str">
        <f t="shared" ref="Z9:Z15" si="7">Q9</f>
        <v>用途</v>
      </c>
      <c r="AA9" s="50">
        <f t="shared" si="3"/>
        <v>1</v>
      </c>
      <c r="AB9" s="50">
        <f t="shared" si="4"/>
        <v>1</v>
      </c>
      <c r="AC9" s="50">
        <f t="shared" si="5"/>
        <v>1</v>
      </c>
    </row>
    <row r="10" spans="1:29" s="364" customFormat="1" ht="27">
      <c r="A10" s="361"/>
      <c r="B10" s="362" t="s">
        <v>1684</v>
      </c>
      <c r="C10" s="3130"/>
      <c r="D10" s="117">
        <v>100</v>
      </c>
      <c r="E10" s="3131"/>
      <c r="F10" s="362">
        <f>SUMIF(65:65,E10,66:66)-SUMIF(65:65,C10,66:66)+100</f>
        <v>100</v>
      </c>
      <c r="G10" s="3130"/>
      <c r="H10" s="117">
        <f>SUMIF(65:65,G10,66:66)-SUMIF(65:65,C10,66:66)+100</f>
        <v>100</v>
      </c>
      <c r="I10" s="3130"/>
      <c r="J10" s="117">
        <f>SUMIF(65:65,I10,66:66)-SUMIF(65:65,C10,66:66)+100</f>
        <v>100</v>
      </c>
      <c r="K10" s="1743"/>
      <c r="L10" s="2487"/>
      <c r="M10" s="2488"/>
      <c r="N10" s="2488"/>
      <c r="O10" s="2488"/>
      <c r="P10" s="3378"/>
      <c r="Q10" s="528" t="str">
        <f t="shared" si="6"/>
        <v>土地使用年限（年）</v>
      </c>
      <c r="R10" s="662" t="s">
        <v>14</v>
      </c>
      <c r="S10" s="663">
        <f t="shared" si="0"/>
        <v>100</v>
      </c>
      <c r="T10" s="662" t="s">
        <v>14</v>
      </c>
      <c r="U10" s="663">
        <f t="shared" si="1"/>
        <v>100</v>
      </c>
      <c r="V10" s="662" t="s">
        <v>14</v>
      </c>
      <c r="W10" s="663">
        <f t="shared" si="2"/>
        <v>100</v>
      </c>
      <c r="X10" s="664"/>
      <c r="Y10" s="3276"/>
      <c r="Z10" s="50" t="str">
        <f t="shared" si="7"/>
        <v>土地使用年限（年）</v>
      </c>
      <c r="AA10" s="50">
        <f t="shared" si="3"/>
        <v>1</v>
      </c>
      <c r="AB10" s="50">
        <f t="shared" si="4"/>
        <v>1</v>
      </c>
      <c r="AC10" s="50">
        <f t="shared" si="5"/>
        <v>1</v>
      </c>
    </row>
    <row r="11" spans="1:29" ht="15">
      <c r="A11" s="365"/>
      <c r="B11" s="362" t="s">
        <v>1685</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378"/>
      <c r="Q11" s="528" t="str">
        <f t="shared" si="6"/>
        <v>容积率</v>
      </c>
      <c r="R11" s="662" t="s">
        <v>18</v>
      </c>
      <c r="S11" s="663" t="e">
        <f t="shared" si="0"/>
        <v>#N/A</v>
      </c>
      <c r="T11" s="662" t="s">
        <v>18</v>
      </c>
      <c r="U11" s="663" t="e">
        <f t="shared" si="1"/>
        <v>#N/A</v>
      </c>
      <c r="V11" s="662" t="s">
        <v>18</v>
      </c>
      <c r="W11" s="663" t="e">
        <f t="shared" si="2"/>
        <v>#N/A</v>
      </c>
      <c r="X11" s="664"/>
      <c r="Y11" s="3276"/>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378"/>
      <c r="Q12" s="528">
        <f t="shared" si="6"/>
        <v>111</v>
      </c>
      <c r="R12" s="662" t="s">
        <v>18</v>
      </c>
      <c r="S12" s="663">
        <f t="shared" si="0"/>
        <v>100</v>
      </c>
      <c r="T12" s="662" t="s">
        <v>18</v>
      </c>
      <c r="U12" s="663">
        <f t="shared" si="1"/>
        <v>100</v>
      </c>
      <c r="V12" s="662" t="s">
        <v>18</v>
      </c>
      <c r="W12" s="663">
        <f t="shared" si="2"/>
        <v>100</v>
      </c>
      <c r="X12" s="664"/>
      <c r="Y12" s="327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378"/>
      <c r="Q13" s="528">
        <f t="shared" si="6"/>
        <v>111</v>
      </c>
      <c r="R13" s="662" t="s">
        <v>18</v>
      </c>
      <c r="S13" s="663">
        <f t="shared" si="0"/>
        <v>100</v>
      </c>
      <c r="T13" s="662" t="s">
        <v>18</v>
      </c>
      <c r="U13" s="663">
        <f t="shared" si="1"/>
        <v>100</v>
      </c>
      <c r="V13" s="662" t="s">
        <v>18</v>
      </c>
      <c r="W13" s="663">
        <f t="shared" si="2"/>
        <v>100</v>
      </c>
      <c r="X13" s="664"/>
      <c r="Y13" s="3276"/>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378"/>
      <c r="Q14" s="528">
        <f t="shared" si="6"/>
        <v>111</v>
      </c>
      <c r="R14" s="662" t="s">
        <v>18</v>
      </c>
      <c r="S14" s="663">
        <f t="shared" si="0"/>
        <v>100</v>
      </c>
      <c r="T14" s="662" t="s">
        <v>18</v>
      </c>
      <c r="U14" s="663">
        <f t="shared" si="1"/>
        <v>100</v>
      </c>
      <c r="V14" s="662" t="s">
        <v>18</v>
      </c>
      <c r="W14" s="663">
        <f t="shared" si="2"/>
        <v>100</v>
      </c>
      <c r="X14" s="664"/>
      <c r="Y14" s="3276"/>
      <c r="Z14" s="50">
        <f t="shared" si="7"/>
        <v>111</v>
      </c>
      <c r="AA14" s="50">
        <f t="shared" si="3"/>
        <v>1</v>
      </c>
      <c r="AB14" s="50">
        <f t="shared" si="4"/>
        <v>1</v>
      </c>
      <c r="AC14" s="50">
        <f t="shared" si="5"/>
        <v>1</v>
      </c>
    </row>
    <row r="15" spans="1:29" ht="85.5">
      <c r="A15" s="377" t="s">
        <v>1686</v>
      </c>
      <c r="B15" s="58" t="s">
        <v>1256</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45" t="s">
        <v>1687</v>
      </c>
      <c r="Q15" s="1260" t="str">
        <f t="shared" si="6"/>
        <v>居住社区成熟度</v>
      </c>
      <c r="R15" s="665" t="s">
        <v>18</v>
      </c>
      <c r="S15" s="666">
        <f t="shared" si="0"/>
        <v>100</v>
      </c>
      <c r="T15" s="665" t="s">
        <v>18</v>
      </c>
      <c r="U15" s="666">
        <f t="shared" si="1"/>
        <v>100</v>
      </c>
      <c r="V15" s="665" t="s">
        <v>18</v>
      </c>
      <c r="W15" s="666">
        <f t="shared" si="2"/>
        <v>100</v>
      </c>
      <c r="X15" s="1262"/>
      <c r="Y15" s="3380" t="s">
        <v>1687</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46"/>
      <c r="Q16" s="1260"/>
      <c r="R16" s="665"/>
      <c r="S16" s="666"/>
      <c r="T16" s="665"/>
      <c r="U16" s="666"/>
      <c r="V16" s="665"/>
      <c r="W16" s="666"/>
      <c r="X16" s="1262"/>
      <c r="Y16" s="3381"/>
      <c r="Z16" s="1261"/>
      <c r="AA16" s="1261">
        <v>1</v>
      </c>
      <c r="AB16" s="1261">
        <v>1</v>
      </c>
      <c r="AC16" s="1261">
        <v>1</v>
      </c>
    </row>
    <row r="17" spans="1:29" ht="71.25">
      <c r="A17" s="365"/>
      <c r="B17" s="388" t="s">
        <v>1258</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46"/>
      <c r="Q17" s="1260" t="str">
        <f>B17</f>
        <v>交通便捷度</v>
      </c>
      <c r="R17" s="665" t="s">
        <v>18</v>
      </c>
      <c r="S17" s="666">
        <f>F17</f>
        <v>100</v>
      </c>
      <c r="T17" s="665" t="s">
        <v>18</v>
      </c>
      <c r="U17" s="666">
        <f>H17</f>
        <v>100</v>
      </c>
      <c r="V17" s="665" t="s">
        <v>18</v>
      </c>
      <c r="W17" s="666">
        <f>J17</f>
        <v>100</v>
      </c>
      <c r="X17" s="1262"/>
      <c r="Y17" s="3381"/>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46"/>
      <c r="Q18" s="1260"/>
      <c r="R18" s="665"/>
      <c r="S18" s="666"/>
      <c r="T18" s="665"/>
      <c r="U18" s="666"/>
      <c r="V18" s="665"/>
      <c r="W18" s="666"/>
      <c r="X18" s="1262"/>
      <c r="Y18" s="3381"/>
      <c r="Z18" s="1261"/>
      <c r="AA18" s="1261">
        <v>1</v>
      </c>
      <c r="AB18" s="1261">
        <v>1</v>
      </c>
      <c r="AC18" s="1261">
        <v>1</v>
      </c>
    </row>
    <row r="19" spans="1:29" ht="42.75">
      <c r="A19" s="365"/>
      <c r="B19" s="388" t="s">
        <v>1257</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46"/>
      <c r="Q19" s="1260" t="str">
        <f>B19</f>
        <v>公共配套设施</v>
      </c>
      <c r="R19" s="665" t="s">
        <v>18</v>
      </c>
      <c r="S19" s="666">
        <f>F19</f>
        <v>100</v>
      </c>
      <c r="T19" s="665" t="s">
        <v>18</v>
      </c>
      <c r="U19" s="666">
        <f>H19</f>
        <v>100</v>
      </c>
      <c r="V19" s="665" t="s">
        <v>18</v>
      </c>
      <c r="W19" s="666">
        <f>J19</f>
        <v>100</v>
      </c>
      <c r="X19" s="1262"/>
      <c r="Y19" s="3381"/>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46"/>
      <c r="Q20" s="1260"/>
      <c r="R20" s="665"/>
      <c r="S20" s="666"/>
      <c r="T20" s="665"/>
      <c r="U20" s="666"/>
      <c r="V20" s="665"/>
      <c r="W20" s="666"/>
      <c r="X20" s="1262"/>
      <c r="Y20" s="3381"/>
      <c r="Z20" s="1261"/>
      <c r="AA20" s="1261">
        <v>1</v>
      </c>
      <c r="AB20" s="1261">
        <v>1</v>
      </c>
      <c r="AC20" s="1261">
        <v>1</v>
      </c>
    </row>
    <row r="21" spans="1:29" ht="28.5">
      <c r="A21" s="365"/>
      <c r="B21" s="584" t="s">
        <v>1259</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46"/>
      <c r="Q21" s="1260" t="str">
        <f>B21</f>
        <v>基础设施水平</v>
      </c>
      <c r="R21" s="665" t="s">
        <v>14</v>
      </c>
      <c r="S21" s="666">
        <f>F21</f>
        <v>100</v>
      </c>
      <c r="T21" s="665" t="s">
        <v>14</v>
      </c>
      <c r="U21" s="666">
        <f>H21</f>
        <v>100</v>
      </c>
      <c r="V21" s="665" t="s">
        <v>14</v>
      </c>
      <c r="W21" s="666">
        <f>J21</f>
        <v>100</v>
      </c>
      <c r="X21" s="1262"/>
      <c r="Y21" s="338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46"/>
      <c r="Q22" s="1260"/>
      <c r="R22" s="665"/>
      <c r="S22" s="666"/>
      <c r="T22" s="665"/>
      <c r="U22" s="666"/>
      <c r="V22" s="665"/>
      <c r="W22" s="666"/>
      <c r="X22" s="1262"/>
      <c r="Y22" s="3381"/>
      <c r="Z22" s="1261"/>
      <c r="AA22" s="1261">
        <v>1</v>
      </c>
      <c r="AB22" s="1261">
        <v>1</v>
      </c>
      <c r="AC22" s="1261">
        <v>1</v>
      </c>
    </row>
    <row r="23" spans="1:29" ht="42.75">
      <c r="A23" s="365"/>
      <c r="B23" s="388" t="s">
        <v>1260</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46"/>
      <c r="Q23" s="1260" t="str">
        <f>B23</f>
        <v>自然及人文环境</v>
      </c>
      <c r="R23" s="665" t="s">
        <v>18</v>
      </c>
      <c r="S23" s="666">
        <f>F23</f>
        <v>100</v>
      </c>
      <c r="T23" s="665" t="s">
        <v>18</v>
      </c>
      <c r="U23" s="666">
        <f>H23</f>
        <v>100</v>
      </c>
      <c r="V23" s="665" t="s">
        <v>18</v>
      </c>
      <c r="W23" s="666">
        <f>J23</f>
        <v>100</v>
      </c>
      <c r="X23" s="1262"/>
      <c r="Y23" s="3381"/>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46"/>
      <c r="Q24" s="1260"/>
      <c r="R24" s="665"/>
      <c r="S24" s="666"/>
      <c r="T24" s="665"/>
      <c r="U24" s="666"/>
      <c r="V24" s="665"/>
      <c r="W24" s="666"/>
      <c r="X24" s="1262"/>
      <c r="Y24" s="3381"/>
      <c r="Z24" s="1261"/>
      <c r="AA24" s="1261">
        <v>1</v>
      </c>
      <c r="AB24" s="1261">
        <v>1</v>
      </c>
      <c r="AC24" s="1261">
        <v>1</v>
      </c>
    </row>
    <row r="25" spans="1:29" ht="15">
      <c r="A25" s="365"/>
      <c r="B25" s="362" t="s">
        <v>1688</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46"/>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381"/>
      <c r="Z25" s="1261" t="str">
        <f>Q25</f>
        <v>楼层-1</v>
      </c>
      <c r="AA25" s="1261">
        <f t="shared" ref="AA25:AA46" si="15">D25/F25</f>
        <v>1</v>
      </c>
      <c r="AB25" s="1261">
        <f t="shared" ref="AB25:AB46" si="16">D25/H25</f>
        <v>1</v>
      </c>
      <c r="AC25" s="1261">
        <f t="shared" ref="AC25:AC46" si="17">D25/J25</f>
        <v>1</v>
      </c>
    </row>
    <row r="26" spans="1:29" ht="15">
      <c r="A26" s="365"/>
      <c r="B26" s="362" t="s">
        <v>1689</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46"/>
      <c r="Q26" s="1260" t="str">
        <f t="shared" si="11"/>
        <v>朝向</v>
      </c>
      <c r="R26" s="665" t="s">
        <v>18</v>
      </c>
      <c r="S26" s="666">
        <f t="shared" si="12"/>
        <v>100</v>
      </c>
      <c r="T26" s="665" t="s">
        <v>18</v>
      </c>
      <c r="U26" s="666">
        <f t="shared" si="13"/>
        <v>100</v>
      </c>
      <c r="V26" s="665" t="s">
        <v>18</v>
      </c>
      <c r="W26" s="666">
        <f t="shared" si="14"/>
        <v>100</v>
      </c>
      <c r="X26" s="1262"/>
      <c r="Y26" s="3381"/>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46"/>
      <c r="Q27" s="528">
        <f t="shared" si="11"/>
        <v>111</v>
      </c>
      <c r="R27" s="662" t="s">
        <v>18</v>
      </c>
      <c r="S27" s="663">
        <f t="shared" si="12"/>
        <v>100</v>
      </c>
      <c r="T27" s="662" t="s">
        <v>18</v>
      </c>
      <c r="U27" s="663">
        <f t="shared" si="13"/>
        <v>100</v>
      </c>
      <c r="V27" s="662" t="s">
        <v>18</v>
      </c>
      <c r="W27" s="663">
        <f t="shared" si="14"/>
        <v>100</v>
      </c>
      <c r="X27" s="664"/>
      <c r="Y27" s="3381"/>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46"/>
      <c r="Q28" s="1260">
        <f t="shared" si="11"/>
        <v>111</v>
      </c>
      <c r="R28" s="665" t="s">
        <v>18</v>
      </c>
      <c r="S28" s="666">
        <f t="shared" si="12"/>
        <v>100</v>
      </c>
      <c r="T28" s="665" t="s">
        <v>18</v>
      </c>
      <c r="U28" s="666">
        <f t="shared" si="13"/>
        <v>100</v>
      </c>
      <c r="V28" s="665" t="s">
        <v>18</v>
      </c>
      <c r="W28" s="666">
        <f t="shared" si="14"/>
        <v>100</v>
      </c>
      <c r="X28" s="1262"/>
      <c r="Y28" s="3381"/>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46"/>
      <c r="Q29" s="1260">
        <f t="shared" si="11"/>
        <v>111</v>
      </c>
      <c r="R29" s="665" t="s">
        <v>18</v>
      </c>
      <c r="S29" s="666">
        <f t="shared" si="12"/>
        <v>100</v>
      </c>
      <c r="T29" s="665" t="s">
        <v>18</v>
      </c>
      <c r="U29" s="666">
        <f t="shared" si="13"/>
        <v>100</v>
      </c>
      <c r="V29" s="665" t="s">
        <v>18</v>
      </c>
      <c r="W29" s="666">
        <f t="shared" si="14"/>
        <v>100</v>
      </c>
      <c r="X29" s="1262"/>
      <c r="Y29" s="3381"/>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46"/>
      <c r="Q30" s="1260">
        <f t="shared" si="11"/>
        <v>111</v>
      </c>
      <c r="R30" s="665" t="s">
        <v>18</v>
      </c>
      <c r="S30" s="666">
        <f t="shared" si="12"/>
        <v>100</v>
      </c>
      <c r="T30" s="665" t="s">
        <v>18</v>
      </c>
      <c r="U30" s="666">
        <f t="shared" si="13"/>
        <v>100</v>
      </c>
      <c r="V30" s="665" t="s">
        <v>18</v>
      </c>
      <c r="W30" s="666">
        <f t="shared" si="14"/>
        <v>100</v>
      </c>
      <c r="X30" s="1262"/>
      <c r="Y30" s="3381"/>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46"/>
      <c r="Q31" s="1260">
        <f t="shared" si="11"/>
        <v>111</v>
      </c>
      <c r="R31" s="665" t="s">
        <v>18</v>
      </c>
      <c r="S31" s="666">
        <f t="shared" si="12"/>
        <v>100</v>
      </c>
      <c r="T31" s="665" t="s">
        <v>18</v>
      </c>
      <c r="U31" s="666">
        <f t="shared" si="13"/>
        <v>100</v>
      </c>
      <c r="V31" s="665" t="s">
        <v>18</v>
      </c>
      <c r="W31" s="666">
        <f t="shared" si="14"/>
        <v>100</v>
      </c>
      <c r="X31" s="1262"/>
      <c r="Y31" s="3381"/>
      <c r="Z31" s="1261">
        <f t="shared" si="18"/>
        <v>111</v>
      </c>
      <c r="AA31" s="1261">
        <f t="shared" si="15"/>
        <v>1</v>
      </c>
      <c r="AB31" s="1261">
        <f t="shared" si="16"/>
        <v>1</v>
      </c>
      <c r="AC31" s="1261">
        <f t="shared" si="17"/>
        <v>1</v>
      </c>
    </row>
    <row r="32" spans="1:29" ht="15">
      <c r="A32" s="377" t="s">
        <v>1690</v>
      </c>
      <c r="B32" s="60" t="s">
        <v>1691</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41" t="s">
        <v>1692</v>
      </c>
      <c r="Q32" s="1260" t="str">
        <f t="shared" si="11"/>
        <v>建筑类型</v>
      </c>
      <c r="R32" s="665" t="s">
        <v>18</v>
      </c>
      <c r="S32" s="666">
        <f t="shared" si="12"/>
        <v>100</v>
      </c>
      <c r="T32" s="665" t="s">
        <v>18</v>
      </c>
      <c r="U32" s="666">
        <f t="shared" si="13"/>
        <v>100</v>
      </c>
      <c r="V32" s="665" t="s">
        <v>18</v>
      </c>
      <c r="W32" s="666">
        <f t="shared" si="14"/>
        <v>100</v>
      </c>
      <c r="X32" s="1262"/>
      <c r="Y32" s="3383" t="s">
        <v>1692</v>
      </c>
      <c r="Z32" s="1261" t="str">
        <f t="shared" si="18"/>
        <v>建筑类型</v>
      </c>
      <c r="AA32" s="1261">
        <f t="shared" si="15"/>
        <v>1</v>
      </c>
      <c r="AB32" s="1261">
        <f t="shared" si="16"/>
        <v>1</v>
      </c>
      <c r="AC32" s="1261">
        <f t="shared" si="17"/>
        <v>1</v>
      </c>
    </row>
    <row r="33" spans="1:29" s="406" customFormat="1" ht="15">
      <c r="A33" s="404"/>
      <c r="B33" s="362" t="s">
        <v>1693</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42"/>
      <c r="Q33" s="529" t="str">
        <f t="shared" si="11"/>
        <v>项目建筑规模</v>
      </c>
      <c r="R33" s="667" t="s">
        <v>18</v>
      </c>
      <c r="S33" s="668" t="e">
        <f t="shared" si="12"/>
        <v>#N/A</v>
      </c>
      <c r="T33" s="667" t="s">
        <v>18</v>
      </c>
      <c r="U33" s="668" t="e">
        <f t="shared" si="13"/>
        <v>#N/A</v>
      </c>
      <c r="V33" s="667" t="s">
        <v>18</v>
      </c>
      <c r="W33" s="668" t="e">
        <f t="shared" si="14"/>
        <v>#N/A</v>
      </c>
      <c r="X33" s="669"/>
      <c r="Y33" s="3383"/>
      <c r="Z33" s="670" t="str">
        <f t="shared" si="18"/>
        <v>项目建筑规模</v>
      </c>
      <c r="AA33" s="1261" t="e">
        <f t="shared" si="15"/>
        <v>#N/A</v>
      </c>
      <c r="AB33" s="1261" t="e">
        <f t="shared" si="16"/>
        <v>#N/A</v>
      </c>
      <c r="AC33" s="1261" t="e">
        <f t="shared" si="17"/>
        <v>#N/A</v>
      </c>
    </row>
    <row r="34" spans="1:29" ht="15">
      <c r="A34" s="407"/>
      <c r="B34" s="362" t="s">
        <v>1694</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42"/>
      <c r="Q34" s="1260" t="str">
        <f t="shared" si="11"/>
        <v>建筑结构</v>
      </c>
      <c r="R34" s="665" t="s">
        <v>18</v>
      </c>
      <c r="S34" s="666">
        <f t="shared" si="12"/>
        <v>100</v>
      </c>
      <c r="T34" s="665" t="s">
        <v>18</v>
      </c>
      <c r="U34" s="666">
        <f t="shared" si="13"/>
        <v>100</v>
      </c>
      <c r="V34" s="665" t="s">
        <v>18</v>
      </c>
      <c r="W34" s="666">
        <f t="shared" si="14"/>
        <v>100</v>
      </c>
      <c r="X34" s="1262"/>
      <c r="Y34" s="3383"/>
      <c r="Z34" s="1261" t="str">
        <f t="shared" si="18"/>
        <v>建筑结构</v>
      </c>
      <c r="AA34" s="1261">
        <f t="shared" si="15"/>
        <v>1</v>
      </c>
      <c r="AB34" s="1261">
        <f t="shared" si="16"/>
        <v>1</v>
      </c>
      <c r="AC34" s="1261">
        <f t="shared" si="17"/>
        <v>1</v>
      </c>
    </row>
    <row r="35" spans="1:29" ht="15">
      <c r="A35" s="407"/>
      <c r="B35" s="362" t="s">
        <v>1695</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42"/>
      <c r="Q35" s="1260" t="str">
        <f t="shared" si="11"/>
        <v>建筑品质</v>
      </c>
      <c r="R35" s="665" t="s">
        <v>18</v>
      </c>
      <c r="S35" s="666">
        <f t="shared" si="12"/>
        <v>100</v>
      </c>
      <c r="T35" s="665" t="s">
        <v>18</v>
      </c>
      <c r="U35" s="666">
        <f t="shared" si="13"/>
        <v>100</v>
      </c>
      <c r="V35" s="665" t="s">
        <v>18</v>
      </c>
      <c r="W35" s="666">
        <f t="shared" si="14"/>
        <v>100</v>
      </c>
      <c r="X35" s="1262"/>
      <c r="Y35" s="3383"/>
      <c r="Z35" s="1261" t="str">
        <f t="shared" si="18"/>
        <v>建筑品质</v>
      </c>
      <c r="AA35" s="1261">
        <f t="shared" si="15"/>
        <v>1</v>
      </c>
      <c r="AB35" s="1261">
        <f t="shared" si="16"/>
        <v>1</v>
      </c>
      <c r="AC35" s="1261">
        <f t="shared" si="17"/>
        <v>1</v>
      </c>
    </row>
    <row r="36" spans="1:29" ht="15">
      <c r="A36" s="407"/>
      <c r="B36" s="362" t="s">
        <v>1696</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42"/>
      <c r="Q36" s="1260" t="str">
        <f t="shared" si="11"/>
        <v>公共部分装修</v>
      </c>
      <c r="R36" s="665" t="s">
        <v>18</v>
      </c>
      <c r="S36" s="666">
        <f t="shared" si="12"/>
        <v>100</v>
      </c>
      <c r="T36" s="665" t="s">
        <v>18</v>
      </c>
      <c r="U36" s="666">
        <f t="shared" si="13"/>
        <v>100</v>
      </c>
      <c r="V36" s="665" t="s">
        <v>18</v>
      </c>
      <c r="W36" s="666">
        <f t="shared" si="14"/>
        <v>100</v>
      </c>
      <c r="X36" s="1262"/>
      <c r="Y36" s="3383"/>
      <c r="Z36" s="1261" t="str">
        <f t="shared" si="18"/>
        <v>公共部分装修</v>
      </c>
      <c r="AA36" s="1261">
        <f t="shared" si="15"/>
        <v>1</v>
      </c>
      <c r="AB36" s="1261">
        <f t="shared" si="16"/>
        <v>1</v>
      </c>
      <c r="AC36" s="1261">
        <f t="shared" si="17"/>
        <v>1</v>
      </c>
    </row>
    <row r="37" spans="1:29" s="102" customFormat="1" ht="15">
      <c r="A37" s="408"/>
      <c r="B37" s="362" t="s">
        <v>1697</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42"/>
      <c r="Q37" s="528" t="str">
        <f t="shared" si="11"/>
        <v>成新度</v>
      </c>
      <c r="R37" s="662" t="s">
        <v>18</v>
      </c>
      <c r="S37" s="663" t="e">
        <f t="shared" si="12"/>
        <v>#N/A</v>
      </c>
      <c r="T37" s="662" t="s">
        <v>18</v>
      </c>
      <c r="U37" s="663" t="e">
        <f t="shared" si="13"/>
        <v>#N/A</v>
      </c>
      <c r="V37" s="662" t="s">
        <v>18</v>
      </c>
      <c r="W37" s="663" t="e">
        <f t="shared" si="14"/>
        <v>#N/A</v>
      </c>
      <c r="X37" s="664"/>
      <c r="Y37" s="3383"/>
      <c r="Z37" s="50" t="str">
        <f t="shared" si="18"/>
        <v>成新度</v>
      </c>
      <c r="AA37" s="50" t="e">
        <f t="shared" si="15"/>
        <v>#N/A</v>
      </c>
      <c r="AB37" s="50" t="e">
        <f t="shared" si="16"/>
        <v>#N/A</v>
      </c>
      <c r="AC37" s="50" t="e">
        <f t="shared" si="17"/>
        <v>#N/A</v>
      </c>
    </row>
    <row r="38" spans="1:29" ht="15">
      <c r="A38" s="407"/>
      <c r="B38" s="362" t="s">
        <v>1698</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42" t="s">
        <v>1692</v>
      </c>
      <c r="Q38" s="1260" t="str">
        <f t="shared" si="11"/>
        <v>物业管理</v>
      </c>
      <c r="R38" s="665" t="s">
        <v>18</v>
      </c>
      <c r="S38" s="666">
        <f t="shared" si="12"/>
        <v>100</v>
      </c>
      <c r="T38" s="665" t="s">
        <v>18</v>
      </c>
      <c r="U38" s="666">
        <f t="shared" si="13"/>
        <v>100</v>
      </c>
      <c r="V38" s="665" t="s">
        <v>18</v>
      </c>
      <c r="W38" s="666">
        <f t="shared" si="14"/>
        <v>100</v>
      </c>
      <c r="X38" s="1262"/>
      <c r="Y38" s="3383" t="s">
        <v>1692</v>
      </c>
      <c r="Z38" s="1261" t="str">
        <f t="shared" si="18"/>
        <v>物业管理</v>
      </c>
      <c r="AA38" s="1261">
        <f t="shared" si="15"/>
        <v>1</v>
      </c>
      <c r="AB38" s="1261">
        <f t="shared" si="16"/>
        <v>1</v>
      </c>
      <c r="AC38" s="1261">
        <f t="shared" si="17"/>
        <v>1</v>
      </c>
    </row>
    <row r="39" spans="1:29" ht="15">
      <c r="A39" s="407"/>
      <c r="B39" s="362" t="s">
        <v>1699</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42"/>
      <c r="Q39" s="1260" t="str">
        <f t="shared" si="11"/>
        <v>市政基础设施</v>
      </c>
      <c r="R39" s="665" t="s">
        <v>18</v>
      </c>
      <c r="S39" s="666">
        <f t="shared" si="12"/>
        <v>100</v>
      </c>
      <c r="T39" s="665" t="s">
        <v>18</v>
      </c>
      <c r="U39" s="666">
        <f t="shared" si="13"/>
        <v>100</v>
      </c>
      <c r="V39" s="665" t="s">
        <v>18</v>
      </c>
      <c r="W39" s="666">
        <f t="shared" si="14"/>
        <v>100</v>
      </c>
      <c r="X39" s="1262"/>
      <c r="Y39" s="3383"/>
      <c r="Z39" s="1261" t="str">
        <f t="shared" si="18"/>
        <v>市政基础设施</v>
      </c>
      <c r="AA39" s="1261">
        <f t="shared" si="15"/>
        <v>1</v>
      </c>
      <c r="AB39" s="1261">
        <f t="shared" si="16"/>
        <v>1</v>
      </c>
      <c r="AC39" s="1261">
        <f t="shared" si="17"/>
        <v>1</v>
      </c>
    </row>
    <row r="40" spans="1:29" ht="15">
      <c r="A40" s="407"/>
      <c r="B40" s="362" t="s">
        <v>1700</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42"/>
      <c r="Q40" s="1260" t="str">
        <f t="shared" si="11"/>
        <v>房型</v>
      </c>
      <c r="R40" s="665" t="s">
        <v>18</v>
      </c>
      <c r="S40" s="666">
        <f t="shared" si="12"/>
        <v>100</v>
      </c>
      <c r="T40" s="665" t="s">
        <v>18</v>
      </c>
      <c r="U40" s="666">
        <f t="shared" si="13"/>
        <v>100</v>
      </c>
      <c r="V40" s="665" t="s">
        <v>18</v>
      </c>
      <c r="W40" s="666">
        <f t="shared" si="14"/>
        <v>100</v>
      </c>
      <c r="X40" s="1262"/>
      <c r="Y40" s="3383"/>
      <c r="Z40" s="1261" t="str">
        <f t="shared" si="18"/>
        <v>房型</v>
      </c>
      <c r="AA40" s="1261">
        <f t="shared" si="15"/>
        <v>1</v>
      </c>
      <c r="AB40" s="1261">
        <f t="shared" si="16"/>
        <v>1</v>
      </c>
      <c r="AC40" s="1261">
        <f t="shared" si="17"/>
        <v>1</v>
      </c>
    </row>
    <row r="41" spans="1:29" s="406" customFormat="1" ht="28.5">
      <c r="A41" s="404"/>
      <c r="B41" s="362" t="s">
        <v>1701</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42"/>
      <c r="Q41" s="529" t="str">
        <f t="shared" si="11"/>
        <v>单套/主力户型建筑面积</v>
      </c>
      <c r="R41" s="667" t="s">
        <v>18</v>
      </c>
      <c r="S41" s="668">
        <f t="shared" si="12"/>
        <v>100</v>
      </c>
      <c r="T41" s="667" t="s">
        <v>18</v>
      </c>
      <c r="U41" s="668">
        <f t="shared" si="13"/>
        <v>100</v>
      </c>
      <c r="V41" s="667" t="s">
        <v>18</v>
      </c>
      <c r="W41" s="668">
        <f t="shared" si="14"/>
        <v>100</v>
      </c>
      <c r="X41" s="669"/>
      <c r="Y41" s="3383"/>
      <c r="Z41" s="670" t="str">
        <f t="shared" si="18"/>
        <v>单套/主力户型建筑面积</v>
      </c>
      <c r="AA41" s="1261">
        <f t="shared" si="15"/>
        <v>1</v>
      </c>
      <c r="AB41" s="1261">
        <f t="shared" si="16"/>
        <v>1</v>
      </c>
      <c r="AC41" s="1261">
        <f t="shared" si="17"/>
        <v>1</v>
      </c>
    </row>
    <row r="42" spans="1:29" ht="15">
      <c r="A42" s="407"/>
      <c r="B42" s="362" t="s">
        <v>1702</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42"/>
      <c r="Q42" s="1260" t="str">
        <f t="shared" si="11"/>
        <v>内部装修</v>
      </c>
      <c r="R42" s="665" t="s">
        <v>18</v>
      </c>
      <c r="S42" s="666">
        <f t="shared" si="12"/>
        <v>100</v>
      </c>
      <c r="T42" s="665" t="s">
        <v>18</v>
      </c>
      <c r="U42" s="666">
        <f t="shared" si="13"/>
        <v>100</v>
      </c>
      <c r="V42" s="665" t="s">
        <v>18</v>
      </c>
      <c r="W42" s="666">
        <f t="shared" si="14"/>
        <v>100</v>
      </c>
      <c r="X42" s="1262"/>
      <c r="Y42" s="3383"/>
      <c r="Z42" s="1261" t="str">
        <f t="shared" si="18"/>
        <v>内部装修</v>
      </c>
      <c r="AA42" s="1261">
        <f t="shared" si="15"/>
        <v>1</v>
      </c>
      <c r="AB42" s="1261">
        <f t="shared" si="16"/>
        <v>1</v>
      </c>
      <c r="AC42" s="1261">
        <f t="shared" si="17"/>
        <v>1</v>
      </c>
    </row>
    <row r="43" spans="1:29" ht="15">
      <c r="A43" s="407"/>
      <c r="B43" s="362" t="s">
        <v>1703</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42"/>
      <c r="Q43" s="1260" t="str">
        <f t="shared" si="11"/>
        <v>内部装修维护情况</v>
      </c>
      <c r="R43" s="665" t="s">
        <v>18</v>
      </c>
      <c r="S43" s="666">
        <f t="shared" si="12"/>
        <v>100</v>
      </c>
      <c r="T43" s="665" t="s">
        <v>18</v>
      </c>
      <c r="U43" s="666">
        <f t="shared" si="13"/>
        <v>100</v>
      </c>
      <c r="V43" s="665" t="s">
        <v>18</v>
      </c>
      <c r="W43" s="666">
        <f t="shared" si="14"/>
        <v>100</v>
      </c>
      <c r="X43" s="1262"/>
      <c r="Y43" s="3383"/>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42"/>
      <c r="Q44" s="528">
        <f t="shared" si="11"/>
        <v>111</v>
      </c>
      <c r="R44" s="662" t="s">
        <v>18</v>
      </c>
      <c r="S44" s="663">
        <f t="shared" si="12"/>
        <v>100</v>
      </c>
      <c r="T44" s="662" t="s">
        <v>18</v>
      </c>
      <c r="U44" s="663">
        <f t="shared" si="13"/>
        <v>100</v>
      </c>
      <c r="V44" s="662" t="s">
        <v>18</v>
      </c>
      <c r="W44" s="663">
        <f t="shared" si="14"/>
        <v>100</v>
      </c>
      <c r="X44" s="664"/>
      <c r="Y44" s="3383"/>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42"/>
      <c r="Q45" s="1260">
        <f t="shared" si="11"/>
        <v>111</v>
      </c>
      <c r="R45" s="665" t="s">
        <v>18</v>
      </c>
      <c r="S45" s="666">
        <f t="shared" si="12"/>
        <v>100</v>
      </c>
      <c r="T45" s="665" t="s">
        <v>18</v>
      </c>
      <c r="U45" s="666">
        <f t="shared" si="13"/>
        <v>100</v>
      </c>
      <c r="V45" s="665" t="s">
        <v>18</v>
      </c>
      <c r="W45" s="666">
        <f t="shared" si="14"/>
        <v>100</v>
      </c>
      <c r="X45" s="1262"/>
      <c r="Y45" s="3383"/>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43"/>
      <c r="Q46" s="1260">
        <f t="shared" si="11"/>
        <v>111</v>
      </c>
      <c r="R46" s="665" t="s">
        <v>17</v>
      </c>
      <c r="S46" s="666">
        <f t="shared" si="12"/>
        <v>100</v>
      </c>
      <c r="T46" s="665" t="s">
        <v>17</v>
      </c>
      <c r="U46" s="666">
        <f t="shared" si="13"/>
        <v>100</v>
      </c>
      <c r="V46" s="665" t="s">
        <v>17</v>
      </c>
      <c r="W46" s="666">
        <f t="shared" si="14"/>
        <v>100</v>
      </c>
      <c r="X46" s="1262"/>
      <c r="Y46" s="3444"/>
      <c r="Z46" s="1261">
        <f t="shared" si="18"/>
        <v>111</v>
      </c>
      <c r="AA46" s="1261">
        <f t="shared" si="15"/>
        <v>1</v>
      </c>
      <c r="AB46" s="1261">
        <f t="shared" si="16"/>
        <v>1</v>
      </c>
      <c r="AC46" s="1261">
        <f t="shared" si="17"/>
        <v>1</v>
      </c>
    </row>
    <row r="47" spans="1:29" ht="15">
      <c r="A47" s="414" t="s">
        <v>1704</v>
      </c>
      <c r="B47" s="415"/>
      <c r="C47" s="1079" t="s">
        <v>16</v>
      </c>
      <c r="D47" s="416"/>
      <c r="E47" s="417"/>
      <c r="F47" s="418"/>
      <c r="G47" s="419"/>
      <c r="H47" s="420"/>
      <c r="I47" s="417"/>
      <c r="J47" s="420"/>
      <c r="K47" s="1764"/>
      <c r="L47" s="2492"/>
      <c r="M47" s="2485"/>
      <c r="N47" s="2485"/>
      <c r="O47" s="2485"/>
      <c r="P47" s="3379" t="str">
        <f>A47</f>
        <v>成交单价（元/平方米）</v>
      </c>
      <c r="Q47" s="3379"/>
      <c r="R47" s="3384">
        <f>E47</f>
        <v>0</v>
      </c>
      <c r="S47" s="3384"/>
      <c r="T47" s="3384">
        <f>G47</f>
        <v>0</v>
      </c>
      <c r="U47" s="3384"/>
      <c r="V47" s="3384">
        <f>I47</f>
        <v>0</v>
      </c>
      <c r="W47" s="3384"/>
      <c r="X47" s="383"/>
      <c r="Y47" s="671"/>
      <c r="Z47" s="383"/>
      <c r="AA47" s="383"/>
      <c r="AB47" s="383"/>
      <c r="AC47" s="383"/>
    </row>
    <row r="48" spans="1:29" ht="15.75" thickBot="1">
      <c r="A48" s="421" t="s">
        <v>1705</v>
      </c>
      <c r="B48" s="422"/>
      <c r="C48" s="1080" t="e">
        <f>R49</f>
        <v>#DIV/0!</v>
      </c>
      <c r="D48" s="2138" t="s">
        <v>2133</v>
      </c>
      <c r="E48" s="1081" t="e">
        <f>R48</f>
        <v>#DIV/0!</v>
      </c>
      <c r="F48" s="2139"/>
      <c r="G48" s="1080" t="e">
        <f>T48</f>
        <v>#DIV/0!</v>
      </c>
      <c r="H48" s="2139"/>
      <c r="I48" s="1081" t="e">
        <f>V48</f>
        <v>#DIV/0!</v>
      </c>
      <c r="J48" s="2139"/>
      <c r="K48" s="2140">
        <f>F48+H48+J48</f>
        <v>0</v>
      </c>
      <c r="L48" s="2492"/>
      <c r="M48" s="2485"/>
      <c r="N48" s="2485"/>
      <c r="O48" s="2485"/>
      <c r="P48" s="3379" t="str">
        <f>A48</f>
        <v>比较价值（元/平方米）</v>
      </c>
      <c r="Q48" s="3379"/>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3"/>
      <c r="Y48" s="383"/>
      <c r="Z48" s="383"/>
      <c r="AA48" s="383"/>
      <c r="AB48" s="383"/>
      <c r="AC48" s="383"/>
    </row>
    <row r="49" spans="1:29" ht="15.75" thickBot="1">
      <c r="A49" s="425" t="s">
        <v>1706</v>
      </c>
      <c r="B49" s="426"/>
      <c r="C49" s="1082" t="e">
        <f>R49</f>
        <v>#DIV/0!</v>
      </c>
      <c r="D49" s="349"/>
      <c r="E49" s="349"/>
      <c r="F49" s="349"/>
      <c r="G49" s="349"/>
      <c r="H49" s="349"/>
      <c r="I49" s="349"/>
      <c r="J49" s="349"/>
      <c r="K49" s="1765"/>
      <c r="L49" s="2492"/>
      <c r="M49" s="2485"/>
      <c r="N49" s="2485"/>
      <c r="O49" s="2485"/>
      <c r="P49" s="3373" t="str">
        <f>A49</f>
        <v>估价对象XX用房的比较价值（楼面单价，元/平方米）</v>
      </c>
      <c r="Q49" s="3374"/>
      <c r="R49" s="3440" t="e">
        <f>IF(F1="售价",ROUND(IF(D48="简单平均",AVERAGE(R48:V48),R48*F48+T48*H48+V48*J48),0),ROUND(IF(D48="简单平均",AVERAGE(R48:V48),R48*F48+T48*H48+V48*J48),1))</f>
        <v>#DIV/0!</v>
      </c>
      <c r="S49" s="3440"/>
      <c r="T49" s="3440"/>
      <c r="U49" s="3440"/>
      <c r="V49" s="3440"/>
      <c r="W49" s="3440"/>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1707</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1708</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1709</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1710</v>
      </c>
      <c r="B57" s="383"/>
      <c r="C57" s="657"/>
      <c r="D57" s="657"/>
      <c r="E57" s="657"/>
      <c r="F57" s="658"/>
      <c r="G57" s="658"/>
      <c r="H57" s="657"/>
      <c r="I57" s="657"/>
      <c r="J57" s="657"/>
      <c r="K57" s="885"/>
      <c r="L57" s="886"/>
      <c r="M57" s="884"/>
      <c r="N57" s="884"/>
      <c r="O57" s="884"/>
      <c r="P57" s="1768"/>
      <c r="Q57" s="437"/>
    </row>
    <row r="58" spans="1:29" s="440" customFormat="1" ht="15">
      <c r="A58" s="438" t="s">
        <v>1711</v>
      </c>
      <c r="B58" s="439"/>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1712</v>
      </c>
      <c r="B60" s="448"/>
      <c r="C60" s="449"/>
      <c r="D60" s="450"/>
      <c r="E60" s="450"/>
      <c r="F60" s="450"/>
      <c r="G60" s="450"/>
      <c r="H60" s="450"/>
      <c r="I60" s="450"/>
      <c r="J60" s="450"/>
      <c r="K60" s="450"/>
      <c r="L60" s="450"/>
      <c r="M60" s="451"/>
      <c r="N60" s="450"/>
      <c r="O60" s="451"/>
      <c r="P60" s="1770"/>
      <c r="Q60" s="437"/>
    </row>
    <row r="61" spans="1:29" s="102" customFormat="1" ht="15">
      <c r="A61" s="453" t="s">
        <v>1713</v>
      </c>
      <c r="B61" s="442"/>
      <c r="C61" s="454" t="s">
        <v>1714</v>
      </c>
      <c r="D61" s="31"/>
      <c r="E61" s="31"/>
      <c r="F61" s="31"/>
      <c r="G61" s="31"/>
      <c r="H61" s="31"/>
      <c r="I61" s="31"/>
      <c r="J61" s="31"/>
      <c r="K61" s="31"/>
      <c r="L61" s="455"/>
      <c r="M61" s="456"/>
      <c r="N61" s="876"/>
      <c r="O61" s="876"/>
      <c r="P61" s="1771"/>
      <c r="Q61" s="437"/>
    </row>
    <row r="62" spans="1:29" s="102"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1715</v>
      </c>
      <c r="B63" s="458" t="s">
        <v>1681</v>
      </c>
      <c r="C63" s="459">
        <f>C9</f>
        <v>0</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1684</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1685</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c r="D68" s="478"/>
      <c r="E68" s="478"/>
      <c r="F68" s="478"/>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1686</v>
      </c>
      <c r="B76" s="458" t="s">
        <v>1716</v>
      </c>
      <c r="C76" s="502" t="s">
        <v>1717</v>
      </c>
      <c r="D76" s="502" t="s">
        <v>1718</v>
      </c>
      <c r="E76" s="502" t="s">
        <v>1719</v>
      </c>
      <c r="F76" s="502" t="s">
        <v>1720</v>
      </c>
      <c r="G76" s="502" t="s">
        <v>1721</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1722</v>
      </c>
      <c r="C78" s="507" t="s">
        <v>1717</v>
      </c>
      <c r="D78" s="507" t="s">
        <v>1718</v>
      </c>
      <c r="E78" s="507" t="s">
        <v>1719</v>
      </c>
      <c r="F78" s="507" t="s">
        <v>1720</v>
      </c>
      <c r="G78" s="507" t="s">
        <v>1721</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1723</v>
      </c>
      <c r="C80" s="507" t="s">
        <v>1717</v>
      </c>
      <c r="D80" s="507" t="s">
        <v>1718</v>
      </c>
      <c r="E80" s="507" t="s">
        <v>1719</v>
      </c>
      <c r="F80" s="507" t="s">
        <v>1720</v>
      </c>
      <c r="G80" s="507" t="s">
        <v>1721</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1259</v>
      </c>
      <c r="C82" s="468" t="s">
        <v>1724</v>
      </c>
      <c r="D82" s="468" t="s">
        <v>1725</v>
      </c>
      <c r="E82" s="468" t="s">
        <v>1726</v>
      </c>
      <c r="F82" s="468" t="s">
        <v>1727</v>
      </c>
      <c r="G82" s="468" t="s">
        <v>1728</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1729</v>
      </c>
      <c r="C84" s="507" t="s">
        <v>1717</v>
      </c>
      <c r="D84" s="507" t="s">
        <v>1718</v>
      </c>
      <c r="E84" s="507" t="s">
        <v>1719</v>
      </c>
      <c r="F84" s="507" t="s">
        <v>1720</v>
      </c>
      <c r="G84" s="507" t="s">
        <v>1721</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75" thickTop="1">
      <c r="A86" s="368"/>
      <c r="B86" s="467" t="s">
        <v>1730</v>
      </c>
      <c r="C86" s="483"/>
      <c r="D86" s="483"/>
      <c r="E86" s="483"/>
      <c r="F86" s="483"/>
      <c r="G86" s="483"/>
      <c r="H86" s="483"/>
      <c r="I86" s="483"/>
      <c r="J86" s="483"/>
      <c r="K86" s="483"/>
      <c r="L86" s="508"/>
      <c r="M86" s="509"/>
      <c r="N86" s="876"/>
      <c r="O86" s="876"/>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75" thickTop="1">
      <c r="A88" s="368"/>
      <c r="B88" s="467" t="s">
        <v>1731</v>
      </c>
      <c r="C88" s="483"/>
      <c r="D88" s="483"/>
      <c r="E88" s="483"/>
      <c r="F88" s="1777"/>
      <c r="G88" s="483"/>
      <c r="H88" s="483"/>
      <c r="I88" s="483"/>
      <c r="J88" s="483"/>
      <c r="K88" s="483"/>
      <c r="L88" s="483"/>
      <c r="M88" s="509"/>
      <c r="N88" s="876"/>
      <c r="O88" s="876"/>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1690</v>
      </c>
      <c r="B100" s="458" t="s">
        <v>1732</v>
      </c>
      <c r="C100" s="460"/>
      <c r="D100" s="460"/>
      <c r="E100" s="460"/>
      <c r="F100" s="460"/>
      <c r="G100" s="460"/>
      <c r="H100" s="460"/>
      <c r="I100" s="460"/>
      <c r="J100" s="460"/>
      <c r="K100" s="461"/>
      <c r="L100" s="462"/>
      <c r="M100" s="463"/>
      <c r="N100" s="877"/>
      <c r="O100" s="877"/>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75" thickTop="1">
      <c r="A102" s="365"/>
      <c r="B102" s="467" t="s">
        <v>1733</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5.75"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1734</v>
      </c>
      <c r="C105" s="483"/>
      <c r="D105" s="483"/>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1735</v>
      </c>
      <c r="C107" s="511"/>
      <c r="D107" s="511"/>
      <c r="E107" s="511"/>
      <c r="F107" s="511"/>
      <c r="G107" s="511"/>
      <c r="H107" s="511"/>
      <c r="I107" s="511"/>
      <c r="J107" s="511"/>
      <c r="K107" s="512"/>
      <c r="L107" s="513"/>
      <c r="M107" s="514"/>
      <c r="N107" s="877"/>
      <c r="O107" s="877"/>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1736</v>
      </c>
      <c r="C109" s="483"/>
      <c r="D109" s="483"/>
      <c r="E109" s="483"/>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1737</v>
      </c>
      <c r="C114" s="483"/>
      <c r="D114" s="483"/>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1738</v>
      </c>
      <c r="C116" s="483"/>
      <c r="D116" s="483"/>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1739</v>
      </c>
      <c r="C118" s="511"/>
      <c r="D118" s="511"/>
      <c r="E118" s="511"/>
      <c r="F118" s="511"/>
      <c r="G118" s="511"/>
      <c r="H118" s="511"/>
      <c r="I118" s="511"/>
      <c r="J118" s="511"/>
      <c r="K118" s="512"/>
      <c r="L118" s="513"/>
      <c r="M118" s="514"/>
      <c r="N118" s="877"/>
      <c r="O118" s="877"/>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8.5" thickTop="1">
      <c r="A120" s="404"/>
      <c r="B120" s="467" t="s">
        <v>1701</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1740</v>
      </c>
      <c r="C122" s="483"/>
      <c r="D122" s="483"/>
      <c r="E122" s="483"/>
      <c r="F122" s="511"/>
      <c r="G122" s="511"/>
      <c r="H122" s="511"/>
      <c r="I122" s="511"/>
      <c r="J122" s="511"/>
      <c r="K122" s="512"/>
      <c r="L122" s="513"/>
      <c r="M122" s="514"/>
      <c r="N122" s="877"/>
      <c r="O122" s="877"/>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15" thickTop="1">
      <c r="A124" s="407"/>
      <c r="B124" s="467" t="s">
        <v>1741</v>
      </c>
      <c r="C124" s="507" t="s">
        <v>1717</v>
      </c>
      <c r="D124" s="507" t="s">
        <v>1718</v>
      </c>
      <c r="E124" s="507" t="s">
        <v>1719</v>
      </c>
      <c r="F124" s="507" t="s">
        <v>1720</v>
      </c>
      <c r="G124" s="507" t="s">
        <v>1721</v>
      </c>
      <c r="H124" s="468"/>
      <c r="I124" s="468"/>
      <c r="J124" s="468"/>
      <c r="K124" s="469"/>
      <c r="L124" s="470"/>
      <c r="M124" s="471"/>
      <c r="N124" s="877"/>
      <c r="O124" s="877"/>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5.75" thickBot="1">
      <c r="A127" s="482"/>
      <c r="B127" s="472"/>
      <c r="C127" s="489"/>
      <c r="D127" s="465"/>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1742</v>
      </c>
    </row>
    <row r="137" spans="1:17" ht="15">
      <c r="B137" s="1779" t="s">
        <v>1743</v>
      </c>
      <c r="C137" s="1780"/>
      <c r="D137" s="1780"/>
      <c r="E137" s="1780"/>
      <c r="F137" s="1780"/>
      <c r="G137" s="1781"/>
      <c r="H137" s="1782"/>
      <c r="I137" s="1783" t="s">
        <v>1744</v>
      </c>
      <c r="J137" s="1780"/>
      <c r="K137" s="1784"/>
    </row>
    <row r="138" spans="1:17" ht="15">
      <c r="B138" s="1785"/>
      <c r="C138" s="127" t="s">
        <v>1745</v>
      </c>
      <c r="D138" s="127" t="s">
        <v>1746</v>
      </c>
      <c r="E138" s="1786" t="s">
        <v>1747</v>
      </c>
      <c r="F138" s="1787" t="s">
        <v>1748</v>
      </c>
      <c r="G138" s="127" t="s">
        <v>1746</v>
      </c>
      <c r="H138" s="128" t="s">
        <v>1747</v>
      </c>
      <c r="I138" s="1788"/>
      <c r="J138" s="127" t="s">
        <v>1749</v>
      </c>
      <c r="K138" s="128" t="s">
        <v>1750</v>
      </c>
    </row>
    <row r="139" spans="1:17" ht="15">
      <c r="B139" s="812">
        <v>6</v>
      </c>
      <c r="C139" s="813">
        <v>96</v>
      </c>
      <c r="D139" s="1789" t="s">
        <v>1751</v>
      </c>
      <c r="E139" s="814">
        <v>100</v>
      </c>
      <c r="F139" s="815">
        <v>102.5</v>
      </c>
      <c r="G139" s="1789" t="s">
        <v>1751</v>
      </c>
      <c r="H139" s="816">
        <v>105</v>
      </c>
      <c r="I139" s="1790" t="s">
        <v>1752</v>
      </c>
      <c r="J139" s="813">
        <v>20</v>
      </c>
      <c r="K139" s="817">
        <f>C145/(J139-2)</f>
        <v>4.0555555555555553E-3</v>
      </c>
    </row>
    <row r="140" spans="1:17" ht="15">
      <c r="B140" s="818">
        <v>5</v>
      </c>
      <c r="C140" s="819">
        <v>100</v>
      </c>
      <c r="D140" s="819"/>
      <c r="E140" s="820"/>
      <c r="F140" s="821">
        <v>102</v>
      </c>
      <c r="G140" s="819"/>
      <c r="H140" s="822"/>
      <c r="I140" s="1791" t="s">
        <v>1753</v>
      </c>
      <c r="J140" s="261">
        <f>ROUNDUP((J139-1)/2,0)</f>
        <v>10</v>
      </c>
      <c r="K140" s="823">
        <v>100</v>
      </c>
    </row>
    <row r="141" spans="1:17" ht="15">
      <c r="B141" s="818">
        <v>4</v>
      </c>
      <c r="C141" s="819">
        <v>102</v>
      </c>
      <c r="D141" s="819"/>
      <c r="E141" s="820"/>
      <c r="F141" s="821">
        <v>101.5</v>
      </c>
      <c r="G141" s="819"/>
      <c r="H141" s="822"/>
      <c r="I141" s="1791" t="s">
        <v>1754</v>
      </c>
      <c r="J141" s="261">
        <v>1</v>
      </c>
      <c r="K141" s="824">
        <f>ROUND(100+(J141-J140)*K139*100,1)</f>
        <v>96.4</v>
      </c>
    </row>
    <row r="142" spans="1:17" ht="15">
      <c r="B142" s="818">
        <v>3</v>
      </c>
      <c r="C142" s="819">
        <v>103</v>
      </c>
      <c r="D142" s="819"/>
      <c r="E142" s="820"/>
      <c r="F142" s="821">
        <v>101</v>
      </c>
      <c r="G142" s="819"/>
      <c r="H142" s="822"/>
      <c r="I142" s="1791" t="s">
        <v>1755</v>
      </c>
      <c r="J142" s="261">
        <f>J139</f>
        <v>20</v>
      </c>
      <c r="K142" s="825">
        <v>95</v>
      </c>
    </row>
    <row r="143" spans="1:17" ht="15">
      <c r="B143" s="818">
        <v>2</v>
      </c>
      <c r="C143" s="819">
        <v>100</v>
      </c>
      <c r="D143" s="819"/>
      <c r="E143" s="820"/>
      <c r="F143" s="821">
        <v>100.5</v>
      </c>
      <c r="G143" s="819"/>
      <c r="H143" s="822"/>
      <c r="I143" s="1791" t="s">
        <v>1756</v>
      </c>
      <c r="J143" s="819">
        <v>15</v>
      </c>
      <c r="K143" s="824">
        <f>ROUND(100+(J143-J140)*K139*100,1)</f>
        <v>102</v>
      </c>
    </row>
    <row r="144" spans="1:17" ht="15">
      <c r="B144" s="818">
        <v>1</v>
      </c>
      <c r="C144" s="819">
        <v>98</v>
      </c>
      <c r="D144" s="1792" t="s">
        <v>1757</v>
      </c>
      <c r="E144" s="820">
        <v>102</v>
      </c>
      <c r="F144" s="826">
        <v>100</v>
      </c>
      <c r="G144" s="1792" t="s">
        <v>1757</v>
      </c>
      <c r="H144" s="822">
        <v>105</v>
      </c>
      <c r="I144" s="1791" t="s">
        <v>1756</v>
      </c>
      <c r="J144" s="819">
        <v>18</v>
      </c>
      <c r="K144" s="824">
        <f>ROUND(100+(J144-J140)*K139*100,1)</f>
        <v>103.2</v>
      </c>
    </row>
    <row r="145" spans="2:11" ht="15.75" thickBot="1">
      <c r="B145" s="1793" t="s">
        <v>1758</v>
      </c>
      <c r="C145" s="827">
        <f>ROUND(MAX(C139:C144)/MIN(C139:C144)-1,3)</f>
        <v>7.2999999999999995E-2</v>
      </c>
      <c r="D145" s="828"/>
      <c r="E145" s="828"/>
      <c r="F145" s="1794" t="s">
        <v>1759</v>
      </c>
      <c r="G145" s="1795"/>
      <c r="H145" s="1796"/>
      <c r="I145" s="1797" t="s">
        <v>1756</v>
      </c>
      <c r="J145" s="829">
        <v>8</v>
      </c>
      <c r="K145" s="830">
        <f>ROUND(100+(J145-J140)*K139*100,1)</f>
        <v>99.2</v>
      </c>
    </row>
    <row r="147" spans="2:11">
      <c r="B147" s="1778" t="s">
        <v>1760</v>
      </c>
    </row>
    <row r="148" spans="2:11">
      <c r="B148" s="1778"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731" t="s">
        <v>1762</v>
      </c>
      <c r="C1" s="1152" t="s">
        <v>1658</v>
      </c>
      <c r="D1" s="1139"/>
      <c r="E1" s="3122"/>
      <c r="F1" s="1732"/>
      <c r="G1" s="1149" t="s">
        <v>1763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1458</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1459</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1460</v>
      </c>
      <c r="B3" s="534">
        <f>IF(C2="——",C49,ROUND(B2*10000/D3,0))</f>
        <v>0</v>
      </c>
      <c r="C3" s="342" t="s">
        <v>1764</v>
      </c>
      <c r="D3" s="341">
        <f>IF(D1="",'数据-汇总表'!E3,SUMIF('数据-汇总表'!$C19:$C33,D1,'数据-汇总表'!$E19:$E33))</f>
        <v>68049.77999999997</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3" t="s">
        <v>1765</v>
      </c>
      <c r="B4" s="344"/>
      <c r="C4" s="3376" t="s">
        <v>1766</v>
      </c>
      <c r="D4" s="3388"/>
      <c r="E4" s="3389" t="s">
        <v>1767</v>
      </c>
      <c r="F4" s="3390"/>
      <c r="G4" s="3376" t="s">
        <v>1768</v>
      </c>
      <c r="H4" s="3388"/>
      <c r="I4" s="3376" t="s">
        <v>1769</v>
      </c>
      <c r="J4" s="3388"/>
      <c r="K4" s="535" t="s">
        <v>1770</v>
      </c>
      <c r="L4" s="2484"/>
      <c r="M4" s="2485"/>
      <c r="N4" s="2485"/>
      <c r="O4" s="2485"/>
      <c r="P4" s="3391" t="s">
        <v>1771</v>
      </c>
      <c r="Q4" s="3392"/>
      <c r="R4" s="3397" t="s">
        <v>1767</v>
      </c>
      <c r="S4" s="3398"/>
      <c r="T4" s="3397" t="s">
        <v>1768</v>
      </c>
      <c r="U4" s="3398"/>
      <c r="V4" s="3384" t="s">
        <v>1769</v>
      </c>
      <c r="W4" s="3384"/>
      <c r="X4" s="1262"/>
      <c r="Y4" s="3397" t="s">
        <v>1771</v>
      </c>
      <c r="Z4" s="3398"/>
      <c r="AA4" s="3385" t="s">
        <v>1767</v>
      </c>
      <c r="AB4" s="3384" t="s">
        <v>1768</v>
      </c>
      <c r="AC4" s="3385" t="s">
        <v>1769</v>
      </c>
    </row>
    <row r="5" spans="1:29" ht="15">
      <c r="A5" s="346"/>
      <c r="B5" s="347"/>
      <c r="C5" s="3405" t="s">
        <v>1669</v>
      </c>
      <c r="D5" s="3406"/>
      <c r="E5" s="3412" t="s">
        <v>1670</v>
      </c>
      <c r="F5" s="3413"/>
      <c r="G5" s="3405" t="s">
        <v>1671</v>
      </c>
      <c r="H5" s="3406"/>
      <c r="I5" s="3405" t="s">
        <v>1672</v>
      </c>
      <c r="J5" s="3406"/>
      <c r="K5" s="535"/>
      <c r="L5" s="2484"/>
      <c r="M5" s="2485"/>
      <c r="N5" s="2485"/>
      <c r="O5" s="2485"/>
      <c r="P5" s="3393"/>
      <c r="Q5" s="3394"/>
      <c r="R5" s="3399"/>
      <c r="S5" s="3400"/>
      <c r="T5" s="3399"/>
      <c r="U5" s="3400"/>
      <c r="V5" s="3384"/>
      <c r="W5" s="3384"/>
      <c r="X5" s="1262"/>
      <c r="Y5" s="3399"/>
      <c r="Z5" s="3400"/>
      <c r="AA5" s="3386"/>
      <c r="AB5" s="3384"/>
      <c r="AC5" s="3386"/>
    </row>
    <row r="6" spans="1:29" ht="15.75" thickBot="1">
      <c r="A6" s="348"/>
      <c r="B6" s="349"/>
      <c r="C6" s="3403" t="s">
        <v>1673</v>
      </c>
      <c r="D6" s="3404"/>
      <c r="E6" s="3410" t="s">
        <v>1673</v>
      </c>
      <c r="F6" s="3411"/>
      <c r="G6" s="3403" t="s">
        <v>1673</v>
      </c>
      <c r="H6" s="3404"/>
      <c r="I6" s="3403" t="s">
        <v>1673</v>
      </c>
      <c r="J6" s="3404"/>
      <c r="K6" s="535" t="s">
        <v>1674</v>
      </c>
      <c r="L6" s="2484"/>
      <c r="M6" s="2485"/>
      <c r="N6" s="2485"/>
      <c r="O6" s="2485"/>
      <c r="P6" s="3395"/>
      <c r="Q6" s="3396"/>
      <c r="R6" s="3399"/>
      <c r="S6" s="3400"/>
      <c r="T6" s="3401"/>
      <c r="U6" s="3402"/>
      <c r="V6" s="3384"/>
      <c r="W6" s="3384"/>
      <c r="X6" s="1262"/>
      <c r="Y6" s="3401"/>
      <c r="Z6" s="3402"/>
      <c r="AA6" s="3387"/>
      <c r="AB6" s="3384"/>
      <c r="AC6" s="3387"/>
    </row>
    <row r="7" spans="1:29" s="102" customFormat="1" ht="15.75" thickBot="1">
      <c r="A7" s="350" t="s">
        <v>1675</v>
      </c>
      <c r="B7" s="351"/>
      <c r="C7" s="352">
        <f>'数据-取费表'!B2</f>
        <v>45604</v>
      </c>
      <c r="D7" s="353">
        <v>100</v>
      </c>
      <c r="E7" s="354"/>
      <c r="F7" s="355">
        <f>SUMIF(58:58,YEAR(E7)&amp;"-"&amp;MONTH(E7),59:59)</f>
        <v>0</v>
      </c>
      <c r="G7" s="354"/>
      <c r="H7" s="353">
        <f>SUMIF(58:58,YEAR(G7)&amp;"-"&amp;MONTH(G7),59:59)</f>
        <v>0</v>
      </c>
      <c r="I7" s="354"/>
      <c r="J7" s="353">
        <f>SUMIF(58:58,YEAR(I7)&amp;"-"&amp;MONTH(I7),59:59)</f>
        <v>0</v>
      </c>
      <c r="K7" s="38"/>
      <c r="L7" s="2486"/>
      <c r="M7" s="2437"/>
      <c r="N7" s="2437"/>
      <c r="O7" s="2437"/>
      <c r="P7" s="3407" t="s">
        <v>1676</v>
      </c>
      <c r="Q7" s="3409"/>
      <c r="R7" s="662" t="s">
        <v>14</v>
      </c>
      <c r="S7" s="663">
        <f t="shared" ref="S7:S15" si="0">F7</f>
        <v>0</v>
      </c>
      <c r="T7" s="662" t="s">
        <v>14</v>
      </c>
      <c r="U7" s="663">
        <f t="shared" ref="U7:U15" si="1">H7</f>
        <v>0</v>
      </c>
      <c r="V7" s="662" t="s">
        <v>14</v>
      </c>
      <c r="W7" s="663">
        <f t="shared" ref="W7:W15" si="2">J7</f>
        <v>0</v>
      </c>
      <c r="X7" s="664"/>
      <c r="Y7" s="3407" t="s">
        <v>1676</v>
      </c>
      <c r="Z7" s="3408"/>
      <c r="AA7" s="50" t="e">
        <f>D7/F7</f>
        <v>#DIV/0!</v>
      </c>
      <c r="AB7" s="50" t="e">
        <f>D7/H7</f>
        <v>#DIV/0!</v>
      </c>
      <c r="AC7" s="50" t="e">
        <f>D7/J7</f>
        <v>#DIV/0!</v>
      </c>
    </row>
    <row r="8" spans="1:29" s="102" customFormat="1" ht="15.75" thickBot="1">
      <c r="A8" s="350" t="s">
        <v>1677</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07" t="s">
        <v>1679</v>
      </c>
      <c r="Q8" s="3408"/>
      <c r="R8" s="662" t="s">
        <v>14</v>
      </c>
      <c r="S8" s="663">
        <f t="shared" si="0"/>
        <v>100</v>
      </c>
      <c r="T8" s="662" t="s">
        <v>14</v>
      </c>
      <c r="U8" s="663">
        <f t="shared" si="1"/>
        <v>100</v>
      </c>
      <c r="V8" s="662" t="s">
        <v>14</v>
      </c>
      <c r="W8" s="663">
        <f t="shared" si="2"/>
        <v>100</v>
      </c>
      <c r="X8" s="664"/>
      <c r="Y8" s="3407" t="s">
        <v>1679</v>
      </c>
      <c r="Z8" s="3408"/>
      <c r="AA8" s="50">
        <f t="shared" ref="AA8:AA46" si="3">D8/F8</f>
        <v>1</v>
      </c>
      <c r="AB8" s="50">
        <f t="shared" ref="AB8:AB46" si="4">D8/H8</f>
        <v>1</v>
      </c>
      <c r="AC8" s="50">
        <f t="shared" ref="AC8:AC46" si="5">D8/J8</f>
        <v>1</v>
      </c>
    </row>
    <row r="9" spans="1:29" s="102" customFormat="1">
      <c r="A9" s="357" t="s">
        <v>1680</v>
      </c>
      <c r="B9" s="60" t="s">
        <v>1681</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378" t="s">
        <v>1682</v>
      </c>
      <c r="Q9" s="528" t="str">
        <f t="shared" ref="Q9:Q15" si="6">B9</f>
        <v>用途</v>
      </c>
      <c r="R9" s="662" t="s">
        <v>14</v>
      </c>
      <c r="S9" s="663">
        <f t="shared" si="0"/>
        <v>100</v>
      </c>
      <c r="T9" s="662" t="s">
        <v>14</v>
      </c>
      <c r="U9" s="663">
        <f t="shared" si="1"/>
        <v>100</v>
      </c>
      <c r="V9" s="662" t="s">
        <v>14</v>
      </c>
      <c r="W9" s="663">
        <f t="shared" si="2"/>
        <v>100</v>
      </c>
      <c r="X9" s="664"/>
      <c r="Y9" s="3276" t="s">
        <v>1683</v>
      </c>
      <c r="Z9" s="50" t="str">
        <f t="shared" ref="Z9:Z15" si="7">Q9</f>
        <v>用途</v>
      </c>
      <c r="AA9" s="50">
        <f t="shared" si="3"/>
        <v>1</v>
      </c>
      <c r="AB9" s="50">
        <f t="shared" si="4"/>
        <v>1</v>
      </c>
      <c r="AC9" s="50">
        <f t="shared" si="5"/>
        <v>1</v>
      </c>
    </row>
    <row r="10" spans="1:29" s="364" customFormat="1" ht="27">
      <c r="A10" s="361"/>
      <c r="B10" s="362" t="s">
        <v>1684</v>
      </c>
      <c r="C10" s="3130"/>
      <c r="D10" s="117">
        <v>100</v>
      </c>
      <c r="E10" s="3131"/>
      <c r="F10" s="362">
        <f>SUMIF(65:65,E10,66:66)-SUMIF(65:65,C10,66:66)+100</f>
        <v>100</v>
      </c>
      <c r="G10" s="3130"/>
      <c r="H10" s="117">
        <f>SUMIF(65:65,G10,66:66)-SUMIF(65:65,C10,66:66)+100</f>
        <v>100</v>
      </c>
      <c r="I10" s="3130"/>
      <c r="J10" s="117">
        <f>SUMIF(65:65,I10,66:66)-SUMIF(65:65,C10,66:66)+100</f>
        <v>100</v>
      </c>
      <c r="K10" s="38"/>
      <c r="L10" s="2487"/>
      <c r="M10" s="2488"/>
      <c r="N10" s="2488"/>
      <c r="O10" s="2488"/>
      <c r="P10" s="3378"/>
      <c r="Q10" s="528" t="str">
        <f t="shared" si="6"/>
        <v>土地使用年限（年）</v>
      </c>
      <c r="R10" s="662" t="s">
        <v>14</v>
      </c>
      <c r="S10" s="663">
        <f t="shared" si="0"/>
        <v>100</v>
      </c>
      <c r="T10" s="662" t="s">
        <v>14</v>
      </c>
      <c r="U10" s="663">
        <f t="shared" si="1"/>
        <v>100</v>
      </c>
      <c r="V10" s="662" t="s">
        <v>14</v>
      </c>
      <c r="W10" s="663">
        <f t="shared" si="2"/>
        <v>100</v>
      </c>
      <c r="X10" s="664"/>
      <c r="Y10" s="3276"/>
      <c r="Z10" s="50" t="str">
        <f t="shared" si="7"/>
        <v>土地使用年限（年）</v>
      </c>
      <c r="AA10" s="50">
        <f t="shared" si="3"/>
        <v>1</v>
      </c>
      <c r="AB10" s="50">
        <f t="shared" si="4"/>
        <v>1</v>
      </c>
      <c r="AC10" s="50">
        <f t="shared" si="5"/>
        <v>1</v>
      </c>
    </row>
    <row r="11" spans="1:29" ht="15">
      <c r="A11" s="365"/>
      <c r="B11" s="362" t="s">
        <v>1685</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378"/>
      <c r="Q11" s="528" t="str">
        <f t="shared" si="6"/>
        <v>容积率</v>
      </c>
      <c r="R11" s="662" t="s">
        <v>14</v>
      </c>
      <c r="S11" s="663" t="e">
        <f t="shared" si="0"/>
        <v>#N/A</v>
      </c>
      <c r="T11" s="662" t="s">
        <v>14</v>
      </c>
      <c r="U11" s="663" t="e">
        <f t="shared" si="1"/>
        <v>#N/A</v>
      </c>
      <c r="V11" s="662" t="s">
        <v>14</v>
      </c>
      <c r="W11" s="663" t="e">
        <f t="shared" si="2"/>
        <v>#N/A</v>
      </c>
      <c r="X11" s="664"/>
      <c r="Y11" s="3276"/>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378"/>
      <c r="Q12" s="528">
        <f t="shared" si="6"/>
        <v>111</v>
      </c>
      <c r="R12" s="662" t="s">
        <v>14</v>
      </c>
      <c r="S12" s="663">
        <f t="shared" si="0"/>
        <v>100</v>
      </c>
      <c r="T12" s="662" t="s">
        <v>14</v>
      </c>
      <c r="U12" s="663">
        <f t="shared" si="1"/>
        <v>100</v>
      </c>
      <c r="V12" s="662" t="s">
        <v>14</v>
      </c>
      <c r="W12" s="663">
        <f t="shared" si="2"/>
        <v>100</v>
      </c>
      <c r="X12" s="664"/>
      <c r="Y12" s="327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378"/>
      <c r="Q13" s="528">
        <f t="shared" si="6"/>
        <v>111</v>
      </c>
      <c r="R13" s="662" t="s">
        <v>14</v>
      </c>
      <c r="S13" s="663">
        <f t="shared" si="0"/>
        <v>100</v>
      </c>
      <c r="T13" s="662" t="s">
        <v>14</v>
      </c>
      <c r="U13" s="663">
        <f t="shared" si="1"/>
        <v>100</v>
      </c>
      <c r="V13" s="662" t="s">
        <v>14</v>
      </c>
      <c r="W13" s="663">
        <f t="shared" si="2"/>
        <v>100</v>
      </c>
      <c r="X13" s="664"/>
      <c r="Y13" s="3276"/>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378"/>
      <c r="Q14" s="528">
        <f t="shared" si="6"/>
        <v>111</v>
      </c>
      <c r="R14" s="662" t="s">
        <v>14</v>
      </c>
      <c r="S14" s="663">
        <f t="shared" si="0"/>
        <v>100</v>
      </c>
      <c r="T14" s="662" t="s">
        <v>14</v>
      </c>
      <c r="U14" s="663">
        <f t="shared" si="1"/>
        <v>100</v>
      </c>
      <c r="V14" s="662" t="s">
        <v>14</v>
      </c>
      <c r="W14" s="663">
        <f t="shared" si="2"/>
        <v>100</v>
      </c>
      <c r="X14" s="664"/>
      <c r="Y14" s="3276"/>
      <c r="Z14" s="50">
        <f t="shared" si="7"/>
        <v>111</v>
      </c>
      <c r="AA14" s="50">
        <f t="shared" si="3"/>
        <v>1</v>
      </c>
      <c r="AB14" s="50">
        <f t="shared" si="4"/>
        <v>1</v>
      </c>
      <c r="AC14" s="50">
        <f t="shared" si="5"/>
        <v>1</v>
      </c>
    </row>
    <row r="15" spans="1:29" ht="71.25">
      <c r="A15" s="377" t="s">
        <v>1686</v>
      </c>
      <c r="B15" s="58" t="s">
        <v>1773</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45" t="s">
        <v>1687</v>
      </c>
      <c r="Q15" s="1260" t="str">
        <f t="shared" si="6"/>
        <v>商业繁华度</v>
      </c>
      <c r="R15" s="665" t="s">
        <v>14</v>
      </c>
      <c r="S15" s="666">
        <f t="shared" si="0"/>
        <v>100</v>
      </c>
      <c r="T15" s="665" t="s">
        <v>14</v>
      </c>
      <c r="U15" s="666">
        <f t="shared" si="1"/>
        <v>100</v>
      </c>
      <c r="V15" s="665" t="s">
        <v>14</v>
      </c>
      <c r="W15" s="666">
        <f t="shared" si="2"/>
        <v>100</v>
      </c>
      <c r="X15" s="1262"/>
      <c r="Y15" s="3380" t="s">
        <v>1687</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46"/>
      <c r="Q16" s="1260"/>
      <c r="R16" s="665"/>
      <c r="S16" s="666"/>
      <c r="T16" s="665"/>
      <c r="U16" s="666"/>
      <c r="V16" s="665"/>
      <c r="W16" s="666"/>
      <c r="X16" s="1262"/>
      <c r="Y16" s="3381"/>
      <c r="Z16" s="1261"/>
      <c r="AA16" s="1261">
        <v>1</v>
      </c>
      <c r="AB16" s="1261">
        <v>1</v>
      </c>
      <c r="AC16" s="1261">
        <v>1</v>
      </c>
    </row>
    <row r="17" spans="1:29" ht="85.5">
      <c r="A17" s="365"/>
      <c r="B17" s="388" t="s">
        <v>1258</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46"/>
      <c r="Q17" s="1260" t="str">
        <f>B17</f>
        <v>交通便捷度</v>
      </c>
      <c r="R17" s="665" t="s">
        <v>14</v>
      </c>
      <c r="S17" s="666">
        <f>F17</f>
        <v>100</v>
      </c>
      <c r="T17" s="665" t="s">
        <v>14</v>
      </c>
      <c r="U17" s="666">
        <f>H17</f>
        <v>100</v>
      </c>
      <c r="V17" s="665" t="s">
        <v>14</v>
      </c>
      <c r="W17" s="666">
        <f>J17</f>
        <v>100</v>
      </c>
      <c r="X17" s="1262"/>
      <c r="Y17" s="3381"/>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46"/>
      <c r="Q18" s="1260"/>
      <c r="R18" s="665"/>
      <c r="S18" s="666"/>
      <c r="T18" s="665"/>
      <c r="U18" s="666"/>
      <c r="V18" s="665"/>
      <c r="W18" s="666"/>
      <c r="X18" s="1262"/>
      <c r="Y18" s="3381"/>
      <c r="Z18" s="1261"/>
      <c r="AA18" s="1261">
        <v>1</v>
      </c>
      <c r="AB18" s="1261">
        <v>1</v>
      </c>
      <c r="AC18" s="1261">
        <v>1</v>
      </c>
    </row>
    <row r="19" spans="1:29" ht="42.75">
      <c r="A19" s="365"/>
      <c r="B19" s="388" t="s">
        <v>1774</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46"/>
      <c r="Q19" s="1260" t="str">
        <f>B19</f>
        <v>公共配套设施</v>
      </c>
      <c r="R19" s="665" t="s">
        <v>14</v>
      </c>
      <c r="S19" s="666">
        <f>F19</f>
        <v>100</v>
      </c>
      <c r="T19" s="665" t="s">
        <v>14</v>
      </c>
      <c r="U19" s="666">
        <f>H19</f>
        <v>100</v>
      </c>
      <c r="V19" s="665" t="s">
        <v>14</v>
      </c>
      <c r="W19" s="666">
        <f>J19</f>
        <v>100</v>
      </c>
      <c r="X19" s="1262"/>
      <c r="Y19" s="3381"/>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46"/>
      <c r="Q20" s="1260"/>
      <c r="R20" s="665"/>
      <c r="S20" s="666"/>
      <c r="T20" s="665"/>
      <c r="U20" s="666"/>
      <c r="V20" s="665"/>
      <c r="W20" s="666"/>
      <c r="X20" s="1262"/>
      <c r="Y20" s="3381"/>
      <c r="Z20" s="1261"/>
      <c r="AA20" s="1261">
        <v>1</v>
      </c>
      <c r="AB20" s="1261">
        <v>1</v>
      </c>
      <c r="AC20" s="1261">
        <v>1</v>
      </c>
    </row>
    <row r="21" spans="1:29" ht="28.5">
      <c r="A21" s="365"/>
      <c r="B21" s="584" t="s">
        <v>1775</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46"/>
      <c r="Q21" s="1260" t="str">
        <f>B21</f>
        <v>基础设施水平</v>
      </c>
      <c r="R21" s="665" t="s">
        <v>14</v>
      </c>
      <c r="S21" s="666">
        <f>F21</f>
        <v>100</v>
      </c>
      <c r="T21" s="665" t="s">
        <v>14</v>
      </c>
      <c r="U21" s="666">
        <f>H21</f>
        <v>100</v>
      </c>
      <c r="V21" s="665" t="s">
        <v>14</v>
      </c>
      <c r="W21" s="666">
        <f>J21</f>
        <v>100</v>
      </c>
      <c r="X21" s="1262"/>
      <c r="Y21" s="338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46"/>
      <c r="Q22" s="1260"/>
      <c r="R22" s="665"/>
      <c r="S22" s="666"/>
      <c r="T22" s="665"/>
      <c r="U22" s="666"/>
      <c r="V22" s="665"/>
      <c r="W22" s="666"/>
      <c r="X22" s="1262"/>
      <c r="Y22" s="3381"/>
      <c r="Z22" s="1261"/>
      <c r="AA22" s="1261">
        <v>1</v>
      </c>
      <c r="AB22" s="1261">
        <v>1</v>
      </c>
      <c r="AC22" s="1261">
        <v>1</v>
      </c>
    </row>
    <row r="23" spans="1:29" ht="57">
      <c r="A23" s="365"/>
      <c r="B23" s="388" t="s">
        <v>1260</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46"/>
      <c r="Q23" s="1260" t="str">
        <f>B23</f>
        <v>自然及人文环境</v>
      </c>
      <c r="R23" s="665" t="s">
        <v>14</v>
      </c>
      <c r="S23" s="666">
        <f>F23</f>
        <v>100</v>
      </c>
      <c r="T23" s="665" t="s">
        <v>14</v>
      </c>
      <c r="U23" s="666">
        <f>H23</f>
        <v>100</v>
      </c>
      <c r="V23" s="665" t="s">
        <v>14</v>
      </c>
      <c r="W23" s="666">
        <f>J23</f>
        <v>100</v>
      </c>
      <c r="X23" s="1262"/>
      <c r="Y23" s="3381"/>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46"/>
      <c r="Q24" s="1260"/>
      <c r="R24" s="665"/>
      <c r="S24" s="666"/>
      <c r="T24" s="665"/>
      <c r="U24" s="666"/>
      <c r="V24" s="665"/>
      <c r="W24" s="666"/>
      <c r="X24" s="1262"/>
      <c r="Y24" s="3381"/>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46"/>
      <c r="Q25" s="1260" t="str">
        <f t="shared" ref="Q25:Q46" si="11">B25</f>
        <v>临街状况</v>
      </c>
      <c r="R25" s="665" t="s">
        <v>14</v>
      </c>
      <c r="S25" s="666">
        <f>F25</f>
        <v>100</v>
      </c>
      <c r="T25" s="665" t="s">
        <v>14</v>
      </c>
      <c r="U25" s="666">
        <f>H25</f>
        <v>100</v>
      </c>
      <c r="V25" s="665" t="s">
        <v>14</v>
      </c>
      <c r="W25" s="666">
        <f>J25</f>
        <v>100</v>
      </c>
      <c r="X25" s="1262"/>
      <c r="Y25" s="3381"/>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46"/>
      <c r="Q26" s="1260" t="str">
        <f t="shared" si="11"/>
        <v>平面位置/可视性</v>
      </c>
      <c r="R26" s="665" t="s">
        <v>14</v>
      </c>
      <c r="S26" s="666">
        <f>F26</f>
        <v>100</v>
      </c>
      <c r="T26" s="665" t="s">
        <v>14</v>
      </c>
      <c r="U26" s="666">
        <f>H26</f>
        <v>100</v>
      </c>
      <c r="V26" s="665" t="s">
        <v>14</v>
      </c>
      <c r="W26" s="666">
        <f>J26</f>
        <v>100</v>
      </c>
      <c r="X26" s="1262"/>
      <c r="Y26" s="3381"/>
      <c r="Z26" s="1261" t="str">
        <f>Q26</f>
        <v>平面位置/可视性</v>
      </c>
      <c r="AA26" s="1261">
        <f t="shared" si="3"/>
        <v>1</v>
      </c>
      <c r="AB26" s="1261">
        <f t="shared" si="4"/>
        <v>1</v>
      </c>
      <c r="AC26" s="1261">
        <f t="shared" si="5"/>
        <v>1</v>
      </c>
    </row>
    <row r="27" spans="1:29" s="102" customFormat="1" ht="15">
      <c r="A27" s="368"/>
      <c r="B27" s="388" t="s">
        <v>1778</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46"/>
      <c r="Q27" s="528" t="str">
        <f t="shared" si="11"/>
        <v>人流量</v>
      </c>
      <c r="R27" s="662" t="s">
        <v>14</v>
      </c>
      <c r="S27" s="663">
        <f>F27</f>
        <v>100</v>
      </c>
      <c r="T27" s="662" t="s">
        <v>14</v>
      </c>
      <c r="U27" s="663">
        <f>H27</f>
        <v>100</v>
      </c>
      <c r="V27" s="662" t="s">
        <v>14</v>
      </c>
      <c r="W27" s="663">
        <f>J27</f>
        <v>100</v>
      </c>
      <c r="X27" s="664"/>
      <c r="Y27" s="3381"/>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46"/>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381"/>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46"/>
      <c r="Q29" s="1260">
        <f t="shared" si="11"/>
        <v>111</v>
      </c>
      <c r="R29" s="665" t="s">
        <v>14</v>
      </c>
      <c r="S29" s="666">
        <f t="shared" si="12"/>
        <v>100</v>
      </c>
      <c r="T29" s="665" t="s">
        <v>14</v>
      </c>
      <c r="U29" s="666">
        <f t="shared" si="13"/>
        <v>100</v>
      </c>
      <c r="V29" s="665" t="s">
        <v>14</v>
      </c>
      <c r="W29" s="666">
        <f t="shared" si="14"/>
        <v>100</v>
      </c>
      <c r="X29" s="1262"/>
      <c r="Y29" s="3381"/>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46"/>
      <c r="Q30" s="1260">
        <f t="shared" si="11"/>
        <v>111</v>
      </c>
      <c r="R30" s="665" t="s">
        <v>14</v>
      </c>
      <c r="S30" s="666">
        <f t="shared" si="12"/>
        <v>100</v>
      </c>
      <c r="T30" s="665" t="s">
        <v>14</v>
      </c>
      <c r="U30" s="666">
        <f t="shared" si="13"/>
        <v>100</v>
      </c>
      <c r="V30" s="665" t="s">
        <v>14</v>
      </c>
      <c r="W30" s="666">
        <f t="shared" si="14"/>
        <v>100</v>
      </c>
      <c r="X30" s="1262"/>
      <c r="Y30" s="3381"/>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46"/>
      <c r="Q31" s="1260">
        <f t="shared" si="11"/>
        <v>111</v>
      </c>
      <c r="R31" s="665" t="s">
        <v>14</v>
      </c>
      <c r="S31" s="666">
        <f t="shared" si="12"/>
        <v>100</v>
      </c>
      <c r="T31" s="665" t="s">
        <v>14</v>
      </c>
      <c r="U31" s="666">
        <f t="shared" si="13"/>
        <v>100</v>
      </c>
      <c r="V31" s="665" t="s">
        <v>14</v>
      </c>
      <c r="W31" s="666">
        <f t="shared" si="14"/>
        <v>100</v>
      </c>
      <c r="X31" s="1262"/>
      <c r="Y31" s="3381"/>
      <c r="Z31" s="1261">
        <f t="shared" si="15"/>
        <v>111</v>
      </c>
      <c r="AA31" s="1261">
        <f t="shared" si="3"/>
        <v>1</v>
      </c>
      <c r="AB31" s="1261">
        <f t="shared" si="4"/>
        <v>1</v>
      </c>
      <c r="AC31" s="1261">
        <f t="shared" si="5"/>
        <v>1</v>
      </c>
    </row>
    <row r="32" spans="1:29" ht="15">
      <c r="A32" s="377" t="s">
        <v>1690</v>
      </c>
      <c r="B32" s="60" t="s">
        <v>1780</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41" t="s">
        <v>1692</v>
      </c>
      <c r="Q32" s="1260" t="str">
        <f t="shared" si="11"/>
        <v>商业类型</v>
      </c>
      <c r="R32" s="665" t="s">
        <v>14</v>
      </c>
      <c r="S32" s="666">
        <f t="shared" si="12"/>
        <v>100</v>
      </c>
      <c r="T32" s="665" t="s">
        <v>14</v>
      </c>
      <c r="U32" s="666">
        <f t="shared" si="13"/>
        <v>100</v>
      </c>
      <c r="V32" s="665" t="s">
        <v>14</v>
      </c>
      <c r="W32" s="666">
        <f t="shared" si="14"/>
        <v>100</v>
      </c>
      <c r="X32" s="1262"/>
      <c r="Y32" s="3383" t="s">
        <v>1692</v>
      </c>
      <c r="Z32" s="1261" t="str">
        <f t="shared" si="15"/>
        <v>商业类型</v>
      </c>
      <c r="AA32" s="1261">
        <f t="shared" si="3"/>
        <v>1</v>
      </c>
      <c r="AB32" s="1261">
        <f t="shared" si="4"/>
        <v>1</v>
      </c>
      <c r="AC32" s="1261">
        <f t="shared" si="5"/>
        <v>1</v>
      </c>
    </row>
    <row r="33" spans="1:29" s="406" customFormat="1" ht="15">
      <c r="A33" s="404"/>
      <c r="B33" s="362" t="s">
        <v>1693</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42"/>
      <c r="Q33" s="529" t="str">
        <f t="shared" si="11"/>
        <v>项目建筑规模</v>
      </c>
      <c r="R33" s="667" t="s">
        <v>14</v>
      </c>
      <c r="S33" s="668" t="e">
        <f t="shared" si="12"/>
        <v>#N/A</v>
      </c>
      <c r="T33" s="667" t="s">
        <v>14</v>
      </c>
      <c r="U33" s="668" t="e">
        <f t="shared" si="13"/>
        <v>#N/A</v>
      </c>
      <c r="V33" s="667" t="s">
        <v>14</v>
      </c>
      <c r="W33" s="668" t="e">
        <f t="shared" si="14"/>
        <v>#N/A</v>
      </c>
      <c r="X33" s="669"/>
      <c r="Y33" s="3383"/>
      <c r="Z33" s="670" t="str">
        <f t="shared" si="15"/>
        <v>项目建筑规模</v>
      </c>
      <c r="AA33" s="1261" t="e">
        <f t="shared" si="3"/>
        <v>#N/A</v>
      </c>
      <c r="AB33" s="1261" t="e">
        <f t="shared" si="4"/>
        <v>#N/A</v>
      </c>
      <c r="AC33" s="1261" t="e">
        <f t="shared" si="5"/>
        <v>#N/A</v>
      </c>
    </row>
    <row r="34" spans="1:29" ht="15">
      <c r="A34" s="407"/>
      <c r="B34" s="362" t="s">
        <v>1694</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42"/>
      <c r="Q34" s="1260" t="str">
        <f t="shared" si="11"/>
        <v>建筑结构</v>
      </c>
      <c r="R34" s="665" t="s">
        <v>14</v>
      </c>
      <c r="S34" s="666">
        <f t="shared" si="12"/>
        <v>100</v>
      </c>
      <c r="T34" s="665" t="s">
        <v>14</v>
      </c>
      <c r="U34" s="666">
        <f t="shared" si="13"/>
        <v>100</v>
      </c>
      <c r="V34" s="665" t="s">
        <v>14</v>
      </c>
      <c r="W34" s="666">
        <f t="shared" si="14"/>
        <v>100</v>
      </c>
      <c r="X34" s="1262"/>
      <c r="Y34" s="3383"/>
      <c r="Z34" s="1261" t="str">
        <f t="shared" si="15"/>
        <v>建筑结构</v>
      </c>
      <c r="AA34" s="1261">
        <f t="shared" si="3"/>
        <v>1</v>
      </c>
      <c r="AB34" s="1261">
        <f t="shared" si="4"/>
        <v>1</v>
      </c>
      <c r="AC34" s="1261">
        <f t="shared" si="5"/>
        <v>1</v>
      </c>
    </row>
    <row r="35" spans="1:29" ht="15">
      <c r="A35" s="407"/>
      <c r="B35" s="362" t="s">
        <v>1781</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42"/>
      <c r="Q35" s="1260" t="str">
        <f t="shared" si="11"/>
        <v>公共部分装修</v>
      </c>
      <c r="R35" s="665" t="s">
        <v>14</v>
      </c>
      <c r="S35" s="666">
        <f t="shared" si="12"/>
        <v>100</v>
      </c>
      <c r="T35" s="665" t="s">
        <v>14</v>
      </c>
      <c r="U35" s="666">
        <f t="shared" si="13"/>
        <v>100</v>
      </c>
      <c r="V35" s="665" t="s">
        <v>14</v>
      </c>
      <c r="W35" s="666">
        <f t="shared" si="14"/>
        <v>100</v>
      </c>
      <c r="X35" s="1262"/>
      <c r="Y35" s="3383"/>
      <c r="Z35" s="1261" t="str">
        <f t="shared" si="15"/>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42"/>
      <c r="Q36" s="1260" t="str">
        <f t="shared" si="11"/>
        <v>成新度</v>
      </c>
      <c r="R36" s="665" t="s">
        <v>14</v>
      </c>
      <c r="S36" s="666" t="e">
        <f t="shared" si="12"/>
        <v>#N/A</v>
      </c>
      <c r="T36" s="665" t="s">
        <v>14</v>
      </c>
      <c r="U36" s="666" t="e">
        <f t="shared" si="13"/>
        <v>#N/A</v>
      </c>
      <c r="V36" s="665" t="s">
        <v>14</v>
      </c>
      <c r="W36" s="666" t="e">
        <f t="shared" si="14"/>
        <v>#N/A</v>
      </c>
      <c r="X36" s="1262"/>
      <c r="Y36" s="3383"/>
      <c r="Z36" s="1261" t="str">
        <f t="shared" si="15"/>
        <v>成新度</v>
      </c>
      <c r="AA36" s="1261" t="e">
        <f t="shared" si="3"/>
        <v>#N/A</v>
      </c>
      <c r="AB36" s="1261" t="e">
        <f t="shared" si="4"/>
        <v>#N/A</v>
      </c>
      <c r="AC36" s="1261" t="e">
        <f t="shared" si="5"/>
        <v>#N/A</v>
      </c>
    </row>
    <row r="37" spans="1:29" s="102" customFormat="1" ht="15">
      <c r="A37" s="408"/>
      <c r="B37" s="362" t="s">
        <v>1783</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42"/>
      <c r="Q37" s="528" t="str">
        <f t="shared" si="11"/>
        <v>市政基础设施</v>
      </c>
      <c r="R37" s="662" t="s">
        <v>14</v>
      </c>
      <c r="S37" s="663">
        <f t="shared" si="12"/>
        <v>100</v>
      </c>
      <c r="T37" s="662" t="s">
        <v>14</v>
      </c>
      <c r="U37" s="663">
        <f t="shared" si="13"/>
        <v>100</v>
      </c>
      <c r="V37" s="662" t="s">
        <v>14</v>
      </c>
      <c r="W37" s="663">
        <f t="shared" si="14"/>
        <v>100</v>
      </c>
      <c r="X37" s="664"/>
      <c r="Y37" s="3383"/>
      <c r="Z37" s="50" t="str">
        <f t="shared" si="15"/>
        <v>市政基础设施</v>
      </c>
      <c r="AA37" s="50">
        <f t="shared" si="3"/>
        <v>1</v>
      </c>
      <c r="AB37" s="50">
        <f t="shared" si="4"/>
        <v>1</v>
      </c>
      <c r="AC37" s="50">
        <f t="shared" si="5"/>
        <v>1</v>
      </c>
    </row>
    <row r="38" spans="1:29" ht="15">
      <c r="A38" s="407"/>
      <c r="B38" s="362" t="s">
        <v>1784</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42" t="s">
        <v>1692</v>
      </c>
      <c r="Q38" s="1260" t="str">
        <f t="shared" si="11"/>
        <v>业态</v>
      </c>
      <c r="R38" s="665" t="s">
        <v>14</v>
      </c>
      <c r="S38" s="666">
        <f t="shared" si="12"/>
        <v>100</v>
      </c>
      <c r="T38" s="665" t="s">
        <v>14</v>
      </c>
      <c r="U38" s="666">
        <f t="shared" si="13"/>
        <v>100</v>
      </c>
      <c r="V38" s="665" t="s">
        <v>14</v>
      </c>
      <c r="W38" s="666">
        <f t="shared" si="14"/>
        <v>100</v>
      </c>
      <c r="X38" s="1262"/>
      <c r="Y38" s="3383" t="s">
        <v>1692</v>
      </c>
      <c r="Z38" s="1261" t="str">
        <f t="shared" si="15"/>
        <v>业态</v>
      </c>
      <c r="AA38" s="1261">
        <f t="shared" si="3"/>
        <v>1</v>
      </c>
      <c r="AB38" s="1261">
        <f t="shared" si="4"/>
        <v>1</v>
      </c>
      <c r="AC38" s="1261">
        <f t="shared" si="5"/>
        <v>1</v>
      </c>
    </row>
    <row r="39" spans="1:29" ht="15">
      <c r="A39" s="407"/>
      <c r="B39" s="362" t="s">
        <v>1785</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42"/>
      <c r="Q39" s="1260" t="str">
        <f t="shared" si="11"/>
        <v>层高</v>
      </c>
      <c r="R39" s="665" t="s">
        <v>14</v>
      </c>
      <c r="S39" s="666">
        <f t="shared" si="12"/>
        <v>100</v>
      </c>
      <c r="T39" s="665" t="s">
        <v>14</v>
      </c>
      <c r="U39" s="666">
        <f t="shared" si="13"/>
        <v>100</v>
      </c>
      <c r="V39" s="665" t="s">
        <v>14</v>
      </c>
      <c r="W39" s="666">
        <f t="shared" si="14"/>
        <v>100</v>
      </c>
      <c r="X39" s="1262"/>
      <c r="Y39" s="3383"/>
      <c r="Z39" s="1261" t="str">
        <f t="shared" si="15"/>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42"/>
      <c r="Q40" s="1260" t="str">
        <f t="shared" si="11"/>
        <v>单套建筑面积</v>
      </c>
      <c r="R40" s="665" t="s">
        <v>14</v>
      </c>
      <c r="S40" s="666">
        <f t="shared" si="12"/>
        <v>100</v>
      </c>
      <c r="T40" s="665" t="s">
        <v>14</v>
      </c>
      <c r="U40" s="666">
        <f t="shared" si="13"/>
        <v>100</v>
      </c>
      <c r="V40" s="665" t="s">
        <v>14</v>
      </c>
      <c r="W40" s="666">
        <f t="shared" si="14"/>
        <v>100</v>
      </c>
      <c r="X40" s="1262"/>
      <c r="Y40" s="3383"/>
      <c r="Z40" s="1261" t="str">
        <f t="shared" si="15"/>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42"/>
      <c r="Q41" s="529" t="str">
        <f t="shared" si="11"/>
        <v>进深比</v>
      </c>
      <c r="R41" s="667" t="s">
        <v>14</v>
      </c>
      <c r="S41" s="668">
        <f t="shared" si="12"/>
        <v>100</v>
      </c>
      <c r="T41" s="667" t="s">
        <v>14</v>
      </c>
      <c r="U41" s="668">
        <f t="shared" si="13"/>
        <v>100</v>
      </c>
      <c r="V41" s="667" t="s">
        <v>14</v>
      </c>
      <c r="W41" s="668">
        <f t="shared" si="14"/>
        <v>100</v>
      </c>
      <c r="X41" s="669"/>
      <c r="Y41" s="3383"/>
      <c r="Z41" s="670" t="str">
        <f t="shared" si="15"/>
        <v>进深比</v>
      </c>
      <c r="AA41" s="1261">
        <f t="shared" si="3"/>
        <v>1</v>
      </c>
      <c r="AB41" s="1261">
        <f t="shared" si="4"/>
        <v>1</v>
      </c>
      <c r="AC41" s="1261">
        <f t="shared" si="5"/>
        <v>1</v>
      </c>
    </row>
    <row r="42" spans="1:29" ht="15">
      <c r="A42" s="407"/>
      <c r="B42" s="362" t="s">
        <v>1788</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42"/>
      <c r="Q42" s="1260" t="str">
        <f t="shared" si="11"/>
        <v>内部装修</v>
      </c>
      <c r="R42" s="665" t="s">
        <v>14</v>
      </c>
      <c r="S42" s="666">
        <f t="shared" si="12"/>
        <v>100</v>
      </c>
      <c r="T42" s="665" t="s">
        <v>14</v>
      </c>
      <c r="U42" s="666">
        <f t="shared" si="13"/>
        <v>100</v>
      </c>
      <c r="V42" s="665" t="s">
        <v>14</v>
      </c>
      <c r="W42" s="666">
        <f t="shared" si="14"/>
        <v>100</v>
      </c>
      <c r="X42" s="1262"/>
      <c r="Y42" s="3383"/>
      <c r="Z42" s="1261" t="str">
        <f t="shared" si="15"/>
        <v>内部装修</v>
      </c>
      <c r="AA42" s="1261">
        <f t="shared" si="3"/>
        <v>1</v>
      </c>
      <c r="AB42" s="1261">
        <f t="shared" si="4"/>
        <v>1</v>
      </c>
      <c r="AC42" s="1261">
        <f t="shared" si="5"/>
        <v>1</v>
      </c>
    </row>
    <row r="43" spans="1:29" ht="15">
      <c r="A43" s="407"/>
      <c r="B43" s="362" t="s">
        <v>1703</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42"/>
      <c r="Q43" s="1260" t="str">
        <f t="shared" si="11"/>
        <v>内部装修维护情况</v>
      </c>
      <c r="R43" s="665" t="s">
        <v>14</v>
      </c>
      <c r="S43" s="666">
        <f t="shared" si="12"/>
        <v>100</v>
      </c>
      <c r="T43" s="665" t="s">
        <v>14</v>
      </c>
      <c r="U43" s="666">
        <f t="shared" si="13"/>
        <v>100</v>
      </c>
      <c r="V43" s="665" t="s">
        <v>14</v>
      </c>
      <c r="W43" s="666">
        <f t="shared" si="14"/>
        <v>100</v>
      </c>
      <c r="X43" s="1262"/>
      <c r="Y43" s="3383"/>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42"/>
      <c r="Q44" s="528">
        <f t="shared" si="11"/>
        <v>111</v>
      </c>
      <c r="R44" s="662" t="s">
        <v>14</v>
      </c>
      <c r="S44" s="663">
        <f t="shared" si="12"/>
        <v>100</v>
      </c>
      <c r="T44" s="662" t="s">
        <v>14</v>
      </c>
      <c r="U44" s="663">
        <f t="shared" si="13"/>
        <v>100</v>
      </c>
      <c r="V44" s="662" t="s">
        <v>14</v>
      </c>
      <c r="W44" s="663">
        <f t="shared" si="14"/>
        <v>100</v>
      </c>
      <c r="X44" s="664"/>
      <c r="Y44" s="3383"/>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42"/>
      <c r="Q45" s="1260">
        <f t="shared" si="11"/>
        <v>111</v>
      </c>
      <c r="R45" s="665" t="s">
        <v>14</v>
      </c>
      <c r="S45" s="666">
        <f t="shared" si="12"/>
        <v>100</v>
      </c>
      <c r="T45" s="665" t="s">
        <v>14</v>
      </c>
      <c r="U45" s="666">
        <f t="shared" si="13"/>
        <v>100</v>
      </c>
      <c r="V45" s="665" t="s">
        <v>14</v>
      </c>
      <c r="W45" s="666">
        <f t="shared" si="14"/>
        <v>100</v>
      </c>
      <c r="X45" s="1262"/>
      <c r="Y45" s="3383"/>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43"/>
      <c r="Q46" s="1260">
        <f t="shared" si="11"/>
        <v>111</v>
      </c>
      <c r="R46" s="665" t="s">
        <v>14</v>
      </c>
      <c r="S46" s="666">
        <f t="shared" si="12"/>
        <v>100</v>
      </c>
      <c r="T46" s="665" t="s">
        <v>14</v>
      </c>
      <c r="U46" s="666">
        <f t="shared" si="13"/>
        <v>100</v>
      </c>
      <c r="V46" s="665" t="s">
        <v>14</v>
      </c>
      <c r="W46" s="666">
        <f t="shared" si="14"/>
        <v>100</v>
      </c>
      <c r="X46" s="1262"/>
      <c r="Y46" s="3444"/>
      <c r="Z46" s="1261">
        <f t="shared" si="15"/>
        <v>111</v>
      </c>
      <c r="AA46" s="1261">
        <f t="shared" si="3"/>
        <v>1</v>
      </c>
      <c r="AB46" s="1261">
        <f t="shared" si="4"/>
        <v>1</v>
      </c>
      <c r="AC46" s="1261">
        <f t="shared" si="5"/>
        <v>1</v>
      </c>
    </row>
    <row r="47" spans="1:29" ht="15">
      <c r="A47" s="414" t="s">
        <v>1704</v>
      </c>
      <c r="B47" s="415"/>
      <c r="C47" s="1079" t="s">
        <v>0</v>
      </c>
      <c r="D47" s="416"/>
      <c r="E47" s="417"/>
      <c r="F47" s="418"/>
      <c r="G47" s="419"/>
      <c r="H47" s="420"/>
      <c r="I47" s="417"/>
      <c r="J47" s="420"/>
      <c r="K47" s="672"/>
      <c r="L47" s="2492"/>
      <c r="M47" s="2485"/>
      <c r="N47" s="2485"/>
      <c r="O47" s="2485"/>
      <c r="P47" s="3379" t="str">
        <f>A47</f>
        <v>成交单价（元/平方米）</v>
      </c>
      <c r="Q47" s="3379"/>
      <c r="R47" s="3384">
        <f>E47</f>
        <v>0</v>
      </c>
      <c r="S47" s="3384"/>
      <c r="T47" s="3384">
        <f>G47</f>
        <v>0</v>
      </c>
      <c r="U47" s="3384"/>
      <c r="V47" s="3384">
        <f>I47</f>
        <v>0</v>
      </c>
      <c r="W47" s="3384"/>
      <c r="X47" s="383"/>
      <c r="Y47" s="671"/>
      <c r="Z47" s="383"/>
      <c r="AA47" s="383"/>
      <c r="AB47" s="383"/>
      <c r="AC47" s="383"/>
    </row>
    <row r="48" spans="1:29" ht="15.75" thickBot="1">
      <c r="A48" s="421" t="s">
        <v>1789</v>
      </c>
      <c r="B48" s="422"/>
      <c r="C48" s="1080" t="e">
        <f>R49</f>
        <v>#DIV/0!</v>
      </c>
      <c r="D48" s="2138" t="s">
        <v>2133</v>
      </c>
      <c r="E48" s="1081" t="e">
        <f>R48</f>
        <v>#DIV/0!</v>
      </c>
      <c r="F48" s="2139"/>
      <c r="G48" s="1080" t="e">
        <f>T48</f>
        <v>#DIV/0!</v>
      </c>
      <c r="H48" s="2139"/>
      <c r="I48" s="1081" t="e">
        <f>V48</f>
        <v>#DIV/0!</v>
      </c>
      <c r="J48" s="2139"/>
      <c r="K48" s="2141">
        <f>F48+H48+J48</f>
        <v>0</v>
      </c>
      <c r="L48" s="2492"/>
      <c r="M48" s="2485"/>
      <c r="N48" s="2485"/>
      <c r="O48" s="2485"/>
      <c r="P48" s="3379" t="str">
        <f>A48</f>
        <v>比较价值（元/平方米）</v>
      </c>
      <c r="Q48" s="3379"/>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92"/>
      <c r="M49" s="2485"/>
      <c r="N49" s="2485"/>
      <c r="O49" s="2485"/>
      <c r="P49" s="3373" t="str">
        <f>A49</f>
        <v>估价对象XX用房的比较价值（楼面单价，元/平方米）</v>
      </c>
      <c r="Q49" s="3374"/>
      <c r="R49" s="3440" t="e">
        <f>IF(F1="售价",ROUND(IF(D48="简单平均",AVERAGE(R48:V48),R48*F48+T48*H48+V48*J48),0),ROUND(IF(D48="简单平均",AVERAGE(R48:V48),R48*F48+T48*H48+V48*J48),1))</f>
        <v>#DIV/0!</v>
      </c>
      <c r="S49" s="3440"/>
      <c r="T49" s="3440"/>
      <c r="U49" s="3440"/>
      <c r="V49" s="3440"/>
      <c r="W49" s="3440"/>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1794</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5">
      <c r="A58" s="438" t="s">
        <v>1675</v>
      </c>
      <c r="B58" s="439"/>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7"/>
      <c r="Q58" s="2508"/>
      <c r="R58" s="2508"/>
      <c r="S58" s="2508"/>
      <c r="T58" s="2508"/>
      <c r="U58" s="2508"/>
      <c r="V58" s="2508"/>
      <c r="W58" s="2508"/>
      <c r="X58" s="2508"/>
      <c r="Y58" s="2508"/>
      <c r="Z58" s="2508"/>
      <c r="AA58" s="2508"/>
      <c r="AB58" s="2508"/>
      <c r="AC58" s="2508"/>
    </row>
    <row r="59" spans="1:29" s="102"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75" thickBot="1">
      <c r="A60" s="447" t="s">
        <v>1712</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5">
      <c r="A61" s="453" t="s">
        <v>1677</v>
      </c>
      <c r="B61" s="442"/>
      <c r="C61" s="454" t="s">
        <v>1772</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1715</v>
      </c>
      <c r="B63" s="458" t="s">
        <v>1681</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1684</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1685</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1686</v>
      </c>
      <c r="B76" s="458" t="s">
        <v>1716</v>
      </c>
      <c r="C76" s="502" t="s">
        <v>1717</v>
      </c>
      <c r="D76" s="502" t="s">
        <v>1718</v>
      </c>
      <c r="E76" s="502" t="s">
        <v>1719</v>
      </c>
      <c r="F76" s="502" t="s">
        <v>1720</v>
      </c>
      <c r="G76" s="502" t="s">
        <v>1721</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1722</v>
      </c>
      <c r="C78" s="507" t="s">
        <v>1717</v>
      </c>
      <c r="D78" s="507" t="s">
        <v>1718</v>
      </c>
      <c r="E78" s="507" t="s">
        <v>1719</v>
      </c>
      <c r="F78" s="507" t="s">
        <v>1720</v>
      </c>
      <c r="G78" s="507" t="s">
        <v>1721</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1723</v>
      </c>
      <c r="C80" s="507" t="s">
        <v>1717</v>
      </c>
      <c r="D80" s="507" t="s">
        <v>1718</v>
      </c>
      <c r="E80" s="507" t="s">
        <v>1719</v>
      </c>
      <c r="F80" s="507" t="s">
        <v>1720</v>
      </c>
      <c r="G80" s="507" t="s">
        <v>1721</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1775</v>
      </c>
      <c r="C82" s="579" t="s">
        <v>1795</v>
      </c>
      <c r="D82" s="579" t="s">
        <v>1796</v>
      </c>
      <c r="E82" s="579" t="s">
        <v>1797</v>
      </c>
      <c r="F82" s="579" t="s">
        <v>1798</v>
      </c>
      <c r="G82" s="579" t="s">
        <v>1799</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1729</v>
      </c>
      <c r="C84" s="507" t="s">
        <v>1717</v>
      </c>
      <c r="D84" s="507" t="s">
        <v>1718</v>
      </c>
      <c r="E84" s="507" t="s">
        <v>1719</v>
      </c>
      <c r="F84" s="507" t="s">
        <v>1720</v>
      </c>
      <c r="G84" s="507" t="s">
        <v>1721</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75" thickTop="1">
      <c r="A86" s="368"/>
      <c r="B86" s="467" t="s">
        <v>1800</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1690</v>
      </c>
      <c r="B100" s="458" t="s">
        <v>1801</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1733</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1734</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1736</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1738</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1802</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1803</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1804</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1805</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1740</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1741</v>
      </c>
      <c r="C124" s="507" t="s">
        <v>1717</v>
      </c>
      <c r="D124" s="507" t="s">
        <v>1718</v>
      </c>
      <c r="E124" s="507" t="s">
        <v>1719</v>
      </c>
      <c r="F124" s="507" t="s">
        <v>1720</v>
      </c>
      <c r="G124" s="507" t="s">
        <v>1721</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805" t="s">
        <v>1806</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1459</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f>IF(C2="——",C50,ROUND(B2*10000/D3,0))</f>
        <v>0</v>
      </c>
      <c r="C3" s="342" t="s">
        <v>1764</v>
      </c>
      <c r="D3" s="341">
        <f>IF(D1="",'数据-汇总表'!E3,SUMIF('数据-汇总表'!$C19:$C33,D1,'数据-汇总表'!$E19:$E33))</f>
        <v>68049.77999999997</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5">
      <c r="A4" s="343" t="s">
        <v>1765</v>
      </c>
      <c r="B4" s="344"/>
      <c r="C4" s="3376" t="s">
        <v>1766</v>
      </c>
      <c r="D4" s="3388"/>
      <c r="E4" s="3389" t="s">
        <v>1767</v>
      </c>
      <c r="F4" s="3390"/>
      <c r="G4" s="3376" t="s">
        <v>1768</v>
      </c>
      <c r="H4" s="3388"/>
      <c r="I4" s="3376" t="s">
        <v>1769</v>
      </c>
      <c r="J4" s="3388"/>
      <c r="K4" s="535" t="s">
        <v>1770</v>
      </c>
      <c r="L4" s="2484"/>
      <c r="M4" s="2485"/>
      <c r="N4" s="2485"/>
      <c r="O4" s="2485"/>
      <c r="P4" s="3453" t="s">
        <v>1771</v>
      </c>
      <c r="Q4" s="3454"/>
      <c r="R4" s="3457" t="s">
        <v>1767</v>
      </c>
      <c r="S4" s="3458"/>
      <c r="T4" s="3457" t="s">
        <v>1768</v>
      </c>
      <c r="U4" s="3458"/>
      <c r="V4" s="3459" t="s">
        <v>1769</v>
      </c>
      <c r="W4" s="3459"/>
      <c r="X4" s="1806"/>
      <c r="Y4" s="3457" t="s">
        <v>1771</v>
      </c>
      <c r="Z4" s="3458"/>
      <c r="AA4" s="3461" t="s">
        <v>1767</v>
      </c>
      <c r="AB4" s="3461" t="s">
        <v>1768</v>
      </c>
      <c r="AC4" s="3450" t="s">
        <v>1769</v>
      </c>
    </row>
    <row r="5" spans="1:29" ht="15">
      <c r="A5" s="346"/>
      <c r="B5" s="347"/>
      <c r="C5" s="3405" t="s">
        <v>1669</v>
      </c>
      <c r="D5" s="3406"/>
      <c r="E5" s="3412" t="s">
        <v>1670</v>
      </c>
      <c r="F5" s="3413"/>
      <c r="G5" s="3405" t="s">
        <v>1671</v>
      </c>
      <c r="H5" s="3406"/>
      <c r="I5" s="3405" t="s">
        <v>1672</v>
      </c>
      <c r="J5" s="3406"/>
      <c r="K5" s="535"/>
      <c r="L5" s="2484"/>
      <c r="M5" s="2485"/>
      <c r="N5" s="2485"/>
      <c r="O5" s="2485"/>
      <c r="P5" s="3455"/>
      <c r="Q5" s="3394"/>
      <c r="R5" s="3399"/>
      <c r="S5" s="3400"/>
      <c r="T5" s="3399"/>
      <c r="U5" s="3400"/>
      <c r="V5" s="3384"/>
      <c r="W5" s="3384"/>
      <c r="X5" s="1262"/>
      <c r="Y5" s="3399"/>
      <c r="Z5" s="3400"/>
      <c r="AA5" s="3386"/>
      <c r="AB5" s="3386"/>
      <c r="AC5" s="3451"/>
    </row>
    <row r="6" spans="1:29" ht="15.75" thickBot="1">
      <c r="A6" s="348"/>
      <c r="B6" s="349"/>
      <c r="C6" s="3403" t="s">
        <v>1673</v>
      </c>
      <c r="D6" s="3404"/>
      <c r="E6" s="3410" t="s">
        <v>1673</v>
      </c>
      <c r="F6" s="3411"/>
      <c r="G6" s="3403" t="s">
        <v>1673</v>
      </c>
      <c r="H6" s="3404"/>
      <c r="I6" s="3403" t="s">
        <v>1673</v>
      </c>
      <c r="J6" s="3404"/>
      <c r="K6" s="535" t="s">
        <v>1674</v>
      </c>
      <c r="L6" s="2484"/>
      <c r="M6" s="2485"/>
      <c r="N6" s="2485"/>
      <c r="O6" s="2485"/>
      <c r="P6" s="3456"/>
      <c r="Q6" s="3396"/>
      <c r="R6" s="3399"/>
      <c r="S6" s="3400"/>
      <c r="T6" s="3401"/>
      <c r="U6" s="3402"/>
      <c r="V6" s="3384"/>
      <c r="W6" s="3384"/>
      <c r="X6" s="1262"/>
      <c r="Y6" s="3401"/>
      <c r="Z6" s="3402"/>
      <c r="AA6" s="3387"/>
      <c r="AB6" s="3387"/>
      <c r="AC6" s="3452"/>
    </row>
    <row r="7" spans="1:29" s="102" customFormat="1" ht="15.75" thickBot="1">
      <c r="A7" s="350" t="s">
        <v>1675</v>
      </c>
      <c r="B7" s="351"/>
      <c r="C7" s="352">
        <f>'数据-取费表'!B2</f>
        <v>45604</v>
      </c>
      <c r="D7" s="353">
        <v>100</v>
      </c>
      <c r="E7" s="354"/>
      <c r="F7" s="355">
        <f>SUMIF(59:59,YEAR(E7)&amp;"-"&amp;MONTH(E7),60:60)</f>
        <v>0</v>
      </c>
      <c r="G7" s="354"/>
      <c r="H7" s="353">
        <f>SUMIF(59:59,YEAR(G7)&amp;"-"&amp;MONTH(G7),60:60)</f>
        <v>0</v>
      </c>
      <c r="I7" s="354"/>
      <c r="J7" s="353">
        <f>SUMIF(59:59,YEAR(I7)&amp;"-"&amp;MONTH(I7),60:60)</f>
        <v>0</v>
      </c>
      <c r="K7" s="38"/>
      <c r="L7" s="2486"/>
      <c r="M7" s="2437"/>
      <c r="N7" s="2437"/>
      <c r="O7" s="2437"/>
      <c r="P7" s="3460" t="s">
        <v>1676</v>
      </c>
      <c r="Q7" s="3409"/>
      <c r="R7" s="662" t="s">
        <v>14</v>
      </c>
      <c r="S7" s="663">
        <f t="shared" ref="S7:S15" si="0">F7</f>
        <v>0</v>
      </c>
      <c r="T7" s="662" t="s">
        <v>14</v>
      </c>
      <c r="U7" s="663">
        <f t="shared" ref="U7:U15" si="1">H7</f>
        <v>0</v>
      </c>
      <c r="V7" s="662" t="s">
        <v>14</v>
      </c>
      <c r="W7" s="663">
        <f t="shared" ref="W7:W15" si="2">J7</f>
        <v>0</v>
      </c>
      <c r="X7" s="664"/>
      <c r="Y7" s="3407" t="s">
        <v>1676</v>
      </c>
      <c r="Z7" s="3408"/>
      <c r="AA7" s="50" t="e">
        <f>D7/F7</f>
        <v>#DIV/0!</v>
      </c>
      <c r="AB7" s="50" t="e">
        <f>D7/H7</f>
        <v>#DIV/0!</v>
      </c>
      <c r="AC7" s="800" t="e">
        <f>D7/J7</f>
        <v>#DIV/0!</v>
      </c>
    </row>
    <row r="8" spans="1:29" s="102" customFormat="1" ht="15.75" thickBot="1">
      <c r="A8" s="350" t="s">
        <v>1677</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460" t="s">
        <v>1679</v>
      </c>
      <c r="Q8" s="3408"/>
      <c r="R8" s="662" t="s">
        <v>14</v>
      </c>
      <c r="S8" s="663">
        <f t="shared" si="0"/>
        <v>100</v>
      </c>
      <c r="T8" s="662" t="s">
        <v>14</v>
      </c>
      <c r="U8" s="663">
        <f t="shared" si="1"/>
        <v>100</v>
      </c>
      <c r="V8" s="662" t="s">
        <v>14</v>
      </c>
      <c r="W8" s="663">
        <f t="shared" si="2"/>
        <v>100</v>
      </c>
      <c r="X8" s="664"/>
      <c r="Y8" s="3407" t="s">
        <v>1679</v>
      </c>
      <c r="Z8" s="3408"/>
      <c r="AA8" s="50">
        <f t="shared" ref="AA8:AA47" si="3">D8/F8</f>
        <v>1</v>
      </c>
      <c r="AB8" s="50">
        <f t="shared" ref="AB8:AB47" si="4">D8/H8</f>
        <v>1</v>
      </c>
      <c r="AC8" s="800">
        <f t="shared" ref="AC8:AC47" si="5">D8/J8</f>
        <v>1</v>
      </c>
    </row>
    <row r="9" spans="1:29" s="102" customFormat="1">
      <c r="A9" s="357" t="s">
        <v>1680</v>
      </c>
      <c r="B9" s="60" t="s">
        <v>1681</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378" t="s">
        <v>1682</v>
      </c>
      <c r="Q9" s="528" t="str">
        <f t="shared" ref="Q9:Q15" si="6">B9</f>
        <v>用途</v>
      </c>
      <c r="R9" s="662" t="s">
        <v>14</v>
      </c>
      <c r="S9" s="663">
        <f t="shared" si="0"/>
        <v>100</v>
      </c>
      <c r="T9" s="662" t="s">
        <v>14</v>
      </c>
      <c r="U9" s="663">
        <f t="shared" si="1"/>
        <v>100</v>
      </c>
      <c r="V9" s="662" t="s">
        <v>14</v>
      </c>
      <c r="W9" s="663">
        <f t="shared" si="2"/>
        <v>100</v>
      </c>
      <c r="X9" s="664"/>
      <c r="Y9" s="3276" t="s">
        <v>1683</v>
      </c>
      <c r="Z9" s="50" t="str">
        <f t="shared" ref="Z9:Z15" si="7">Q9</f>
        <v>用途</v>
      </c>
      <c r="AA9" s="50">
        <f t="shared" si="3"/>
        <v>1</v>
      </c>
      <c r="AB9" s="50">
        <f t="shared" si="4"/>
        <v>1</v>
      </c>
      <c r="AC9" s="800">
        <f t="shared" si="5"/>
        <v>1</v>
      </c>
    </row>
    <row r="10" spans="1:29" s="364" customFormat="1" ht="27">
      <c r="A10" s="361"/>
      <c r="B10" s="362" t="s">
        <v>1684</v>
      </c>
      <c r="C10" s="3130"/>
      <c r="D10" s="117">
        <v>100</v>
      </c>
      <c r="E10" s="3130"/>
      <c r="F10" s="117">
        <f>SUMIF(66:66,E10,67:67)-SUMIF(66:66,C10,67:67)+100</f>
        <v>100</v>
      </c>
      <c r="G10" s="3131"/>
      <c r="H10" s="117">
        <f>SUMIF(66:66,G10,67:67)-SUMIF(66:66,C10,67:67)+100</f>
        <v>100</v>
      </c>
      <c r="I10" s="3130"/>
      <c r="J10" s="117">
        <f>SUMIF(66:66,I10,67:67)-SUMIF(66:66,C10,67:67)+100</f>
        <v>100</v>
      </c>
      <c r="K10" s="38"/>
      <c r="L10" s="2487"/>
      <c r="M10" s="2488"/>
      <c r="N10" s="2488"/>
      <c r="O10" s="2488"/>
      <c r="P10" s="3378"/>
      <c r="Q10" s="528" t="str">
        <f t="shared" si="6"/>
        <v>土地使用年限（年）</v>
      </c>
      <c r="R10" s="662" t="s">
        <v>14</v>
      </c>
      <c r="S10" s="663">
        <f t="shared" si="0"/>
        <v>100</v>
      </c>
      <c r="T10" s="662" t="s">
        <v>14</v>
      </c>
      <c r="U10" s="663">
        <f t="shared" si="1"/>
        <v>100</v>
      </c>
      <c r="V10" s="662" t="s">
        <v>14</v>
      </c>
      <c r="W10" s="663">
        <f t="shared" si="2"/>
        <v>100</v>
      </c>
      <c r="X10" s="664"/>
      <c r="Y10" s="3276"/>
      <c r="Z10" s="50" t="str">
        <f t="shared" si="7"/>
        <v>土地使用年限（年）</v>
      </c>
      <c r="AA10" s="50">
        <f t="shared" si="3"/>
        <v>1</v>
      </c>
      <c r="AB10" s="50">
        <f t="shared" si="4"/>
        <v>1</v>
      </c>
      <c r="AC10" s="800">
        <f t="shared" si="5"/>
        <v>1</v>
      </c>
    </row>
    <row r="11" spans="1:29" ht="15">
      <c r="A11" s="365"/>
      <c r="B11" s="362" t="s">
        <v>1685</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378"/>
      <c r="Q11" s="528" t="str">
        <f t="shared" si="6"/>
        <v>容积率</v>
      </c>
      <c r="R11" s="662" t="s">
        <v>14</v>
      </c>
      <c r="S11" s="663">
        <f t="shared" si="0"/>
        <v>100</v>
      </c>
      <c r="T11" s="662" t="s">
        <v>14</v>
      </c>
      <c r="U11" s="663">
        <f t="shared" si="1"/>
        <v>100</v>
      </c>
      <c r="V11" s="662" t="s">
        <v>14</v>
      </c>
      <c r="W11" s="663">
        <f t="shared" si="2"/>
        <v>100</v>
      </c>
      <c r="X11" s="664"/>
      <c r="Y11" s="3276"/>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378"/>
      <c r="Q12" s="528">
        <f t="shared" si="6"/>
        <v>111</v>
      </c>
      <c r="R12" s="662" t="s">
        <v>14</v>
      </c>
      <c r="S12" s="663">
        <f t="shared" si="0"/>
        <v>100</v>
      </c>
      <c r="T12" s="662" t="s">
        <v>14</v>
      </c>
      <c r="U12" s="663">
        <f t="shared" si="1"/>
        <v>100</v>
      </c>
      <c r="V12" s="662" t="s">
        <v>14</v>
      </c>
      <c r="W12" s="663">
        <f t="shared" si="2"/>
        <v>100</v>
      </c>
      <c r="X12" s="664"/>
      <c r="Y12" s="3276"/>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378"/>
      <c r="Q13" s="528">
        <f t="shared" si="6"/>
        <v>111</v>
      </c>
      <c r="R13" s="662" t="s">
        <v>14</v>
      </c>
      <c r="S13" s="663">
        <f t="shared" si="0"/>
        <v>100</v>
      </c>
      <c r="T13" s="662" t="s">
        <v>14</v>
      </c>
      <c r="U13" s="663">
        <f t="shared" si="1"/>
        <v>100</v>
      </c>
      <c r="V13" s="662" t="s">
        <v>14</v>
      </c>
      <c r="W13" s="663">
        <f t="shared" si="2"/>
        <v>100</v>
      </c>
      <c r="X13" s="664"/>
      <c r="Y13" s="3276"/>
      <c r="Z13" s="50">
        <f t="shared" si="7"/>
        <v>111</v>
      </c>
      <c r="AA13" s="50">
        <f t="shared" si="3"/>
        <v>1</v>
      </c>
      <c r="AB13" s="50">
        <f t="shared" si="4"/>
        <v>1</v>
      </c>
      <c r="AC13" s="800">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378"/>
      <c r="Q14" s="528">
        <f t="shared" si="6"/>
        <v>111</v>
      </c>
      <c r="R14" s="662" t="s">
        <v>14</v>
      </c>
      <c r="S14" s="663">
        <f t="shared" si="0"/>
        <v>100</v>
      </c>
      <c r="T14" s="662" t="s">
        <v>14</v>
      </c>
      <c r="U14" s="663">
        <f t="shared" si="1"/>
        <v>100</v>
      </c>
      <c r="V14" s="662" t="s">
        <v>14</v>
      </c>
      <c r="W14" s="663">
        <f t="shared" si="2"/>
        <v>100</v>
      </c>
      <c r="X14" s="664"/>
      <c r="Y14" s="3276"/>
      <c r="Z14" s="50">
        <f t="shared" si="7"/>
        <v>111</v>
      </c>
      <c r="AA14" s="50">
        <f t="shared" si="3"/>
        <v>1</v>
      </c>
      <c r="AB14" s="50">
        <f t="shared" si="4"/>
        <v>1</v>
      </c>
      <c r="AC14" s="800">
        <f t="shared" si="5"/>
        <v>1</v>
      </c>
    </row>
    <row r="15" spans="1:29" ht="71.25">
      <c r="A15" s="377" t="s">
        <v>1686</v>
      </c>
      <c r="B15" s="552" t="s">
        <v>1807</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45" t="s">
        <v>1687</v>
      </c>
      <c r="Q15" s="1260" t="str">
        <f t="shared" si="6"/>
        <v>办公集聚程度</v>
      </c>
      <c r="R15" s="665" t="s">
        <v>14</v>
      </c>
      <c r="S15" s="666">
        <f t="shared" si="0"/>
        <v>100</v>
      </c>
      <c r="T15" s="665" t="s">
        <v>14</v>
      </c>
      <c r="U15" s="666">
        <f t="shared" si="1"/>
        <v>100</v>
      </c>
      <c r="V15" s="665" t="s">
        <v>14</v>
      </c>
      <c r="W15" s="666">
        <f t="shared" si="2"/>
        <v>100</v>
      </c>
      <c r="X15" s="1262"/>
      <c r="Y15" s="3380" t="s">
        <v>1687</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46"/>
      <c r="Q16" s="1260"/>
      <c r="R16" s="665"/>
      <c r="S16" s="666"/>
      <c r="T16" s="665"/>
      <c r="U16" s="666"/>
      <c r="V16" s="665"/>
      <c r="W16" s="666"/>
      <c r="X16" s="1262"/>
      <c r="Y16" s="3381"/>
      <c r="Z16" s="1261"/>
      <c r="AA16" s="1261">
        <v>1</v>
      </c>
      <c r="AB16" s="1261">
        <v>1</v>
      </c>
      <c r="AC16" s="1809">
        <v>1</v>
      </c>
    </row>
    <row r="17" spans="1:29" ht="71.25">
      <c r="A17" s="365"/>
      <c r="B17" s="554" t="s">
        <v>1258</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46"/>
      <c r="Q17" s="1260" t="str">
        <f>B17</f>
        <v>交通便捷度</v>
      </c>
      <c r="R17" s="665" t="s">
        <v>14</v>
      </c>
      <c r="S17" s="666">
        <f>F17</f>
        <v>100</v>
      </c>
      <c r="T17" s="665" t="s">
        <v>14</v>
      </c>
      <c r="U17" s="666">
        <f>H17</f>
        <v>100</v>
      </c>
      <c r="V17" s="665" t="s">
        <v>14</v>
      </c>
      <c r="W17" s="666">
        <f>J17</f>
        <v>100</v>
      </c>
      <c r="X17" s="1262"/>
      <c r="Y17" s="3381"/>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46"/>
      <c r="Q18" s="1260"/>
      <c r="R18" s="665"/>
      <c r="S18" s="666"/>
      <c r="T18" s="665"/>
      <c r="U18" s="666"/>
      <c r="V18" s="665"/>
      <c r="W18" s="666"/>
      <c r="X18" s="1262"/>
      <c r="Y18" s="3381"/>
      <c r="Z18" s="1261"/>
      <c r="AA18" s="1261">
        <v>1</v>
      </c>
      <c r="AB18" s="1261">
        <v>1</v>
      </c>
      <c r="AC18" s="1809">
        <v>1</v>
      </c>
    </row>
    <row r="19" spans="1:29" ht="42.75">
      <c r="A19" s="365"/>
      <c r="B19" s="554" t="s">
        <v>1808</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46"/>
      <c r="Q19" s="1260" t="str">
        <f>B19</f>
        <v>公共配套设施</v>
      </c>
      <c r="R19" s="665" t="s">
        <v>14</v>
      </c>
      <c r="S19" s="666">
        <f>F19</f>
        <v>100</v>
      </c>
      <c r="T19" s="665" t="s">
        <v>14</v>
      </c>
      <c r="U19" s="666">
        <f>H19</f>
        <v>100</v>
      </c>
      <c r="V19" s="665" t="s">
        <v>14</v>
      </c>
      <c r="W19" s="666">
        <f>J19</f>
        <v>100</v>
      </c>
      <c r="X19" s="1262"/>
      <c r="Y19" s="3381"/>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46"/>
      <c r="Q20" s="1260"/>
      <c r="R20" s="665"/>
      <c r="S20" s="666"/>
      <c r="T20" s="665"/>
      <c r="U20" s="666"/>
      <c r="V20" s="665"/>
      <c r="W20" s="666"/>
      <c r="X20" s="1262"/>
      <c r="Y20" s="3381"/>
      <c r="Z20" s="1261"/>
      <c r="AA20" s="1261">
        <v>1</v>
      </c>
      <c r="AB20" s="1261">
        <v>1</v>
      </c>
      <c r="AC20" s="1809">
        <v>1</v>
      </c>
    </row>
    <row r="21" spans="1:29" ht="28.5">
      <c r="A21" s="365"/>
      <c r="B21" s="555" t="s">
        <v>1809</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46"/>
      <c r="Q21" s="1260" t="str">
        <f>B21</f>
        <v>基础设施水平</v>
      </c>
      <c r="R21" s="665" t="s">
        <v>14</v>
      </c>
      <c r="S21" s="666">
        <f>F21</f>
        <v>100</v>
      </c>
      <c r="T21" s="665" t="s">
        <v>14</v>
      </c>
      <c r="U21" s="666">
        <f>H21</f>
        <v>100</v>
      </c>
      <c r="V21" s="665" t="s">
        <v>14</v>
      </c>
      <c r="W21" s="666">
        <f>J21</f>
        <v>100</v>
      </c>
      <c r="X21" s="1262"/>
      <c r="Y21" s="3381"/>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46"/>
      <c r="Q22" s="1260"/>
      <c r="R22" s="665"/>
      <c r="S22" s="666"/>
      <c r="T22" s="665"/>
      <c r="U22" s="666"/>
      <c r="V22" s="665"/>
      <c r="W22" s="666"/>
      <c r="X22" s="1262"/>
      <c r="Y22" s="3381"/>
      <c r="Z22" s="1261"/>
      <c r="AA22" s="1261">
        <v>1</v>
      </c>
      <c r="AB22" s="1261">
        <v>1</v>
      </c>
      <c r="AC22" s="1809">
        <v>1</v>
      </c>
    </row>
    <row r="23" spans="1:29" ht="42.75">
      <c r="A23" s="365"/>
      <c r="B23" s="554" t="s">
        <v>1810</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46"/>
      <c r="Q23" s="1260" t="str">
        <f>B23</f>
        <v>环境质量</v>
      </c>
      <c r="R23" s="665" t="s">
        <v>14</v>
      </c>
      <c r="S23" s="666">
        <f>F23</f>
        <v>100</v>
      </c>
      <c r="T23" s="665" t="s">
        <v>14</v>
      </c>
      <c r="U23" s="666">
        <f>H23</f>
        <v>100</v>
      </c>
      <c r="V23" s="665" t="s">
        <v>14</v>
      </c>
      <c r="W23" s="666">
        <f>J23</f>
        <v>100</v>
      </c>
      <c r="X23" s="1262"/>
      <c r="Y23" s="3381"/>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46"/>
      <c r="Q24" s="1260"/>
      <c r="R24" s="665"/>
      <c r="S24" s="666"/>
      <c r="T24" s="665"/>
      <c r="U24" s="666"/>
      <c r="V24" s="665"/>
      <c r="W24" s="666"/>
      <c r="X24" s="1262"/>
      <c r="Y24" s="3381"/>
      <c r="Z24" s="1261"/>
      <c r="AA24" s="1261">
        <v>1</v>
      </c>
      <c r="AB24" s="1261">
        <v>1</v>
      </c>
      <c r="AC24" s="1809">
        <v>1</v>
      </c>
    </row>
    <row r="25" spans="1:29" ht="27">
      <c r="A25" s="346"/>
      <c r="B25" s="554" t="s">
        <v>1811</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46"/>
      <c r="Q25" s="1260" t="str">
        <f>B25</f>
        <v>毗邻道路的类型与等级</v>
      </c>
      <c r="R25" s="665" t="s">
        <v>14</v>
      </c>
      <c r="S25" s="666">
        <f>F25</f>
        <v>100</v>
      </c>
      <c r="T25" s="665" t="s">
        <v>14</v>
      </c>
      <c r="U25" s="666">
        <f>H25</f>
        <v>100</v>
      </c>
      <c r="V25" s="665" t="s">
        <v>14</v>
      </c>
      <c r="W25" s="666">
        <f>J25</f>
        <v>100</v>
      </c>
      <c r="X25" s="1262"/>
      <c r="Y25" s="3381"/>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46"/>
      <c r="Q26" s="1260"/>
      <c r="R26" s="665"/>
      <c r="S26" s="666"/>
      <c r="T26" s="665"/>
      <c r="U26" s="666"/>
      <c r="V26" s="665"/>
      <c r="W26" s="666"/>
      <c r="X26" s="1262"/>
      <c r="Y26" s="3381"/>
      <c r="Z26" s="1261"/>
      <c r="AA26" s="1261">
        <v>1</v>
      </c>
      <c r="AB26" s="1261">
        <v>1</v>
      </c>
      <c r="AC26" s="1809">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46"/>
      <c r="Q27" s="1260" t="str">
        <f t="shared" ref="Q27:Q47" si="11">B27</f>
        <v>楼层</v>
      </c>
      <c r="R27" s="665" t="s">
        <v>14</v>
      </c>
      <c r="S27" s="666">
        <f>F27</f>
        <v>100</v>
      </c>
      <c r="T27" s="665" t="s">
        <v>14</v>
      </c>
      <c r="U27" s="666">
        <f>H27</f>
        <v>100</v>
      </c>
      <c r="V27" s="665" t="s">
        <v>14</v>
      </c>
      <c r="W27" s="666">
        <f>J27</f>
        <v>100</v>
      </c>
      <c r="X27" s="1262"/>
      <c r="Y27" s="3381"/>
      <c r="Z27" s="1261" t="str">
        <f>Q27</f>
        <v>楼层</v>
      </c>
      <c r="AA27" s="1261">
        <f t="shared" si="3"/>
        <v>1</v>
      </c>
      <c r="AB27" s="1261">
        <f t="shared" si="4"/>
        <v>1</v>
      </c>
      <c r="AC27" s="1809">
        <f t="shared" si="5"/>
        <v>1</v>
      </c>
    </row>
    <row r="28" spans="1:29" s="102" customFormat="1" ht="15">
      <c r="A28" s="368"/>
      <c r="B28" s="554" t="s">
        <v>1812</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46"/>
      <c r="Q28" s="528" t="str">
        <f t="shared" si="11"/>
        <v>朝向</v>
      </c>
      <c r="R28" s="662" t="s">
        <v>14</v>
      </c>
      <c r="S28" s="663">
        <f>F28</f>
        <v>100</v>
      </c>
      <c r="T28" s="662" t="s">
        <v>14</v>
      </c>
      <c r="U28" s="663">
        <f>H28</f>
        <v>100</v>
      </c>
      <c r="V28" s="662" t="s">
        <v>14</v>
      </c>
      <c r="W28" s="663">
        <f>J28</f>
        <v>100</v>
      </c>
      <c r="X28" s="664"/>
      <c r="Y28" s="3381"/>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46"/>
      <c r="Q29" s="1260">
        <f t="shared" si="11"/>
        <v>111</v>
      </c>
      <c r="R29" s="665" t="s">
        <v>14</v>
      </c>
      <c r="S29" s="666">
        <f t="shared" ref="S29:S47" si="12">F29</f>
        <v>100</v>
      </c>
      <c r="T29" s="665" t="s">
        <v>14</v>
      </c>
      <c r="U29" s="666">
        <f t="shared" ref="U29:U47" si="13">H29</f>
        <v>100</v>
      </c>
      <c r="V29" s="665" t="s">
        <v>14</v>
      </c>
      <c r="W29" s="666">
        <f t="shared" ref="W29:W47" si="14">J29</f>
        <v>100</v>
      </c>
      <c r="X29" s="1262"/>
      <c r="Y29" s="3381"/>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46"/>
      <c r="Q30" s="1260">
        <f t="shared" si="11"/>
        <v>111</v>
      </c>
      <c r="R30" s="665" t="s">
        <v>14</v>
      </c>
      <c r="S30" s="666">
        <f t="shared" si="12"/>
        <v>100</v>
      </c>
      <c r="T30" s="665" t="s">
        <v>14</v>
      </c>
      <c r="U30" s="666">
        <f t="shared" si="13"/>
        <v>100</v>
      </c>
      <c r="V30" s="665" t="s">
        <v>14</v>
      </c>
      <c r="W30" s="666">
        <f t="shared" si="14"/>
        <v>100</v>
      </c>
      <c r="X30" s="1262"/>
      <c r="Y30" s="3381"/>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46"/>
      <c r="Q31" s="1260">
        <f t="shared" si="11"/>
        <v>111</v>
      </c>
      <c r="R31" s="665" t="s">
        <v>14</v>
      </c>
      <c r="S31" s="666">
        <f t="shared" si="12"/>
        <v>100</v>
      </c>
      <c r="T31" s="665" t="s">
        <v>14</v>
      </c>
      <c r="U31" s="666">
        <f t="shared" si="13"/>
        <v>100</v>
      </c>
      <c r="V31" s="665" t="s">
        <v>14</v>
      </c>
      <c r="W31" s="666">
        <f t="shared" si="14"/>
        <v>100</v>
      </c>
      <c r="X31" s="1262"/>
      <c r="Y31" s="3381"/>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46"/>
      <c r="Q32" s="1260">
        <f t="shared" si="11"/>
        <v>111</v>
      </c>
      <c r="R32" s="665" t="s">
        <v>14</v>
      </c>
      <c r="S32" s="666">
        <f t="shared" si="12"/>
        <v>100</v>
      </c>
      <c r="T32" s="665" t="s">
        <v>14</v>
      </c>
      <c r="U32" s="666">
        <f t="shared" si="13"/>
        <v>100</v>
      </c>
      <c r="V32" s="665" t="s">
        <v>14</v>
      </c>
      <c r="W32" s="666">
        <f t="shared" si="14"/>
        <v>100</v>
      </c>
      <c r="X32" s="1262"/>
      <c r="Y32" s="3381"/>
      <c r="Z32" s="1261">
        <f t="shared" si="15"/>
        <v>111</v>
      </c>
      <c r="AA32" s="1261">
        <f t="shared" si="3"/>
        <v>1</v>
      </c>
      <c r="AB32" s="1261">
        <f t="shared" si="4"/>
        <v>1</v>
      </c>
      <c r="AC32" s="1809">
        <f t="shared" si="5"/>
        <v>1</v>
      </c>
    </row>
    <row r="33" spans="1:29" ht="15">
      <c r="A33" s="377" t="s">
        <v>1690</v>
      </c>
      <c r="B33" s="60" t="s">
        <v>1813</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41" t="s">
        <v>1692</v>
      </c>
      <c r="Q33" s="1260" t="str">
        <f t="shared" si="11"/>
        <v>建筑类型</v>
      </c>
      <c r="R33" s="665" t="s">
        <v>14</v>
      </c>
      <c r="S33" s="666">
        <f t="shared" si="12"/>
        <v>100</v>
      </c>
      <c r="T33" s="665" t="s">
        <v>14</v>
      </c>
      <c r="U33" s="666">
        <f t="shared" si="13"/>
        <v>100</v>
      </c>
      <c r="V33" s="665" t="s">
        <v>14</v>
      </c>
      <c r="W33" s="666">
        <f t="shared" si="14"/>
        <v>100</v>
      </c>
      <c r="X33" s="1262"/>
      <c r="Y33" s="3383" t="s">
        <v>1692</v>
      </c>
      <c r="Z33" s="1261" t="str">
        <f t="shared" si="15"/>
        <v>建筑类型</v>
      </c>
      <c r="AA33" s="1261">
        <f t="shared" si="3"/>
        <v>1</v>
      </c>
      <c r="AB33" s="1261">
        <f t="shared" si="4"/>
        <v>1</v>
      </c>
      <c r="AC33" s="1809">
        <f t="shared" si="5"/>
        <v>1</v>
      </c>
    </row>
    <row r="34" spans="1:29" s="406" customFormat="1" ht="15">
      <c r="A34" s="404"/>
      <c r="B34" s="362" t="s">
        <v>1693</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42"/>
      <c r="Q34" s="529" t="str">
        <f t="shared" si="11"/>
        <v>项目建筑规模</v>
      </c>
      <c r="R34" s="667" t="s">
        <v>14</v>
      </c>
      <c r="S34" s="668" t="e">
        <f t="shared" si="12"/>
        <v>#N/A</v>
      </c>
      <c r="T34" s="667" t="s">
        <v>14</v>
      </c>
      <c r="U34" s="668" t="e">
        <f t="shared" si="13"/>
        <v>#N/A</v>
      </c>
      <c r="V34" s="667" t="s">
        <v>14</v>
      </c>
      <c r="W34" s="668" t="e">
        <f t="shared" si="14"/>
        <v>#N/A</v>
      </c>
      <c r="X34" s="669"/>
      <c r="Y34" s="3383"/>
      <c r="Z34" s="670" t="str">
        <f t="shared" si="15"/>
        <v>项目建筑规模</v>
      </c>
      <c r="AA34" s="1261" t="e">
        <f t="shared" si="3"/>
        <v>#N/A</v>
      </c>
      <c r="AB34" s="1261" t="e">
        <f t="shared" si="4"/>
        <v>#N/A</v>
      </c>
      <c r="AC34" s="1809" t="e">
        <f t="shared" si="5"/>
        <v>#N/A</v>
      </c>
    </row>
    <row r="35" spans="1:29" ht="15">
      <c r="A35" s="407"/>
      <c r="B35" s="362" t="s">
        <v>1694</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42"/>
      <c r="Q35" s="1260" t="str">
        <f t="shared" si="11"/>
        <v>建筑结构</v>
      </c>
      <c r="R35" s="665" t="s">
        <v>14</v>
      </c>
      <c r="S35" s="666">
        <f t="shared" si="12"/>
        <v>100</v>
      </c>
      <c r="T35" s="665" t="s">
        <v>14</v>
      </c>
      <c r="U35" s="666">
        <f t="shared" si="13"/>
        <v>100</v>
      </c>
      <c r="V35" s="665" t="s">
        <v>14</v>
      </c>
      <c r="W35" s="666">
        <f t="shared" si="14"/>
        <v>100</v>
      </c>
      <c r="X35" s="1262"/>
      <c r="Y35" s="3383"/>
      <c r="Z35" s="1261" t="str">
        <f t="shared" si="15"/>
        <v>建筑结构</v>
      </c>
      <c r="AA35" s="1261">
        <f t="shared" si="3"/>
        <v>1</v>
      </c>
      <c r="AB35" s="1261">
        <f t="shared" si="4"/>
        <v>1</v>
      </c>
      <c r="AC35" s="1809">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42"/>
      <c r="Q36" s="1260" t="str">
        <f t="shared" si="11"/>
        <v>公共部分装修</v>
      </c>
      <c r="R36" s="665" t="s">
        <v>14</v>
      </c>
      <c r="S36" s="666">
        <f t="shared" si="12"/>
        <v>100</v>
      </c>
      <c r="T36" s="665" t="s">
        <v>14</v>
      </c>
      <c r="U36" s="666">
        <f t="shared" si="13"/>
        <v>100</v>
      </c>
      <c r="V36" s="665" t="s">
        <v>14</v>
      </c>
      <c r="W36" s="666">
        <f t="shared" si="14"/>
        <v>100</v>
      </c>
      <c r="X36" s="1262"/>
      <c r="Y36" s="3383"/>
      <c r="Z36" s="1261" t="str">
        <f t="shared" si="15"/>
        <v>公共部分装修</v>
      </c>
      <c r="AA36" s="1261">
        <f t="shared" si="3"/>
        <v>1</v>
      </c>
      <c r="AB36" s="1261">
        <f t="shared" si="4"/>
        <v>1</v>
      </c>
      <c r="AC36" s="1809">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42"/>
      <c r="Q37" s="1260" t="str">
        <f t="shared" si="11"/>
        <v>成新度</v>
      </c>
      <c r="R37" s="665" t="s">
        <v>14</v>
      </c>
      <c r="S37" s="666" t="e">
        <f t="shared" si="12"/>
        <v>#N/A</v>
      </c>
      <c r="T37" s="665" t="s">
        <v>14</v>
      </c>
      <c r="U37" s="666" t="e">
        <f t="shared" si="13"/>
        <v>#N/A</v>
      </c>
      <c r="V37" s="665" t="s">
        <v>14</v>
      </c>
      <c r="W37" s="666" t="e">
        <f t="shared" si="14"/>
        <v>#N/A</v>
      </c>
      <c r="X37" s="1262"/>
      <c r="Y37" s="3383"/>
      <c r="Z37" s="1261" t="str">
        <f t="shared" si="15"/>
        <v>成新度</v>
      </c>
      <c r="AA37" s="1261" t="e">
        <f t="shared" si="3"/>
        <v>#N/A</v>
      </c>
      <c r="AB37" s="1261" t="e">
        <f t="shared" si="4"/>
        <v>#N/A</v>
      </c>
      <c r="AC37" s="1809" t="e">
        <f t="shared" si="5"/>
        <v>#N/A</v>
      </c>
    </row>
    <row r="38" spans="1:29" s="102"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42"/>
      <c r="Q38" s="528" t="str">
        <f t="shared" si="11"/>
        <v>写字楼等级</v>
      </c>
      <c r="R38" s="662" t="s">
        <v>14</v>
      </c>
      <c r="S38" s="663">
        <f t="shared" si="12"/>
        <v>100</v>
      </c>
      <c r="T38" s="662" t="s">
        <v>14</v>
      </c>
      <c r="U38" s="663">
        <f t="shared" si="13"/>
        <v>100</v>
      </c>
      <c r="V38" s="662" t="s">
        <v>14</v>
      </c>
      <c r="W38" s="663">
        <f t="shared" si="14"/>
        <v>100</v>
      </c>
      <c r="X38" s="664"/>
      <c r="Y38" s="3383"/>
      <c r="Z38" s="50" t="str">
        <f t="shared" si="15"/>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42" t="s">
        <v>1692</v>
      </c>
      <c r="Q39" s="1260" t="str">
        <f t="shared" si="11"/>
        <v>物业管理</v>
      </c>
      <c r="R39" s="665" t="s">
        <v>14</v>
      </c>
      <c r="S39" s="666">
        <f t="shared" si="12"/>
        <v>100</v>
      </c>
      <c r="T39" s="665" t="s">
        <v>14</v>
      </c>
      <c r="U39" s="666">
        <f t="shared" si="13"/>
        <v>100</v>
      </c>
      <c r="V39" s="665" t="s">
        <v>14</v>
      </c>
      <c r="W39" s="666">
        <f t="shared" si="14"/>
        <v>100</v>
      </c>
      <c r="X39" s="1262"/>
      <c r="Y39" s="3383" t="s">
        <v>1692</v>
      </c>
      <c r="Z39" s="1261" t="str">
        <f t="shared" si="15"/>
        <v>物业管理</v>
      </c>
      <c r="AA39" s="1261">
        <f t="shared" si="3"/>
        <v>1</v>
      </c>
      <c r="AB39" s="1261">
        <f t="shared" si="4"/>
        <v>1</v>
      </c>
      <c r="AC39" s="1809">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42"/>
      <c r="Q40" s="1260" t="str">
        <f t="shared" si="11"/>
        <v>市政基础设施</v>
      </c>
      <c r="R40" s="665" t="s">
        <v>14</v>
      </c>
      <c r="S40" s="666">
        <f t="shared" si="12"/>
        <v>100</v>
      </c>
      <c r="T40" s="665" t="s">
        <v>14</v>
      </c>
      <c r="U40" s="666">
        <f t="shared" si="13"/>
        <v>100</v>
      </c>
      <c r="V40" s="665" t="s">
        <v>14</v>
      </c>
      <c r="W40" s="666">
        <f t="shared" si="14"/>
        <v>100</v>
      </c>
      <c r="X40" s="1262"/>
      <c r="Y40" s="3383"/>
      <c r="Z40" s="1261" t="str">
        <f t="shared" si="15"/>
        <v>市政基础设施</v>
      </c>
      <c r="AA40" s="1261">
        <f t="shared" si="3"/>
        <v>1</v>
      </c>
      <c r="AB40" s="1261">
        <f t="shared" si="4"/>
        <v>1</v>
      </c>
      <c r="AC40" s="1809">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42"/>
      <c r="Q41" s="1260" t="str">
        <f t="shared" si="11"/>
        <v>层高</v>
      </c>
      <c r="R41" s="665" t="s">
        <v>14</v>
      </c>
      <c r="S41" s="666">
        <f t="shared" si="12"/>
        <v>100</v>
      </c>
      <c r="T41" s="665" t="s">
        <v>14</v>
      </c>
      <c r="U41" s="666">
        <f t="shared" si="13"/>
        <v>100</v>
      </c>
      <c r="V41" s="665" t="s">
        <v>14</v>
      </c>
      <c r="W41" s="666">
        <f t="shared" si="14"/>
        <v>100</v>
      </c>
      <c r="X41" s="1262"/>
      <c r="Y41" s="3383"/>
      <c r="Z41" s="1261" t="str">
        <f t="shared" si="15"/>
        <v>层高</v>
      </c>
      <c r="AA41" s="1261">
        <f t="shared" si="3"/>
        <v>1</v>
      </c>
      <c r="AB41" s="1261">
        <f t="shared" si="4"/>
        <v>1</v>
      </c>
      <c r="AC41" s="1809">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42"/>
      <c r="Q42" s="529" t="str">
        <f t="shared" si="11"/>
        <v>单套建筑面积</v>
      </c>
      <c r="R42" s="667" t="s">
        <v>14</v>
      </c>
      <c r="S42" s="668">
        <f t="shared" si="12"/>
        <v>100</v>
      </c>
      <c r="T42" s="667" t="s">
        <v>14</v>
      </c>
      <c r="U42" s="668">
        <f t="shared" si="13"/>
        <v>100</v>
      </c>
      <c r="V42" s="667" t="s">
        <v>14</v>
      </c>
      <c r="W42" s="668">
        <f t="shared" si="14"/>
        <v>100</v>
      </c>
      <c r="X42" s="669"/>
      <c r="Y42" s="3383"/>
      <c r="Z42" s="670" t="str">
        <f t="shared" si="15"/>
        <v>单套建筑面积</v>
      </c>
      <c r="AA42" s="1261">
        <f t="shared" si="3"/>
        <v>1</v>
      </c>
      <c r="AB42" s="1261">
        <f t="shared" si="4"/>
        <v>1</v>
      </c>
      <c r="AC42" s="1809">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42"/>
      <c r="Q43" s="1260" t="str">
        <f t="shared" si="11"/>
        <v>内部装修</v>
      </c>
      <c r="R43" s="665" t="s">
        <v>14</v>
      </c>
      <c r="S43" s="666">
        <f t="shared" si="12"/>
        <v>100</v>
      </c>
      <c r="T43" s="665" t="s">
        <v>14</v>
      </c>
      <c r="U43" s="666">
        <f t="shared" si="13"/>
        <v>100</v>
      </c>
      <c r="V43" s="665" t="s">
        <v>14</v>
      </c>
      <c r="W43" s="666">
        <f t="shared" si="14"/>
        <v>100</v>
      </c>
      <c r="X43" s="1262"/>
      <c r="Y43" s="3383"/>
      <c r="Z43" s="1261" t="str">
        <f t="shared" si="15"/>
        <v>内部装修</v>
      </c>
      <c r="AA43" s="1261">
        <f t="shared" si="3"/>
        <v>1</v>
      </c>
      <c r="AB43" s="1261">
        <f t="shared" si="4"/>
        <v>1</v>
      </c>
      <c r="AC43" s="1809">
        <f t="shared" si="5"/>
        <v>1</v>
      </c>
    </row>
    <row r="44" spans="1:29" ht="15">
      <c r="A44" s="407"/>
      <c r="B44" s="362" t="s">
        <v>1703</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42"/>
      <c r="Q44" s="1260" t="str">
        <f t="shared" si="11"/>
        <v>内部装修维护情况</v>
      </c>
      <c r="R44" s="665" t="s">
        <v>14</v>
      </c>
      <c r="S44" s="666">
        <f t="shared" si="12"/>
        <v>100</v>
      </c>
      <c r="T44" s="665" t="s">
        <v>14</v>
      </c>
      <c r="U44" s="666">
        <f t="shared" si="13"/>
        <v>100</v>
      </c>
      <c r="V44" s="665" t="s">
        <v>14</v>
      </c>
      <c r="W44" s="666">
        <f t="shared" si="14"/>
        <v>100</v>
      </c>
      <c r="X44" s="1262"/>
      <c r="Y44" s="3383"/>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42"/>
      <c r="Q45" s="528">
        <f t="shared" si="11"/>
        <v>111</v>
      </c>
      <c r="R45" s="662" t="s">
        <v>14</v>
      </c>
      <c r="S45" s="663">
        <f t="shared" si="12"/>
        <v>100</v>
      </c>
      <c r="T45" s="662" t="s">
        <v>14</v>
      </c>
      <c r="U45" s="663">
        <f t="shared" si="13"/>
        <v>100</v>
      </c>
      <c r="V45" s="662" t="s">
        <v>14</v>
      </c>
      <c r="W45" s="663">
        <f t="shared" si="14"/>
        <v>100</v>
      </c>
      <c r="X45" s="664"/>
      <c r="Y45" s="3383"/>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42"/>
      <c r="Q46" s="1260">
        <f t="shared" si="11"/>
        <v>111</v>
      </c>
      <c r="R46" s="665" t="s">
        <v>14</v>
      </c>
      <c r="S46" s="666">
        <f t="shared" si="12"/>
        <v>100</v>
      </c>
      <c r="T46" s="665" t="s">
        <v>14</v>
      </c>
      <c r="U46" s="666">
        <f t="shared" si="13"/>
        <v>100</v>
      </c>
      <c r="V46" s="665" t="s">
        <v>14</v>
      </c>
      <c r="W46" s="666">
        <f t="shared" si="14"/>
        <v>100</v>
      </c>
      <c r="X46" s="1262"/>
      <c r="Y46" s="3383"/>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43"/>
      <c r="Q47" s="1260">
        <f t="shared" si="11"/>
        <v>111</v>
      </c>
      <c r="R47" s="665" t="s">
        <v>14</v>
      </c>
      <c r="S47" s="666">
        <f t="shared" si="12"/>
        <v>100</v>
      </c>
      <c r="T47" s="665" t="s">
        <v>14</v>
      </c>
      <c r="U47" s="666">
        <f t="shared" si="13"/>
        <v>100</v>
      </c>
      <c r="V47" s="665" t="s">
        <v>14</v>
      </c>
      <c r="W47" s="666">
        <f t="shared" si="14"/>
        <v>100</v>
      </c>
      <c r="X47" s="1262"/>
      <c r="Y47" s="3444"/>
      <c r="Z47" s="1261">
        <f t="shared" si="15"/>
        <v>111</v>
      </c>
      <c r="AA47" s="1261">
        <f t="shared" si="3"/>
        <v>1</v>
      </c>
      <c r="AB47" s="1261">
        <f t="shared" si="4"/>
        <v>1</v>
      </c>
      <c r="AC47" s="1809">
        <f t="shared" si="5"/>
        <v>1</v>
      </c>
    </row>
    <row r="48" spans="1:29" ht="15">
      <c r="A48" s="414" t="s">
        <v>1704</v>
      </c>
      <c r="B48" s="415"/>
      <c r="C48" s="1079" t="s">
        <v>0</v>
      </c>
      <c r="D48" s="416"/>
      <c r="E48" s="417"/>
      <c r="F48" s="418"/>
      <c r="G48" s="419"/>
      <c r="H48" s="420"/>
      <c r="I48" s="417"/>
      <c r="J48" s="420"/>
      <c r="K48" s="672"/>
      <c r="L48" s="2492"/>
      <c r="M48" s="2485"/>
      <c r="N48" s="2485"/>
      <c r="O48" s="2485"/>
      <c r="P48" s="3378" t="str">
        <f>A48</f>
        <v>成交单价（元/平方米）</v>
      </c>
      <c r="Q48" s="3379"/>
      <c r="R48" s="3384">
        <f>E48</f>
        <v>0</v>
      </c>
      <c r="S48" s="3384"/>
      <c r="T48" s="3384">
        <f>G48</f>
        <v>0</v>
      </c>
      <c r="U48" s="3384"/>
      <c r="V48" s="3384">
        <f>I48</f>
        <v>0</v>
      </c>
      <c r="W48" s="3384"/>
      <c r="X48" s="383"/>
      <c r="Y48" s="671"/>
      <c r="Z48" s="383"/>
      <c r="AA48" s="383"/>
      <c r="AB48" s="383"/>
      <c r="AC48" s="553"/>
    </row>
    <row r="49" spans="1:29" ht="15.75" thickBot="1">
      <c r="A49" s="421" t="s">
        <v>1789</v>
      </c>
      <c r="B49" s="422"/>
      <c r="C49" s="1080" t="e">
        <f>R50</f>
        <v>#DIV/0!</v>
      </c>
      <c r="D49" s="2138" t="s">
        <v>2133</v>
      </c>
      <c r="E49" s="1081" t="e">
        <f>R49</f>
        <v>#DIV/0!</v>
      </c>
      <c r="F49" s="2139"/>
      <c r="G49" s="1080" t="e">
        <f>T49</f>
        <v>#DIV/0!</v>
      </c>
      <c r="H49" s="2139"/>
      <c r="I49" s="1081" t="e">
        <f>V49</f>
        <v>#DIV/0!</v>
      </c>
      <c r="J49" s="2139"/>
      <c r="K49" s="2141">
        <f>F49+H49+J49</f>
        <v>0</v>
      </c>
      <c r="L49" s="2492"/>
      <c r="M49" s="2485"/>
      <c r="N49" s="2485"/>
      <c r="O49" s="2485"/>
      <c r="P49" s="3378" t="str">
        <f>A49</f>
        <v>比较价值（元/平方米）</v>
      </c>
      <c r="Q49" s="3379"/>
      <c r="R49" s="3384" t="e">
        <f>IF(F1="售价",ROUND(PRODUCT(R48,AA7:AA47),0),ROUND(PRODUCT(R48,AA7:AA47),1))</f>
        <v>#DIV/0!</v>
      </c>
      <c r="S49" s="3384"/>
      <c r="T49" s="3384" t="e">
        <f>IF(F1="售价",ROUND(PRODUCT(T48,AB7:AB47),0),ROUND(PRODUCT(T48,AB7:AB47),1))</f>
        <v>#DIV/0!</v>
      </c>
      <c r="U49" s="3384"/>
      <c r="V49" s="3384" t="e">
        <f>IF(F1="售价",ROUND(PRODUCT(V48,AC7:AC47),0),ROUND(PRODUCT(V48,AC7:AC47),1))</f>
        <v>#DIV/0!</v>
      </c>
      <c r="W49" s="3384"/>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92"/>
      <c r="M50" s="2485"/>
      <c r="N50" s="2485"/>
      <c r="O50" s="2485"/>
      <c r="P50" s="3447" t="str">
        <f>A50</f>
        <v>估价对象XX用房的比较价值（楼面单价，元/平方米）</v>
      </c>
      <c r="Q50" s="3448"/>
      <c r="R50" s="3449" t="e">
        <f>IF(F1="售价",ROUND(IF(D49="简单平均",AVERAGE(R49:V49),R49*F49+T49*H49+V49*J49),0),ROUND(IF(D49="简单平均",AVERAGE(R49:V49),R49*F49+T49*H49+V49*J49),1))</f>
        <v>#DIV/0!</v>
      </c>
      <c r="S50" s="3449"/>
      <c r="T50" s="3449"/>
      <c r="U50" s="3449"/>
      <c r="V50" s="3449"/>
      <c r="W50" s="3449"/>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1794</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5">
      <c r="A59" s="438" t="s">
        <v>1675</v>
      </c>
      <c r="B59" s="439"/>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5"/>
      <c r="Q59" s="2508"/>
      <c r="R59" s="2508"/>
      <c r="S59" s="2508"/>
      <c r="T59" s="2508"/>
      <c r="U59" s="2508"/>
      <c r="V59" s="2508"/>
      <c r="W59" s="2508"/>
      <c r="X59" s="2508"/>
      <c r="Y59" s="2508"/>
      <c r="Z59" s="2508"/>
      <c r="AA59" s="2508"/>
      <c r="AB59" s="2508"/>
      <c r="AC59" s="2508"/>
    </row>
    <row r="60" spans="1:29" s="102"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75" thickBot="1">
      <c r="A61" s="447" t="s">
        <v>1712</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5">
      <c r="A62" s="453" t="s">
        <v>1677</v>
      </c>
      <c r="B62" s="442"/>
      <c r="C62" s="454" t="s">
        <v>1772</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1715</v>
      </c>
      <c r="B64" s="458" t="s">
        <v>1681</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1684</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1685</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1686</v>
      </c>
      <c r="B77" s="458" t="s">
        <v>1817</v>
      </c>
      <c r="C77" s="502" t="s">
        <v>1717</v>
      </c>
      <c r="D77" s="502" t="s">
        <v>1718</v>
      </c>
      <c r="E77" s="502" t="s">
        <v>1719</v>
      </c>
      <c r="F77" s="502" t="s">
        <v>1720</v>
      </c>
      <c r="G77" s="502" t="s">
        <v>1721</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1722</v>
      </c>
      <c r="C79" s="507" t="s">
        <v>1717</v>
      </c>
      <c r="D79" s="507" t="s">
        <v>1718</v>
      </c>
      <c r="E79" s="507" t="s">
        <v>1719</v>
      </c>
      <c r="F79" s="507" t="s">
        <v>1720</v>
      </c>
      <c r="G79" s="507" t="s">
        <v>1721</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1723</v>
      </c>
      <c r="C81" s="507" t="s">
        <v>1717</v>
      </c>
      <c r="D81" s="507" t="s">
        <v>1718</v>
      </c>
      <c r="E81" s="507" t="s">
        <v>1719</v>
      </c>
      <c r="F81" s="507" t="s">
        <v>1720</v>
      </c>
      <c r="G81" s="507" t="s">
        <v>1721</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1809</v>
      </c>
      <c r="C83" s="579" t="s">
        <v>1795</v>
      </c>
      <c r="D83" s="579" t="s">
        <v>1796</v>
      </c>
      <c r="E83" s="579" t="s">
        <v>1797</v>
      </c>
      <c r="F83" s="579" t="s">
        <v>1798</v>
      </c>
      <c r="G83" s="579" t="s">
        <v>1799</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1818</v>
      </c>
      <c r="C85" s="507" t="s">
        <v>1717</v>
      </c>
      <c r="D85" s="507" t="s">
        <v>1718</v>
      </c>
      <c r="E85" s="507" t="s">
        <v>1719</v>
      </c>
      <c r="F85" s="507" t="s">
        <v>1720</v>
      </c>
      <c r="G85" s="507" t="s">
        <v>1721</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7.75" thickTop="1">
      <c r="A87" s="368"/>
      <c r="B87" s="467" t="s">
        <v>1819</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1690</v>
      </c>
      <c r="B101" s="458" t="s">
        <v>1732</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1733</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1734</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1736</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1820</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1737</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1738</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1821</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1804</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1740</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1741</v>
      </c>
      <c r="C125" s="507" t="s">
        <v>1717</v>
      </c>
      <c r="D125" s="507" t="s">
        <v>1718</v>
      </c>
      <c r="E125" s="507" t="s">
        <v>1719</v>
      </c>
      <c r="F125" s="507" t="s">
        <v>1720</v>
      </c>
      <c r="G125" s="507" t="s">
        <v>1721</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1656</v>
      </c>
      <c r="B1" s="1805" t="s">
        <v>1822</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1460</v>
      </c>
      <c r="B3" s="534">
        <f>IF(C2="——",C43,ROUND(B2*10000/D3,0))</f>
        <v>0</v>
      </c>
      <c r="C3" s="342" t="s">
        <v>1764</v>
      </c>
      <c r="D3" s="341">
        <f>IF(D1="",'数据-汇总表'!E3,SUMIF('数据-汇总表'!$C19:$C33,D1,'数据-汇总表'!$E19:$E33))</f>
        <v>68049.77999999997</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376" t="s">
        <v>1766</v>
      </c>
      <c r="D4" s="3388"/>
      <c r="E4" s="3389" t="s">
        <v>1767</v>
      </c>
      <c r="F4" s="3390"/>
      <c r="G4" s="3376" t="s">
        <v>1768</v>
      </c>
      <c r="H4" s="3388"/>
      <c r="I4" s="3376" t="s">
        <v>1769</v>
      </c>
      <c r="J4" s="3388"/>
      <c r="K4" s="535" t="s">
        <v>1770</v>
      </c>
      <c r="L4" s="858"/>
      <c r="M4" s="859"/>
      <c r="N4" s="859"/>
      <c r="O4" s="859"/>
      <c r="P4" s="3391" t="s">
        <v>1771</v>
      </c>
      <c r="Q4" s="3392"/>
      <c r="R4" s="3397" t="s">
        <v>1767</v>
      </c>
      <c r="S4" s="3398"/>
      <c r="T4" s="3397" t="s">
        <v>1768</v>
      </c>
      <c r="U4" s="3398"/>
      <c r="V4" s="3384" t="s">
        <v>1769</v>
      </c>
      <c r="W4" s="3384"/>
      <c r="X4" s="1262"/>
      <c r="Y4" s="3397" t="s">
        <v>1771</v>
      </c>
      <c r="Z4" s="3398"/>
      <c r="AA4" s="3385" t="s">
        <v>1767</v>
      </c>
      <c r="AB4" s="3386" t="s">
        <v>1768</v>
      </c>
      <c r="AC4" s="3385" t="s">
        <v>1769</v>
      </c>
    </row>
    <row r="5" spans="1:29" ht="15">
      <c r="A5" s="346"/>
      <c r="B5" s="347"/>
      <c r="C5" s="3405" t="s">
        <v>1669</v>
      </c>
      <c r="D5" s="3406"/>
      <c r="E5" s="3412" t="s">
        <v>1670</v>
      </c>
      <c r="F5" s="3413"/>
      <c r="G5" s="3405" t="s">
        <v>1671</v>
      </c>
      <c r="H5" s="3406"/>
      <c r="I5" s="3405" t="s">
        <v>1672</v>
      </c>
      <c r="J5" s="3406"/>
      <c r="K5" s="535"/>
      <c r="L5" s="858"/>
      <c r="M5" s="859"/>
      <c r="N5" s="859"/>
      <c r="O5" s="859"/>
      <c r="P5" s="3393"/>
      <c r="Q5" s="3394"/>
      <c r="R5" s="3399"/>
      <c r="S5" s="3400"/>
      <c r="T5" s="3399"/>
      <c r="U5" s="3400"/>
      <c r="V5" s="3384"/>
      <c r="W5" s="3384"/>
      <c r="X5" s="1262"/>
      <c r="Y5" s="3399"/>
      <c r="Z5" s="3400"/>
      <c r="AA5" s="3386"/>
      <c r="AB5" s="3386"/>
      <c r="AC5" s="3386"/>
    </row>
    <row r="6" spans="1:29" ht="15.75" thickBot="1">
      <c r="A6" s="348"/>
      <c r="B6" s="349"/>
      <c r="C6" s="3403" t="s">
        <v>1673</v>
      </c>
      <c r="D6" s="3404"/>
      <c r="E6" s="3410" t="s">
        <v>1673</v>
      </c>
      <c r="F6" s="3411"/>
      <c r="G6" s="3403" t="s">
        <v>1673</v>
      </c>
      <c r="H6" s="3404"/>
      <c r="I6" s="3403" t="s">
        <v>1673</v>
      </c>
      <c r="J6" s="3404"/>
      <c r="K6" s="535" t="s">
        <v>1674</v>
      </c>
      <c r="L6" s="858"/>
      <c r="M6" s="859"/>
      <c r="N6" s="859"/>
      <c r="O6" s="859"/>
      <c r="P6" s="3395"/>
      <c r="Q6" s="3396"/>
      <c r="R6" s="3399"/>
      <c r="S6" s="3400"/>
      <c r="T6" s="3401"/>
      <c r="U6" s="3402"/>
      <c r="V6" s="3384"/>
      <c r="W6" s="3384"/>
      <c r="X6" s="1262"/>
      <c r="Y6" s="3401"/>
      <c r="Z6" s="3402"/>
      <c r="AA6" s="3387"/>
      <c r="AB6" s="3387"/>
      <c r="AC6" s="3387"/>
    </row>
    <row r="7" spans="1:29" s="102" customFormat="1" ht="15.75" thickBot="1">
      <c r="A7" s="350" t="s">
        <v>1675</v>
      </c>
      <c r="B7" s="351"/>
      <c r="C7" s="352">
        <f>'数据-取费表'!B2</f>
        <v>45604</v>
      </c>
      <c r="D7" s="353">
        <v>100</v>
      </c>
      <c r="E7" s="354"/>
      <c r="F7" s="355">
        <f>SUMIF(52:52,YEAR(E7)&amp;"-"&amp;MONTH(E7),53:53)</f>
        <v>0</v>
      </c>
      <c r="G7" s="354"/>
      <c r="H7" s="353">
        <f>SUMIF(52:52,YEAR(G7)&amp;"-"&amp;MONTH(G7),53:53)</f>
        <v>0</v>
      </c>
      <c r="I7" s="354"/>
      <c r="J7" s="353">
        <f>SUMIF(52:52,YEAR(I7)&amp;"-"&amp;MONTH(I7),53:53)</f>
        <v>0</v>
      </c>
      <c r="K7" s="38"/>
      <c r="L7" s="860"/>
      <c r="M7" s="861"/>
      <c r="N7" s="861"/>
      <c r="O7" s="861"/>
      <c r="P7" s="3407" t="s">
        <v>1676</v>
      </c>
      <c r="Q7" s="3409"/>
      <c r="R7" s="662" t="s">
        <v>14</v>
      </c>
      <c r="S7" s="663">
        <f t="shared" ref="S7:S15" si="0">F7</f>
        <v>0</v>
      </c>
      <c r="T7" s="662" t="s">
        <v>14</v>
      </c>
      <c r="U7" s="663">
        <f t="shared" ref="U7:U15" si="1">H7</f>
        <v>0</v>
      </c>
      <c r="V7" s="662" t="s">
        <v>14</v>
      </c>
      <c r="W7" s="663">
        <f t="shared" ref="W7:W15" si="2">J7</f>
        <v>0</v>
      </c>
      <c r="X7" s="664"/>
      <c r="Y7" s="3407" t="s">
        <v>1676</v>
      </c>
      <c r="Z7" s="3408"/>
      <c r="AA7" s="50" t="e">
        <f>D7/F7</f>
        <v>#DIV/0!</v>
      </c>
      <c r="AB7" s="50" t="e">
        <f>D7/H7</f>
        <v>#DIV/0!</v>
      </c>
      <c r="AC7" s="50" t="e">
        <f>D7/J7</f>
        <v>#DIV/0!</v>
      </c>
    </row>
    <row r="8" spans="1:29" s="102" customFormat="1" ht="15.75" thickBot="1">
      <c r="A8" s="350" t="s">
        <v>1677</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07" t="s">
        <v>1679</v>
      </c>
      <c r="Q8" s="3408"/>
      <c r="R8" s="662" t="s">
        <v>14</v>
      </c>
      <c r="S8" s="663">
        <f t="shared" si="0"/>
        <v>100</v>
      </c>
      <c r="T8" s="662" t="s">
        <v>14</v>
      </c>
      <c r="U8" s="663">
        <f t="shared" si="1"/>
        <v>100</v>
      </c>
      <c r="V8" s="662" t="s">
        <v>14</v>
      </c>
      <c r="W8" s="663">
        <f t="shared" si="2"/>
        <v>100</v>
      </c>
      <c r="X8" s="664"/>
      <c r="Y8" s="3407" t="s">
        <v>1679</v>
      </c>
      <c r="Z8" s="3408"/>
      <c r="AA8" s="50">
        <f t="shared" ref="AA8:AA40" si="3">D8/F8</f>
        <v>1</v>
      </c>
      <c r="AB8" s="50">
        <f t="shared" ref="AB8:AB40" si="4">D8/H8</f>
        <v>1</v>
      </c>
      <c r="AC8" s="50">
        <f t="shared" ref="AC8:AC40" si="5">D8/J8</f>
        <v>1</v>
      </c>
    </row>
    <row r="9" spans="1:29" s="102" customFormat="1">
      <c r="A9" s="357" t="s">
        <v>1680</v>
      </c>
      <c r="B9" s="60" t="s">
        <v>1681</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79" t="s">
        <v>1682</v>
      </c>
      <c r="Q9" s="528" t="str">
        <f t="shared" ref="Q9:Q15" si="6">B9</f>
        <v>用途</v>
      </c>
      <c r="R9" s="662" t="s">
        <v>14</v>
      </c>
      <c r="S9" s="663">
        <f t="shared" si="0"/>
        <v>100</v>
      </c>
      <c r="T9" s="662" t="s">
        <v>14</v>
      </c>
      <c r="U9" s="663">
        <f t="shared" si="1"/>
        <v>100</v>
      </c>
      <c r="V9" s="662" t="s">
        <v>14</v>
      </c>
      <c r="W9" s="663">
        <f t="shared" si="2"/>
        <v>100</v>
      </c>
      <c r="X9" s="664"/>
      <c r="Y9" s="3276" t="s">
        <v>1683</v>
      </c>
      <c r="Z9" s="50" t="str">
        <f t="shared" ref="Z9:Z15" si="7">Q9</f>
        <v>用途</v>
      </c>
      <c r="AA9" s="50">
        <f t="shared" si="3"/>
        <v>1</v>
      </c>
      <c r="AB9" s="50">
        <f t="shared" si="4"/>
        <v>1</v>
      </c>
      <c r="AC9" s="50">
        <f t="shared" si="5"/>
        <v>1</v>
      </c>
    </row>
    <row r="10" spans="1:29" s="364" customFormat="1" ht="27">
      <c r="A10" s="361"/>
      <c r="B10" s="362" t="s">
        <v>1684</v>
      </c>
      <c r="C10" s="3130"/>
      <c r="D10" s="117">
        <v>100</v>
      </c>
      <c r="E10" s="3130"/>
      <c r="F10" s="117">
        <f>SUMIF(59:59,E10,60:60)-SUMIF(59:59,C10,60:60)+100</f>
        <v>100</v>
      </c>
      <c r="G10" s="3131"/>
      <c r="H10" s="117">
        <f>SUMIF(59:59,G10,60:60)-SUMIF(59:59,C10,60:60)+100</f>
        <v>100</v>
      </c>
      <c r="I10" s="3130"/>
      <c r="J10" s="117">
        <f>SUMIF(59:59,I10,60:60)-SUMIF(59:59,C10,60:60)+100</f>
        <v>100</v>
      </c>
      <c r="K10" s="38"/>
      <c r="L10" s="863"/>
      <c r="M10" s="864"/>
      <c r="N10" s="864"/>
      <c r="O10" s="865"/>
      <c r="P10" s="3379"/>
      <c r="Q10" s="528" t="str">
        <f t="shared" si="6"/>
        <v>土地使用年限（年）</v>
      </c>
      <c r="R10" s="662" t="s">
        <v>14</v>
      </c>
      <c r="S10" s="663">
        <f t="shared" si="0"/>
        <v>100</v>
      </c>
      <c r="T10" s="662" t="s">
        <v>14</v>
      </c>
      <c r="U10" s="663">
        <f t="shared" si="1"/>
        <v>100</v>
      </c>
      <c r="V10" s="662" t="s">
        <v>14</v>
      </c>
      <c r="W10" s="663">
        <f t="shared" si="2"/>
        <v>100</v>
      </c>
      <c r="X10" s="664"/>
      <c r="Y10" s="3276"/>
      <c r="Z10" s="50" t="str">
        <f t="shared" si="7"/>
        <v>土地使用年限（年）</v>
      </c>
      <c r="AA10" s="50">
        <f t="shared" si="3"/>
        <v>1</v>
      </c>
      <c r="AB10" s="50">
        <f t="shared" si="4"/>
        <v>1</v>
      </c>
      <c r="AC10" s="50">
        <f t="shared" si="5"/>
        <v>1</v>
      </c>
    </row>
    <row r="11" spans="1:29" ht="15">
      <c r="A11" s="365"/>
      <c r="B11" s="362" t="s">
        <v>1685</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379"/>
      <c r="Q11" s="528" t="str">
        <f t="shared" si="6"/>
        <v>容积率</v>
      </c>
      <c r="R11" s="662" t="s">
        <v>14</v>
      </c>
      <c r="S11" s="663">
        <f t="shared" si="0"/>
        <v>100</v>
      </c>
      <c r="T11" s="662" t="s">
        <v>14</v>
      </c>
      <c r="U11" s="663">
        <f t="shared" si="1"/>
        <v>100</v>
      </c>
      <c r="V11" s="662" t="s">
        <v>14</v>
      </c>
      <c r="W11" s="663">
        <f t="shared" si="2"/>
        <v>100</v>
      </c>
      <c r="X11" s="664"/>
      <c r="Y11" s="3276"/>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379"/>
      <c r="Q12" s="528">
        <f t="shared" si="6"/>
        <v>111</v>
      </c>
      <c r="R12" s="662" t="s">
        <v>14</v>
      </c>
      <c r="S12" s="663">
        <f t="shared" si="0"/>
        <v>100</v>
      </c>
      <c r="T12" s="662" t="s">
        <v>14</v>
      </c>
      <c r="U12" s="663">
        <f t="shared" si="1"/>
        <v>100</v>
      </c>
      <c r="V12" s="662" t="s">
        <v>14</v>
      </c>
      <c r="W12" s="663">
        <f t="shared" si="2"/>
        <v>100</v>
      </c>
      <c r="X12" s="664"/>
      <c r="Y12" s="3276"/>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379"/>
      <c r="Q13" s="528">
        <f t="shared" si="6"/>
        <v>111</v>
      </c>
      <c r="R13" s="662" t="s">
        <v>14</v>
      </c>
      <c r="S13" s="663">
        <f t="shared" si="0"/>
        <v>100</v>
      </c>
      <c r="T13" s="662" t="s">
        <v>14</v>
      </c>
      <c r="U13" s="663">
        <f t="shared" si="1"/>
        <v>100</v>
      </c>
      <c r="V13" s="662" t="s">
        <v>14</v>
      </c>
      <c r="W13" s="663">
        <f t="shared" si="2"/>
        <v>100</v>
      </c>
      <c r="X13" s="664"/>
      <c r="Y13" s="3276"/>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379"/>
      <c r="Q14" s="528">
        <f t="shared" si="6"/>
        <v>111</v>
      </c>
      <c r="R14" s="662" t="s">
        <v>14</v>
      </c>
      <c r="S14" s="663">
        <f t="shared" si="0"/>
        <v>100</v>
      </c>
      <c r="T14" s="662" t="s">
        <v>14</v>
      </c>
      <c r="U14" s="663">
        <f t="shared" si="1"/>
        <v>100</v>
      </c>
      <c r="V14" s="662" t="s">
        <v>14</v>
      </c>
      <c r="W14" s="663">
        <f t="shared" si="2"/>
        <v>100</v>
      </c>
      <c r="X14" s="664"/>
      <c r="Y14" s="3276"/>
      <c r="Z14" s="50">
        <f t="shared" si="7"/>
        <v>111</v>
      </c>
      <c r="AA14" s="50">
        <f t="shared" si="3"/>
        <v>1</v>
      </c>
      <c r="AB14" s="50">
        <f t="shared" si="4"/>
        <v>1</v>
      </c>
      <c r="AC14" s="50">
        <f t="shared" si="5"/>
        <v>1</v>
      </c>
    </row>
    <row r="15" spans="1:29" ht="57">
      <c r="A15" s="377" t="s">
        <v>1686</v>
      </c>
      <c r="B15" s="58" t="s">
        <v>1823</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80" t="s">
        <v>1687</v>
      </c>
      <c r="Q15" s="1260" t="str">
        <f t="shared" si="6"/>
        <v>产业集聚程度</v>
      </c>
      <c r="R15" s="665" t="s">
        <v>14</v>
      </c>
      <c r="S15" s="666">
        <f t="shared" si="0"/>
        <v>100</v>
      </c>
      <c r="T15" s="665" t="s">
        <v>14</v>
      </c>
      <c r="U15" s="666">
        <f t="shared" si="1"/>
        <v>100</v>
      </c>
      <c r="V15" s="665" t="s">
        <v>14</v>
      </c>
      <c r="W15" s="666">
        <f t="shared" si="2"/>
        <v>100</v>
      </c>
      <c r="X15" s="1262"/>
      <c r="Y15" s="3380" t="s">
        <v>1687</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381"/>
      <c r="Q16" s="1260"/>
      <c r="R16" s="665"/>
      <c r="S16" s="666"/>
      <c r="T16" s="665"/>
      <c r="U16" s="666"/>
      <c r="V16" s="665"/>
      <c r="W16" s="666"/>
      <c r="X16" s="1262"/>
      <c r="Y16" s="3381"/>
      <c r="Z16" s="1261"/>
      <c r="AA16" s="1261">
        <v>1</v>
      </c>
      <c r="AB16" s="1261">
        <v>1</v>
      </c>
      <c r="AC16" s="1261">
        <v>1</v>
      </c>
    </row>
    <row r="17" spans="1:29" ht="85.5">
      <c r="A17" s="365"/>
      <c r="B17" s="388" t="s">
        <v>1258</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381"/>
      <c r="Q17" s="1260" t="str">
        <f>B17</f>
        <v>交通便捷度</v>
      </c>
      <c r="R17" s="665" t="s">
        <v>14</v>
      </c>
      <c r="S17" s="666">
        <f>F17</f>
        <v>100</v>
      </c>
      <c r="T17" s="665" t="s">
        <v>14</v>
      </c>
      <c r="U17" s="666">
        <f>H17</f>
        <v>100</v>
      </c>
      <c r="V17" s="665" t="s">
        <v>14</v>
      </c>
      <c r="W17" s="666">
        <f>J17</f>
        <v>100</v>
      </c>
      <c r="X17" s="1262"/>
      <c r="Y17" s="3381"/>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381"/>
      <c r="Q18" s="1260"/>
      <c r="R18" s="665"/>
      <c r="S18" s="666"/>
      <c r="T18" s="665"/>
      <c r="U18" s="666"/>
      <c r="V18" s="665"/>
      <c r="W18" s="666"/>
      <c r="X18" s="1262"/>
      <c r="Y18" s="3381"/>
      <c r="Z18" s="1261"/>
      <c r="AA18" s="1261">
        <v>1</v>
      </c>
      <c r="AB18" s="1261">
        <v>1</v>
      </c>
      <c r="AC18" s="1261">
        <v>1</v>
      </c>
    </row>
    <row r="19" spans="1:29" ht="42.75">
      <c r="A19" s="365"/>
      <c r="B19" s="388" t="s">
        <v>1808</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381"/>
      <c r="Q19" s="1260" t="str">
        <f>B19</f>
        <v>公共配套设施</v>
      </c>
      <c r="R19" s="665" t="s">
        <v>14</v>
      </c>
      <c r="S19" s="666">
        <f>F19</f>
        <v>100</v>
      </c>
      <c r="T19" s="665" t="s">
        <v>14</v>
      </c>
      <c r="U19" s="666">
        <f>H19</f>
        <v>100</v>
      </c>
      <c r="V19" s="665" t="s">
        <v>14</v>
      </c>
      <c r="W19" s="666">
        <f>J19</f>
        <v>100</v>
      </c>
      <c r="X19" s="1262"/>
      <c r="Y19" s="3381"/>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381"/>
      <c r="Q20" s="1260"/>
      <c r="R20" s="665"/>
      <c r="S20" s="666"/>
      <c r="T20" s="665"/>
      <c r="U20" s="666"/>
      <c r="V20" s="665"/>
      <c r="W20" s="666"/>
      <c r="X20" s="1262"/>
      <c r="Y20" s="3381"/>
      <c r="Z20" s="1261"/>
      <c r="AA20" s="1261">
        <v>1</v>
      </c>
      <c r="AB20" s="1261">
        <v>1</v>
      </c>
      <c r="AC20" s="1261">
        <v>1</v>
      </c>
    </row>
    <row r="21" spans="1:29" ht="28.5">
      <c r="A21" s="365"/>
      <c r="B21" s="584" t="s">
        <v>1809</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381"/>
      <c r="Q21" s="1260" t="str">
        <f>B21</f>
        <v>基础设施水平</v>
      </c>
      <c r="R21" s="665" t="s">
        <v>14</v>
      </c>
      <c r="S21" s="666">
        <f>F21</f>
        <v>100</v>
      </c>
      <c r="T21" s="665" t="s">
        <v>14</v>
      </c>
      <c r="U21" s="666">
        <f>H21</f>
        <v>100</v>
      </c>
      <c r="V21" s="665" t="s">
        <v>14</v>
      </c>
      <c r="W21" s="666">
        <f>J21</f>
        <v>100</v>
      </c>
      <c r="X21" s="1262"/>
      <c r="Y21" s="338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381"/>
      <c r="Q22" s="1260"/>
      <c r="R22" s="665"/>
      <c r="S22" s="666"/>
      <c r="T22" s="665"/>
      <c r="U22" s="666"/>
      <c r="V22" s="665"/>
      <c r="W22" s="666"/>
      <c r="X22" s="1262"/>
      <c r="Y22" s="3381"/>
      <c r="Z22" s="1261"/>
      <c r="AA22" s="1261">
        <v>1</v>
      </c>
      <c r="AB22" s="1261">
        <v>1</v>
      </c>
      <c r="AC22" s="1261">
        <v>1</v>
      </c>
    </row>
    <row r="23" spans="1:29" ht="71.25">
      <c r="A23" s="365"/>
      <c r="B23" s="388" t="s">
        <v>1810</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381"/>
      <c r="Q23" s="1260" t="str">
        <f>B23</f>
        <v>环境质量</v>
      </c>
      <c r="R23" s="665" t="s">
        <v>14</v>
      </c>
      <c r="S23" s="666">
        <f>F23</f>
        <v>100</v>
      </c>
      <c r="T23" s="665" t="s">
        <v>14</v>
      </c>
      <c r="U23" s="666">
        <f>H23</f>
        <v>100</v>
      </c>
      <c r="V23" s="665" t="s">
        <v>14</v>
      </c>
      <c r="W23" s="666">
        <f>J23</f>
        <v>100</v>
      </c>
      <c r="X23" s="1262"/>
      <c r="Y23" s="3381"/>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381"/>
      <c r="Q24" s="1260"/>
      <c r="R24" s="665"/>
      <c r="S24" s="666"/>
      <c r="T24" s="665"/>
      <c r="U24" s="666"/>
      <c r="V24" s="665"/>
      <c r="W24" s="666"/>
      <c r="X24" s="1262"/>
      <c r="Y24" s="3381"/>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381"/>
      <c r="Q25" s="1260">
        <f>B25</f>
        <v>111</v>
      </c>
      <c r="R25" s="665" t="s">
        <v>14</v>
      </c>
      <c r="S25" s="666">
        <f>F25</f>
        <v>100</v>
      </c>
      <c r="T25" s="665" t="s">
        <v>14</v>
      </c>
      <c r="U25" s="666">
        <f>H25</f>
        <v>100</v>
      </c>
      <c r="V25" s="665" t="s">
        <v>14</v>
      </c>
      <c r="W25" s="666">
        <f>J25</f>
        <v>100</v>
      </c>
      <c r="X25" s="1262"/>
      <c r="Y25" s="3381"/>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381"/>
      <c r="Q26" s="1260">
        <f t="shared" ref="Q26:Q40" si="11">B26</f>
        <v>111</v>
      </c>
      <c r="R26" s="665" t="s">
        <v>14</v>
      </c>
      <c r="S26" s="666">
        <f>F26</f>
        <v>100</v>
      </c>
      <c r="T26" s="665" t="s">
        <v>14</v>
      </c>
      <c r="U26" s="666">
        <f>H26</f>
        <v>100</v>
      </c>
      <c r="V26" s="665" t="s">
        <v>14</v>
      </c>
      <c r="W26" s="666">
        <f>J26</f>
        <v>100</v>
      </c>
      <c r="X26" s="1262"/>
      <c r="Y26" s="3381"/>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381"/>
      <c r="Q27" s="528">
        <f t="shared" si="11"/>
        <v>111</v>
      </c>
      <c r="R27" s="662" t="s">
        <v>14</v>
      </c>
      <c r="S27" s="663">
        <f>F27</f>
        <v>100</v>
      </c>
      <c r="T27" s="662" t="s">
        <v>14</v>
      </c>
      <c r="U27" s="663">
        <f>H27</f>
        <v>100</v>
      </c>
      <c r="V27" s="662" t="s">
        <v>14</v>
      </c>
      <c r="W27" s="663">
        <f>J27</f>
        <v>100</v>
      </c>
      <c r="X27" s="664"/>
      <c r="Y27" s="3381"/>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381"/>
      <c r="Q28" s="1260">
        <f t="shared" si="11"/>
        <v>111</v>
      </c>
      <c r="R28" s="665" t="s">
        <v>14</v>
      </c>
      <c r="S28" s="666">
        <f t="shared" ref="S28:S40" si="12">F28</f>
        <v>100</v>
      </c>
      <c r="T28" s="665" t="s">
        <v>14</v>
      </c>
      <c r="U28" s="666">
        <f t="shared" ref="U28:U40" si="13">H28</f>
        <v>100</v>
      </c>
      <c r="V28" s="665" t="s">
        <v>14</v>
      </c>
      <c r="W28" s="666">
        <f t="shared" ref="W28:W40" si="14">J28</f>
        <v>100</v>
      </c>
      <c r="X28" s="1262"/>
      <c r="Y28" s="3381"/>
      <c r="Z28" s="1261">
        <f t="shared" ref="Z28:Z40" si="15">Q28</f>
        <v>111</v>
      </c>
      <c r="AA28" s="1261">
        <f t="shared" si="3"/>
        <v>1</v>
      </c>
      <c r="AB28" s="1261">
        <f t="shared" si="4"/>
        <v>1</v>
      </c>
      <c r="AC28" s="1261">
        <f t="shared" si="5"/>
        <v>1</v>
      </c>
    </row>
    <row r="29" spans="1:29" ht="28.5">
      <c r="A29" s="402" t="s">
        <v>1690</v>
      </c>
      <c r="B29" s="60" t="s">
        <v>1813</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382" t="s">
        <v>1692</v>
      </c>
      <c r="Q29" s="1260" t="str">
        <f t="shared" si="11"/>
        <v>建筑类型</v>
      </c>
      <c r="R29" s="665" t="s">
        <v>14</v>
      </c>
      <c r="S29" s="666">
        <f t="shared" si="12"/>
        <v>100</v>
      </c>
      <c r="T29" s="665" t="s">
        <v>14</v>
      </c>
      <c r="U29" s="666">
        <f t="shared" si="13"/>
        <v>100</v>
      </c>
      <c r="V29" s="665" t="s">
        <v>14</v>
      </c>
      <c r="W29" s="666">
        <f t="shared" si="14"/>
        <v>100</v>
      </c>
      <c r="X29" s="1262"/>
      <c r="Y29" s="3383" t="s">
        <v>1692</v>
      </c>
      <c r="Z29" s="1261" t="str">
        <f t="shared" si="15"/>
        <v>建筑类型</v>
      </c>
      <c r="AA29" s="1261">
        <f t="shared" si="3"/>
        <v>1</v>
      </c>
      <c r="AB29" s="1261">
        <f t="shared" si="4"/>
        <v>1</v>
      </c>
      <c r="AC29" s="1261">
        <f t="shared" si="5"/>
        <v>1</v>
      </c>
    </row>
    <row r="30" spans="1:29" s="406" customFormat="1" ht="15">
      <c r="A30" s="404"/>
      <c r="B30" s="362" t="s">
        <v>1693</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383"/>
      <c r="Q30" s="529" t="str">
        <f t="shared" si="11"/>
        <v>项目建筑规模</v>
      </c>
      <c r="R30" s="667" t="s">
        <v>14</v>
      </c>
      <c r="S30" s="668" t="e">
        <f t="shared" si="12"/>
        <v>#N/A</v>
      </c>
      <c r="T30" s="667" t="s">
        <v>14</v>
      </c>
      <c r="U30" s="668" t="e">
        <f t="shared" si="13"/>
        <v>#N/A</v>
      </c>
      <c r="V30" s="667" t="s">
        <v>14</v>
      </c>
      <c r="W30" s="668" t="e">
        <f t="shared" si="14"/>
        <v>#N/A</v>
      </c>
      <c r="X30" s="669"/>
      <c r="Y30" s="3383"/>
      <c r="Z30" s="670" t="str">
        <f t="shared" si="15"/>
        <v>项目建筑规模</v>
      </c>
      <c r="AA30" s="1261" t="e">
        <f t="shared" si="3"/>
        <v>#N/A</v>
      </c>
      <c r="AB30" s="1261" t="e">
        <f t="shared" si="4"/>
        <v>#N/A</v>
      </c>
      <c r="AC30" s="1261" t="e">
        <f t="shared" si="5"/>
        <v>#N/A</v>
      </c>
    </row>
    <row r="31" spans="1:29" ht="15">
      <c r="A31" s="407"/>
      <c r="B31" s="362" t="s">
        <v>1694</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383"/>
      <c r="Q31" s="1260" t="str">
        <f t="shared" si="11"/>
        <v>建筑结构</v>
      </c>
      <c r="R31" s="665" t="s">
        <v>14</v>
      </c>
      <c r="S31" s="666">
        <f t="shared" si="12"/>
        <v>100</v>
      </c>
      <c r="T31" s="665" t="s">
        <v>14</v>
      </c>
      <c r="U31" s="666">
        <f t="shared" si="13"/>
        <v>100</v>
      </c>
      <c r="V31" s="665" t="s">
        <v>14</v>
      </c>
      <c r="W31" s="666">
        <f t="shared" si="14"/>
        <v>100</v>
      </c>
      <c r="X31" s="1262"/>
      <c r="Y31" s="3383"/>
      <c r="Z31" s="1261" t="str">
        <f t="shared" si="15"/>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383"/>
      <c r="Q32" s="1260" t="str">
        <f t="shared" si="11"/>
        <v>公共部分装修</v>
      </c>
      <c r="R32" s="665" t="s">
        <v>14</v>
      </c>
      <c r="S32" s="666">
        <f t="shared" si="12"/>
        <v>100</v>
      </c>
      <c r="T32" s="665" t="s">
        <v>14</v>
      </c>
      <c r="U32" s="666">
        <f t="shared" si="13"/>
        <v>100</v>
      </c>
      <c r="V32" s="665" t="s">
        <v>14</v>
      </c>
      <c r="W32" s="666">
        <f t="shared" si="14"/>
        <v>100</v>
      </c>
      <c r="X32" s="1262"/>
      <c r="Y32" s="3383"/>
      <c r="Z32" s="1261" t="str">
        <f t="shared" si="15"/>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383"/>
      <c r="Q33" s="1260" t="str">
        <f t="shared" si="11"/>
        <v>成新度</v>
      </c>
      <c r="R33" s="665" t="s">
        <v>14</v>
      </c>
      <c r="S33" s="666" t="e">
        <f t="shared" si="12"/>
        <v>#N/A</v>
      </c>
      <c r="T33" s="665" t="s">
        <v>14</v>
      </c>
      <c r="U33" s="666" t="e">
        <f t="shared" si="13"/>
        <v>#N/A</v>
      </c>
      <c r="V33" s="665" t="s">
        <v>14</v>
      </c>
      <c r="W33" s="666" t="e">
        <f t="shared" si="14"/>
        <v>#N/A</v>
      </c>
      <c r="X33" s="1262"/>
      <c r="Y33" s="3383"/>
      <c r="Z33" s="1261" t="str">
        <f t="shared" si="15"/>
        <v>成新度</v>
      </c>
      <c r="AA33" s="1261" t="e">
        <f t="shared" si="3"/>
        <v>#N/A</v>
      </c>
      <c r="AB33" s="1261" t="e">
        <f t="shared" si="4"/>
        <v>#N/A</v>
      </c>
      <c r="AC33" s="1261" t="e">
        <f t="shared" si="5"/>
        <v>#N/A</v>
      </c>
    </row>
    <row r="34" spans="1:29" s="102"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383"/>
      <c r="Q34" s="528" t="str">
        <f t="shared" si="11"/>
        <v>物业管理</v>
      </c>
      <c r="R34" s="662" t="s">
        <v>14</v>
      </c>
      <c r="S34" s="663">
        <f t="shared" si="12"/>
        <v>100</v>
      </c>
      <c r="T34" s="662" t="s">
        <v>14</v>
      </c>
      <c r="U34" s="663">
        <f t="shared" si="13"/>
        <v>100</v>
      </c>
      <c r="V34" s="662" t="s">
        <v>14</v>
      </c>
      <c r="W34" s="663">
        <f t="shared" si="14"/>
        <v>100</v>
      </c>
      <c r="X34" s="664"/>
      <c r="Y34" s="3383"/>
      <c r="Z34" s="50" t="str">
        <f t="shared" si="15"/>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383" t="s">
        <v>1692</v>
      </c>
      <c r="Q35" s="1260" t="str">
        <f t="shared" si="11"/>
        <v>市政基础设施</v>
      </c>
      <c r="R35" s="665" t="s">
        <v>14</v>
      </c>
      <c r="S35" s="666">
        <f t="shared" si="12"/>
        <v>100</v>
      </c>
      <c r="T35" s="665" t="s">
        <v>14</v>
      </c>
      <c r="U35" s="666">
        <f t="shared" si="13"/>
        <v>100</v>
      </c>
      <c r="V35" s="665" t="s">
        <v>14</v>
      </c>
      <c r="W35" s="666">
        <f t="shared" si="14"/>
        <v>100</v>
      </c>
      <c r="X35" s="1262"/>
      <c r="Y35" s="3383" t="s">
        <v>1692</v>
      </c>
      <c r="Z35" s="1261" t="str">
        <f t="shared" si="15"/>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383"/>
      <c r="Q36" s="1260" t="str">
        <f t="shared" si="11"/>
        <v>内部装修</v>
      </c>
      <c r="R36" s="665" t="s">
        <v>14</v>
      </c>
      <c r="S36" s="666">
        <f t="shared" si="12"/>
        <v>100</v>
      </c>
      <c r="T36" s="665" t="s">
        <v>14</v>
      </c>
      <c r="U36" s="666">
        <f t="shared" si="13"/>
        <v>100</v>
      </c>
      <c r="V36" s="665" t="s">
        <v>14</v>
      </c>
      <c r="W36" s="666">
        <f t="shared" si="14"/>
        <v>100</v>
      </c>
      <c r="X36" s="1262"/>
      <c r="Y36" s="3383"/>
      <c r="Z36" s="1261" t="str">
        <f t="shared" si="15"/>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383"/>
      <c r="Q37" s="1260" t="str">
        <f t="shared" si="11"/>
        <v>内部装修状况</v>
      </c>
      <c r="R37" s="665" t="s">
        <v>14</v>
      </c>
      <c r="S37" s="666">
        <f t="shared" si="12"/>
        <v>100</v>
      </c>
      <c r="T37" s="665" t="s">
        <v>14</v>
      </c>
      <c r="U37" s="666">
        <f t="shared" si="13"/>
        <v>100</v>
      </c>
      <c r="V37" s="665" t="s">
        <v>14</v>
      </c>
      <c r="W37" s="666">
        <f t="shared" si="14"/>
        <v>100</v>
      </c>
      <c r="X37" s="1262"/>
      <c r="Y37" s="3383"/>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383"/>
      <c r="Q38" s="529">
        <f t="shared" si="11"/>
        <v>111</v>
      </c>
      <c r="R38" s="667" t="s">
        <v>14</v>
      </c>
      <c r="S38" s="668">
        <f t="shared" si="12"/>
        <v>100</v>
      </c>
      <c r="T38" s="667" t="s">
        <v>14</v>
      </c>
      <c r="U38" s="668">
        <f t="shared" si="13"/>
        <v>100</v>
      </c>
      <c r="V38" s="667" t="s">
        <v>14</v>
      </c>
      <c r="W38" s="668">
        <f t="shared" si="14"/>
        <v>100</v>
      </c>
      <c r="X38" s="669"/>
      <c r="Y38" s="3383"/>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383"/>
      <c r="Q39" s="1260">
        <f t="shared" si="11"/>
        <v>111</v>
      </c>
      <c r="R39" s="665" t="s">
        <v>14</v>
      </c>
      <c r="S39" s="666">
        <f t="shared" si="12"/>
        <v>100</v>
      </c>
      <c r="T39" s="665" t="s">
        <v>14</v>
      </c>
      <c r="U39" s="666">
        <f t="shared" si="13"/>
        <v>100</v>
      </c>
      <c r="V39" s="665" t="s">
        <v>14</v>
      </c>
      <c r="W39" s="666">
        <f t="shared" si="14"/>
        <v>100</v>
      </c>
      <c r="X39" s="1262"/>
      <c r="Y39" s="3383"/>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44"/>
      <c r="Q40" s="1260">
        <f t="shared" si="11"/>
        <v>111</v>
      </c>
      <c r="R40" s="665" t="s">
        <v>14</v>
      </c>
      <c r="S40" s="666">
        <f t="shared" si="12"/>
        <v>100</v>
      </c>
      <c r="T40" s="665" t="s">
        <v>14</v>
      </c>
      <c r="U40" s="666">
        <f t="shared" si="13"/>
        <v>100</v>
      </c>
      <c r="V40" s="665" t="s">
        <v>14</v>
      </c>
      <c r="W40" s="666">
        <f t="shared" si="14"/>
        <v>100</v>
      </c>
      <c r="X40" s="1262"/>
      <c r="Y40" s="3444"/>
      <c r="Z40" s="1261">
        <f t="shared" si="15"/>
        <v>111</v>
      </c>
      <c r="AA40" s="1261">
        <f t="shared" si="3"/>
        <v>1</v>
      </c>
      <c r="AB40" s="1261">
        <f t="shared" si="4"/>
        <v>1</v>
      </c>
      <c r="AC40" s="1261">
        <f t="shared" si="5"/>
        <v>1</v>
      </c>
    </row>
    <row r="41" spans="1:29" ht="15">
      <c r="A41" s="414" t="s">
        <v>1704</v>
      </c>
      <c r="B41" s="415"/>
      <c r="C41" s="1079" t="s">
        <v>0</v>
      </c>
      <c r="D41" s="416"/>
      <c r="E41" s="417"/>
      <c r="F41" s="418"/>
      <c r="G41" s="419"/>
      <c r="H41" s="420"/>
      <c r="I41" s="417"/>
      <c r="J41" s="420"/>
      <c r="K41" s="672"/>
      <c r="L41" s="871"/>
      <c r="M41" s="859"/>
      <c r="N41" s="859"/>
      <c r="O41" s="859"/>
      <c r="P41" s="3379" t="str">
        <f>A41</f>
        <v>成交单价（元/平方米）</v>
      </c>
      <c r="Q41" s="3379"/>
      <c r="R41" s="3384">
        <f>E41</f>
        <v>0</v>
      </c>
      <c r="S41" s="3384"/>
      <c r="T41" s="3384">
        <f>G41</f>
        <v>0</v>
      </c>
      <c r="U41" s="3384"/>
      <c r="V41" s="3384">
        <f>I41</f>
        <v>0</v>
      </c>
      <c r="W41" s="3384"/>
      <c r="X41" s="383"/>
      <c r="Y41" s="671"/>
      <c r="Z41" s="383"/>
      <c r="AA41" s="383"/>
      <c r="AB41" s="383"/>
      <c r="AC41" s="383"/>
    </row>
    <row r="42" spans="1:29" ht="15.75" thickBot="1">
      <c r="A42" s="421" t="s">
        <v>1789</v>
      </c>
      <c r="B42" s="422"/>
      <c r="C42" s="1080" t="e">
        <f>R43</f>
        <v>#DIV/0!</v>
      </c>
      <c r="D42" s="2138" t="s">
        <v>2133</v>
      </c>
      <c r="E42" s="1081" t="e">
        <f>R42</f>
        <v>#DIV/0!</v>
      </c>
      <c r="F42" s="2139"/>
      <c r="G42" s="1080" t="e">
        <f>T42</f>
        <v>#DIV/0!</v>
      </c>
      <c r="H42" s="2139"/>
      <c r="I42" s="1081" t="e">
        <f>V42</f>
        <v>#DIV/0!</v>
      </c>
      <c r="J42" s="2139"/>
      <c r="K42" s="2141">
        <f>F42+H42+J42</f>
        <v>0</v>
      </c>
      <c r="L42" s="871"/>
      <c r="M42" s="859"/>
      <c r="N42" s="859"/>
      <c r="O42" s="859"/>
      <c r="P42" s="3379" t="str">
        <f>A42</f>
        <v>比较价值（元/平方米）</v>
      </c>
      <c r="Q42" s="3379"/>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373" t="str">
        <f>A43</f>
        <v>估价对象XX用房的比较价值（楼面单价，元/平方米）</v>
      </c>
      <c r="Q43" s="3374"/>
      <c r="R43" s="3440" t="e">
        <f>IF(F1="售价",ROUND(IF(D42="简单平均",AVERAGE(R42:V42),R42*F42+T42*H42+V42*J42),0),ROUND(IF(D42="简单平均",AVERAGE(R42:V42),R42*F42+T42*H42+V42*J42),1))</f>
        <v>#DIV/0!</v>
      </c>
      <c r="S43" s="3440"/>
      <c r="T43" s="3440"/>
      <c r="U43" s="3440"/>
      <c r="V43" s="3440"/>
      <c r="W43" s="3440"/>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1675</v>
      </c>
      <c r="B52" s="439"/>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1712</v>
      </c>
      <c r="B54" s="448"/>
      <c r="C54" s="449"/>
      <c r="D54" s="450"/>
      <c r="E54" s="450"/>
      <c r="F54" s="450"/>
      <c r="G54" s="450"/>
      <c r="H54" s="450"/>
      <c r="I54" s="450"/>
      <c r="J54" s="450"/>
      <c r="K54" s="450"/>
      <c r="L54" s="450"/>
      <c r="M54" s="451"/>
      <c r="N54" s="2536"/>
      <c r="O54" s="2537"/>
      <c r="P54" s="437"/>
      <c r="Q54" s="437"/>
    </row>
    <row r="55" spans="1:17" s="102" customFormat="1" ht="15">
      <c r="A55" s="453" t="s">
        <v>1677</v>
      </c>
      <c r="B55" s="442"/>
      <c r="C55" s="454" t="s">
        <v>1772</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1715</v>
      </c>
      <c r="B57" s="458" t="s">
        <v>1681</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1684</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1685</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1686</v>
      </c>
      <c r="B70" s="458" t="s">
        <v>1825</v>
      </c>
      <c r="C70" s="502" t="s">
        <v>1717</v>
      </c>
      <c r="D70" s="502" t="s">
        <v>1718</v>
      </c>
      <c r="E70" s="502" t="s">
        <v>1719</v>
      </c>
      <c r="F70" s="502" t="s">
        <v>1720</v>
      </c>
      <c r="G70" s="502" t="s">
        <v>1721</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1722</v>
      </c>
      <c r="C72" s="507" t="s">
        <v>1717</v>
      </c>
      <c r="D72" s="507" t="s">
        <v>1718</v>
      </c>
      <c r="E72" s="507" t="s">
        <v>1719</v>
      </c>
      <c r="F72" s="507" t="s">
        <v>1720</v>
      </c>
      <c r="G72" s="507" t="s">
        <v>1721</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1723</v>
      </c>
      <c r="C74" s="507" t="s">
        <v>1717</v>
      </c>
      <c r="D74" s="507" t="s">
        <v>1718</v>
      </c>
      <c r="E74" s="507" t="s">
        <v>1719</v>
      </c>
      <c r="F74" s="507" t="s">
        <v>1720</v>
      </c>
      <c r="G74" s="507" t="s">
        <v>1721</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1717</v>
      </c>
      <c r="D78" s="507" t="s">
        <v>1718</v>
      </c>
      <c r="E78" s="507" t="s">
        <v>1719</v>
      </c>
      <c r="F78" s="507" t="s">
        <v>1720</v>
      </c>
      <c r="G78" s="507" t="s">
        <v>1721</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1690</v>
      </c>
      <c r="B88" s="458" t="s">
        <v>1732</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1733</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1734</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1717</v>
      </c>
      <c r="D106" s="507" t="s">
        <v>1718</v>
      </c>
      <c r="E106" s="507" t="s">
        <v>1719</v>
      </c>
      <c r="F106" s="507" t="s">
        <v>1720</v>
      </c>
      <c r="G106" s="507" t="s">
        <v>1721</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3330</v>
      </c>
      <c r="C1" s="1138" t="s">
        <v>1658</v>
      </c>
      <c r="D1" s="1139"/>
      <c r="E1" s="3129"/>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1460</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5">
      <c r="A4" s="343" t="s">
        <v>1765</v>
      </c>
      <c r="B4" s="344"/>
      <c r="C4" s="3376" t="s">
        <v>1766</v>
      </c>
      <c r="D4" s="3388"/>
      <c r="E4" s="3389" t="s">
        <v>1767</v>
      </c>
      <c r="F4" s="3390"/>
      <c r="G4" s="3376" t="s">
        <v>1768</v>
      </c>
      <c r="H4" s="3388"/>
      <c r="I4" s="3376" t="s">
        <v>1769</v>
      </c>
      <c r="J4" s="3388"/>
      <c r="K4" s="535" t="s">
        <v>1770</v>
      </c>
      <c r="L4" s="2484"/>
      <c r="M4" s="2485"/>
      <c r="N4" s="2485"/>
      <c r="O4" s="2485"/>
      <c r="P4" s="3391" t="s">
        <v>1771</v>
      </c>
      <c r="Q4" s="3392"/>
      <c r="R4" s="3397" t="s">
        <v>1767</v>
      </c>
      <c r="S4" s="3398"/>
      <c r="T4" s="3397" t="s">
        <v>1768</v>
      </c>
      <c r="U4" s="3398"/>
      <c r="V4" s="3384" t="s">
        <v>1769</v>
      </c>
      <c r="W4" s="3384"/>
      <c r="X4" s="1262"/>
      <c r="Y4" s="3397" t="s">
        <v>1771</v>
      </c>
      <c r="Z4" s="3398"/>
      <c r="AA4" s="3385" t="s">
        <v>1767</v>
      </c>
      <c r="AB4" s="3386" t="s">
        <v>1768</v>
      </c>
      <c r="AC4" s="3385" t="s">
        <v>1769</v>
      </c>
    </row>
    <row r="5" spans="1:29" ht="15">
      <c r="A5" s="346"/>
      <c r="B5" s="347"/>
      <c r="C5" s="3405" t="s">
        <v>1669</v>
      </c>
      <c r="D5" s="3406"/>
      <c r="E5" s="3412" t="s">
        <v>1670</v>
      </c>
      <c r="F5" s="3413"/>
      <c r="G5" s="3405" t="s">
        <v>1671</v>
      </c>
      <c r="H5" s="3406"/>
      <c r="I5" s="3405" t="s">
        <v>1672</v>
      </c>
      <c r="J5" s="3406"/>
      <c r="K5" s="535"/>
      <c r="L5" s="2484"/>
      <c r="M5" s="2485"/>
      <c r="N5" s="2485"/>
      <c r="O5" s="2485"/>
      <c r="P5" s="3393"/>
      <c r="Q5" s="3394"/>
      <c r="R5" s="3399"/>
      <c r="S5" s="3400"/>
      <c r="T5" s="3399"/>
      <c r="U5" s="3400"/>
      <c r="V5" s="3384"/>
      <c r="W5" s="3384"/>
      <c r="X5" s="1262"/>
      <c r="Y5" s="3399"/>
      <c r="Z5" s="3400"/>
      <c r="AA5" s="3386"/>
      <c r="AB5" s="3386"/>
      <c r="AC5" s="3386"/>
    </row>
    <row r="6" spans="1:29" ht="15.75" thickBot="1">
      <c r="A6" s="348"/>
      <c r="B6" s="349"/>
      <c r="C6" s="3403" t="s">
        <v>1673</v>
      </c>
      <c r="D6" s="3404"/>
      <c r="E6" s="3410" t="s">
        <v>1673</v>
      </c>
      <c r="F6" s="3411"/>
      <c r="G6" s="3403" t="s">
        <v>1673</v>
      </c>
      <c r="H6" s="3404"/>
      <c r="I6" s="3403" t="s">
        <v>1673</v>
      </c>
      <c r="J6" s="3404"/>
      <c r="K6" s="535" t="s">
        <v>1674</v>
      </c>
      <c r="L6" s="2484"/>
      <c r="M6" s="2485"/>
      <c r="N6" s="2485"/>
      <c r="O6" s="2485"/>
      <c r="P6" s="3395"/>
      <c r="Q6" s="3396"/>
      <c r="R6" s="3399"/>
      <c r="S6" s="3400"/>
      <c r="T6" s="3401"/>
      <c r="U6" s="3402"/>
      <c r="V6" s="3384"/>
      <c r="W6" s="3384"/>
      <c r="X6" s="1262"/>
      <c r="Y6" s="3401"/>
      <c r="Z6" s="3402"/>
      <c r="AA6" s="3387"/>
      <c r="AB6" s="3387"/>
      <c r="AC6" s="3387"/>
    </row>
    <row r="7" spans="1:29" s="102" customFormat="1" ht="15.75" thickBot="1">
      <c r="A7" s="350" t="s">
        <v>1675</v>
      </c>
      <c r="B7" s="351"/>
      <c r="C7" s="352">
        <f>'数据-取费表'!B2</f>
        <v>45604</v>
      </c>
      <c r="D7" s="353">
        <v>100</v>
      </c>
      <c r="E7" s="354"/>
      <c r="F7" s="355">
        <f>SUMIF(48:48,YEAR(E7)&amp;"-"&amp;MONTH(E7),49:49)</f>
        <v>0</v>
      </c>
      <c r="G7" s="354"/>
      <c r="H7" s="353">
        <f>SUMIF(48:48,YEAR(G7)&amp;"-"&amp;MONTH(G7),49:49)</f>
        <v>0</v>
      </c>
      <c r="I7" s="354"/>
      <c r="J7" s="353">
        <f>SUMIF(48:48,YEAR(I7)&amp;"-"&amp;MONTH(I7),49:49)</f>
        <v>0</v>
      </c>
      <c r="K7" s="38"/>
      <c r="L7" s="2486"/>
      <c r="M7" s="2437"/>
      <c r="N7" s="2437"/>
      <c r="O7" s="2437"/>
      <c r="P7" s="3407" t="s">
        <v>1676</v>
      </c>
      <c r="Q7" s="3409"/>
      <c r="R7" s="662" t="s">
        <v>14</v>
      </c>
      <c r="S7" s="663">
        <f t="shared" ref="S7:S14" si="0">F7</f>
        <v>0</v>
      </c>
      <c r="T7" s="662" t="s">
        <v>14</v>
      </c>
      <c r="U7" s="663">
        <f t="shared" ref="U7:U14" si="1">H7</f>
        <v>0</v>
      </c>
      <c r="V7" s="662" t="s">
        <v>14</v>
      </c>
      <c r="W7" s="663">
        <f t="shared" ref="W7:W14" si="2">J7</f>
        <v>0</v>
      </c>
      <c r="X7" s="664"/>
      <c r="Y7" s="3407" t="s">
        <v>1676</v>
      </c>
      <c r="Z7" s="3408"/>
      <c r="AA7" s="50" t="e">
        <f>D7/F7</f>
        <v>#DIV/0!</v>
      </c>
      <c r="AB7" s="50" t="e">
        <f>D7/H7</f>
        <v>#DIV/0!</v>
      </c>
      <c r="AC7" s="50" t="e">
        <f>D7/J7</f>
        <v>#DIV/0!</v>
      </c>
    </row>
    <row r="8" spans="1:29" s="102" customFormat="1" ht="15.75" thickBot="1">
      <c r="A8" s="350" t="s">
        <v>1677</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07" t="s">
        <v>1679</v>
      </c>
      <c r="Q8" s="3408"/>
      <c r="R8" s="662" t="s">
        <v>14</v>
      </c>
      <c r="S8" s="663">
        <f t="shared" si="0"/>
        <v>100</v>
      </c>
      <c r="T8" s="662" t="s">
        <v>14</v>
      </c>
      <c r="U8" s="663">
        <f t="shared" si="1"/>
        <v>100</v>
      </c>
      <c r="V8" s="662" t="s">
        <v>14</v>
      </c>
      <c r="W8" s="663">
        <f t="shared" si="2"/>
        <v>100</v>
      </c>
      <c r="X8" s="664"/>
      <c r="Y8" s="3407" t="s">
        <v>1679</v>
      </c>
      <c r="Z8" s="3408"/>
      <c r="AA8" s="50">
        <f t="shared" ref="AA8:AA36" si="3">D8/F8</f>
        <v>1</v>
      </c>
      <c r="AB8" s="50">
        <f t="shared" ref="AB8:AB36" si="4">D8/H8</f>
        <v>1</v>
      </c>
      <c r="AC8" s="50">
        <f t="shared" ref="AC8:AC36" si="5">D8/J8</f>
        <v>1</v>
      </c>
    </row>
    <row r="9" spans="1:29" s="102" customFormat="1">
      <c r="A9" s="57" t="s">
        <v>1680</v>
      </c>
      <c r="B9" s="562" t="s">
        <v>1681</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379" t="s">
        <v>1682</v>
      </c>
      <c r="Q9" s="528" t="str">
        <f t="shared" ref="Q9:Q14" si="6">B9</f>
        <v>用途</v>
      </c>
      <c r="R9" s="662" t="s">
        <v>14</v>
      </c>
      <c r="S9" s="663">
        <f t="shared" si="0"/>
        <v>100</v>
      </c>
      <c r="T9" s="662" t="s">
        <v>14</v>
      </c>
      <c r="U9" s="663">
        <f t="shared" si="1"/>
        <v>100</v>
      </c>
      <c r="V9" s="662" t="s">
        <v>14</v>
      </c>
      <c r="W9" s="663">
        <f t="shared" si="2"/>
        <v>100</v>
      </c>
      <c r="X9" s="664"/>
      <c r="Y9" s="3276" t="s">
        <v>1683</v>
      </c>
      <c r="Z9" s="50" t="str">
        <f t="shared" ref="Z9:Z14" si="7">Q9</f>
        <v>用途</v>
      </c>
      <c r="AA9" s="50">
        <f t="shared" si="3"/>
        <v>1</v>
      </c>
      <c r="AB9" s="50">
        <f t="shared" si="4"/>
        <v>1</v>
      </c>
      <c r="AC9" s="50">
        <f t="shared" si="5"/>
        <v>1</v>
      </c>
    </row>
    <row r="10" spans="1:29" s="364" customFormat="1" ht="27">
      <c r="A10" s="563"/>
      <c r="B10" s="564" t="s">
        <v>1684</v>
      </c>
      <c r="C10" s="3130"/>
      <c r="D10" s="117">
        <v>100</v>
      </c>
      <c r="E10" s="3130"/>
      <c r="F10" s="117">
        <f>SUMIF(55:55,E10,56:56)-SUMIF(55:55,C10,56:56)+100</f>
        <v>100</v>
      </c>
      <c r="G10" s="3131"/>
      <c r="H10" s="117">
        <f>SUMIF(55:55,G10,56:56)-SUMIF(55:55,C10,56:56)+100</f>
        <v>100</v>
      </c>
      <c r="I10" s="3130"/>
      <c r="J10" s="117">
        <f>SUMIF(55:55,I10,56:56)-SUMIF(55:55,C10,56:56)+100</f>
        <v>100</v>
      </c>
      <c r="K10" s="38"/>
      <c r="L10" s="2487"/>
      <c r="M10" s="2488"/>
      <c r="N10" s="2488"/>
      <c r="O10" s="2488"/>
      <c r="P10" s="3379"/>
      <c r="Q10" s="528" t="str">
        <f t="shared" si="6"/>
        <v>土地使用年限（年）</v>
      </c>
      <c r="R10" s="662" t="s">
        <v>14</v>
      </c>
      <c r="S10" s="663">
        <f t="shared" si="0"/>
        <v>100</v>
      </c>
      <c r="T10" s="662" t="s">
        <v>14</v>
      </c>
      <c r="U10" s="663">
        <f t="shared" si="1"/>
        <v>100</v>
      </c>
      <c r="V10" s="662" t="s">
        <v>14</v>
      </c>
      <c r="W10" s="663">
        <f t="shared" si="2"/>
        <v>100</v>
      </c>
      <c r="X10" s="664"/>
      <c r="Y10" s="3276"/>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379"/>
      <c r="Q11" s="528">
        <f t="shared" si="6"/>
        <v>111</v>
      </c>
      <c r="R11" s="662" t="s">
        <v>14</v>
      </c>
      <c r="S11" s="663">
        <f t="shared" si="0"/>
        <v>100</v>
      </c>
      <c r="T11" s="662" t="s">
        <v>14</v>
      </c>
      <c r="U11" s="663">
        <f t="shared" si="1"/>
        <v>100</v>
      </c>
      <c r="V11" s="662" t="s">
        <v>14</v>
      </c>
      <c r="W11" s="663">
        <f t="shared" si="2"/>
        <v>100</v>
      </c>
      <c r="X11" s="664"/>
      <c r="Y11" s="3276"/>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379"/>
      <c r="Q12" s="528">
        <f t="shared" si="6"/>
        <v>111</v>
      </c>
      <c r="R12" s="662" t="s">
        <v>14</v>
      </c>
      <c r="S12" s="663">
        <f t="shared" si="0"/>
        <v>100</v>
      </c>
      <c r="T12" s="662" t="s">
        <v>14</v>
      </c>
      <c r="U12" s="663">
        <f t="shared" si="1"/>
        <v>100</v>
      </c>
      <c r="V12" s="662" t="s">
        <v>14</v>
      </c>
      <c r="W12" s="663">
        <f t="shared" si="2"/>
        <v>100</v>
      </c>
      <c r="X12" s="664"/>
      <c r="Y12" s="3276"/>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379"/>
      <c r="Q13" s="528">
        <f t="shared" si="6"/>
        <v>111</v>
      </c>
      <c r="R13" s="662" t="s">
        <v>14</v>
      </c>
      <c r="S13" s="663">
        <f t="shared" si="0"/>
        <v>100</v>
      </c>
      <c r="T13" s="662" t="s">
        <v>14</v>
      </c>
      <c r="U13" s="663">
        <f t="shared" si="1"/>
        <v>100</v>
      </c>
      <c r="V13" s="662" t="s">
        <v>14</v>
      </c>
      <c r="W13" s="663">
        <f t="shared" si="2"/>
        <v>100</v>
      </c>
      <c r="X13" s="664"/>
      <c r="Y13" s="3276"/>
      <c r="Z13" s="50">
        <f t="shared" si="7"/>
        <v>111</v>
      </c>
      <c r="AA13" s="50">
        <f t="shared" si="3"/>
        <v>1</v>
      </c>
      <c r="AB13" s="50">
        <f t="shared" si="4"/>
        <v>1</v>
      </c>
      <c r="AC13" s="50">
        <f t="shared" si="5"/>
        <v>1</v>
      </c>
    </row>
    <row r="14" spans="1:29" ht="85.5">
      <c r="A14" s="343" t="s">
        <v>1686</v>
      </c>
      <c r="B14" s="552" t="s">
        <v>1829</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380" t="s">
        <v>1687</v>
      </c>
      <c r="Q14" s="1260" t="str">
        <f t="shared" si="6"/>
        <v>交通便捷度</v>
      </c>
      <c r="R14" s="665" t="s">
        <v>14</v>
      </c>
      <c r="S14" s="666">
        <f t="shared" si="0"/>
        <v>100</v>
      </c>
      <c r="T14" s="665" t="s">
        <v>14</v>
      </c>
      <c r="U14" s="666">
        <f t="shared" si="1"/>
        <v>100</v>
      </c>
      <c r="V14" s="665" t="s">
        <v>14</v>
      </c>
      <c r="W14" s="666">
        <f t="shared" si="2"/>
        <v>100</v>
      </c>
      <c r="X14" s="1262"/>
      <c r="Y14" s="3380" t="s">
        <v>1687</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381"/>
      <c r="Q15" s="1260"/>
      <c r="R15" s="665"/>
      <c r="S15" s="666"/>
      <c r="T15" s="665"/>
      <c r="U15" s="666"/>
      <c r="V15" s="665"/>
      <c r="W15" s="666"/>
      <c r="X15" s="1262"/>
      <c r="Y15" s="3381"/>
      <c r="Z15" s="1261"/>
      <c r="AA15" s="1261">
        <v>1</v>
      </c>
      <c r="AB15" s="1261">
        <v>1</v>
      </c>
      <c r="AC15" s="1261">
        <v>1</v>
      </c>
    </row>
    <row r="16" spans="1:29" ht="42.75">
      <c r="A16" s="346"/>
      <c r="B16" s="554" t="s">
        <v>1808</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381"/>
      <c r="Q16" s="1260" t="str">
        <f>B16</f>
        <v>公共配套设施</v>
      </c>
      <c r="R16" s="665" t="s">
        <v>14</v>
      </c>
      <c r="S16" s="666">
        <f>F16</f>
        <v>100</v>
      </c>
      <c r="T16" s="665" t="s">
        <v>14</v>
      </c>
      <c r="U16" s="666">
        <f>H16</f>
        <v>100</v>
      </c>
      <c r="V16" s="665" t="s">
        <v>14</v>
      </c>
      <c r="W16" s="666">
        <f>J16</f>
        <v>100</v>
      </c>
      <c r="X16" s="1262"/>
      <c r="Y16" s="3381"/>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381"/>
      <c r="Q17" s="1260"/>
      <c r="R17" s="665"/>
      <c r="S17" s="666"/>
      <c r="T17" s="665"/>
      <c r="U17" s="666"/>
      <c r="V17" s="665"/>
      <c r="W17" s="666"/>
      <c r="X17" s="1262"/>
      <c r="Y17" s="3381"/>
      <c r="Z17" s="1261"/>
      <c r="AA17" s="1261">
        <v>1</v>
      </c>
      <c r="AB17" s="1261">
        <v>1</v>
      </c>
      <c r="AC17" s="1261">
        <v>1</v>
      </c>
    </row>
    <row r="18" spans="1:29" ht="28.5">
      <c r="A18" s="346"/>
      <c r="B18" s="555" t="s">
        <v>1809</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381"/>
      <c r="Q18" s="1260" t="str">
        <f>B18</f>
        <v>基础设施水平</v>
      </c>
      <c r="R18" s="665" t="s">
        <v>14</v>
      </c>
      <c r="S18" s="666">
        <f>F18</f>
        <v>100</v>
      </c>
      <c r="T18" s="665" t="s">
        <v>14</v>
      </c>
      <c r="U18" s="666">
        <f>H18</f>
        <v>100</v>
      </c>
      <c r="V18" s="665" t="s">
        <v>14</v>
      </c>
      <c r="W18" s="666">
        <f>J18</f>
        <v>100</v>
      </c>
      <c r="X18" s="1262"/>
      <c r="Y18" s="3381"/>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381"/>
      <c r="Q19" s="1260"/>
      <c r="R19" s="665"/>
      <c r="S19" s="666"/>
      <c r="T19" s="665"/>
      <c r="U19" s="666"/>
      <c r="V19" s="665"/>
      <c r="W19" s="666"/>
      <c r="X19" s="1262"/>
      <c r="Y19" s="3381"/>
      <c r="Z19" s="1261"/>
      <c r="AA19" s="1261">
        <v>1</v>
      </c>
      <c r="AB19" s="1261">
        <v>1</v>
      </c>
      <c r="AC19" s="1261">
        <v>1</v>
      </c>
    </row>
    <row r="20" spans="1:29" ht="57">
      <c r="A20" s="346"/>
      <c r="B20" s="554" t="s">
        <v>1830</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381"/>
      <c r="Q20" s="1260" t="str">
        <f>B20</f>
        <v>自然及人文环境</v>
      </c>
      <c r="R20" s="665" t="s">
        <v>14</v>
      </c>
      <c r="S20" s="666">
        <f>F20</f>
        <v>100</v>
      </c>
      <c r="T20" s="665" t="s">
        <v>14</v>
      </c>
      <c r="U20" s="666">
        <f>H20</f>
        <v>100</v>
      </c>
      <c r="V20" s="665" t="s">
        <v>14</v>
      </c>
      <c r="W20" s="666">
        <f>J20</f>
        <v>100</v>
      </c>
      <c r="X20" s="1262"/>
      <c r="Y20" s="3381"/>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381"/>
      <c r="Q21" s="1260"/>
      <c r="R21" s="665"/>
      <c r="S21" s="666"/>
      <c r="T21" s="665"/>
      <c r="U21" s="666"/>
      <c r="V21" s="665"/>
      <c r="W21" s="666"/>
      <c r="X21" s="1262"/>
      <c r="Y21" s="3381"/>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381"/>
      <c r="Q22" s="1260" t="str">
        <f>B22</f>
        <v>楼层</v>
      </c>
      <c r="R22" s="665" t="s">
        <v>14</v>
      </c>
      <c r="S22" s="666">
        <f>F22</f>
        <v>100</v>
      </c>
      <c r="T22" s="665" t="s">
        <v>14</v>
      </c>
      <c r="U22" s="666">
        <f>H22</f>
        <v>100</v>
      </c>
      <c r="V22" s="665" t="s">
        <v>14</v>
      </c>
      <c r="W22" s="666">
        <f>J22</f>
        <v>100</v>
      </c>
      <c r="X22" s="1262"/>
      <c r="Y22" s="3381"/>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381"/>
      <c r="Q23" s="1260">
        <f>B23</f>
        <v>111</v>
      </c>
      <c r="R23" s="665" t="s">
        <v>14</v>
      </c>
      <c r="S23" s="666">
        <f>F23</f>
        <v>100</v>
      </c>
      <c r="T23" s="665" t="s">
        <v>14</v>
      </c>
      <c r="U23" s="666">
        <f>H23</f>
        <v>100</v>
      </c>
      <c r="V23" s="665" t="s">
        <v>14</v>
      </c>
      <c r="W23" s="666">
        <f>J23</f>
        <v>100</v>
      </c>
      <c r="X23" s="1262"/>
      <c r="Y23" s="3381"/>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381"/>
      <c r="Q24" s="1260">
        <f t="shared" ref="Q24:Q36" si="11">B24</f>
        <v>111</v>
      </c>
      <c r="R24" s="665" t="s">
        <v>14</v>
      </c>
      <c r="S24" s="666">
        <f>F24</f>
        <v>100</v>
      </c>
      <c r="T24" s="665" t="s">
        <v>14</v>
      </c>
      <c r="U24" s="666">
        <f>H24</f>
        <v>100</v>
      </c>
      <c r="V24" s="665" t="s">
        <v>14</v>
      </c>
      <c r="W24" s="666">
        <f>J24</f>
        <v>100</v>
      </c>
      <c r="X24" s="1262"/>
      <c r="Y24" s="3381"/>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381"/>
      <c r="Q25" s="528">
        <f t="shared" si="11"/>
        <v>111</v>
      </c>
      <c r="R25" s="662" t="s">
        <v>14</v>
      </c>
      <c r="S25" s="663">
        <f>F25</f>
        <v>100</v>
      </c>
      <c r="T25" s="662" t="s">
        <v>14</v>
      </c>
      <c r="U25" s="663">
        <f>H25</f>
        <v>100</v>
      </c>
      <c r="V25" s="662" t="s">
        <v>14</v>
      </c>
      <c r="W25" s="663">
        <f>J25</f>
        <v>100</v>
      </c>
      <c r="X25" s="664"/>
      <c r="Y25" s="3381"/>
      <c r="Z25" s="50">
        <f>Q25</f>
        <v>111</v>
      </c>
      <c r="AA25" s="1261">
        <f>D25/F25</f>
        <v>1</v>
      </c>
      <c r="AB25" s="1261">
        <f>D25/H25</f>
        <v>1</v>
      </c>
      <c r="AC25" s="1261">
        <f>D25/J25</f>
        <v>1</v>
      </c>
    </row>
    <row r="26" spans="1:29" ht="28.5">
      <c r="A26" s="572" t="s">
        <v>1690</v>
      </c>
      <c r="B26" s="59" t="s">
        <v>1832</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382" t="s">
        <v>1692</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383" t="s">
        <v>1692</v>
      </c>
      <c r="Z26" s="1261" t="str">
        <f t="shared" ref="Z26:Z36" si="15">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383"/>
      <c r="Q27" s="529" t="str">
        <f t="shared" si="11"/>
        <v>项目停车位配比</v>
      </c>
      <c r="R27" s="667" t="s">
        <v>14</v>
      </c>
      <c r="S27" s="668">
        <f t="shared" si="12"/>
        <v>100</v>
      </c>
      <c r="T27" s="667" t="s">
        <v>14</v>
      </c>
      <c r="U27" s="668">
        <f t="shared" si="13"/>
        <v>100</v>
      </c>
      <c r="V27" s="667" t="s">
        <v>14</v>
      </c>
      <c r="W27" s="668">
        <f t="shared" si="14"/>
        <v>100</v>
      </c>
      <c r="X27" s="669"/>
      <c r="Y27" s="3383"/>
      <c r="Z27" s="670" t="str">
        <f t="shared" si="15"/>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383"/>
      <c r="Q28" s="1260" t="str">
        <f t="shared" si="11"/>
        <v>公共部分装修</v>
      </c>
      <c r="R28" s="665" t="s">
        <v>14</v>
      </c>
      <c r="S28" s="666">
        <f t="shared" si="12"/>
        <v>100</v>
      </c>
      <c r="T28" s="665" t="s">
        <v>14</v>
      </c>
      <c r="U28" s="666">
        <f t="shared" si="13"/>
        <v>100</v>
      </c>
      <c r="V28" s="665" t="s">
        <v>14</v>
      </c>
      <c r="W28" s="666">
        <f t="shared" si="14"/>
        <v>100</v>
      </c>
      <c r="X28" s="1262"/>
      <c r="Y28" s="3383"/>
      <c r="Z28" s="1261" t="str">
        <f t="shared" si="15"/>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383"/>
      <c r="Q29" s="1260" t="str">
        <f t="shared" si="11"/>
        <v>成新率</v>
      </c>
      <c r="R29" s="665" t="s">
        <v>14</v>
      </c>
      <c r="S29" s="666" t="e">
        <f t="shared" si="12"/>
        <v>#N/A</v>
      </c>
      <c r="T29" s="665" t="s">
        <v>14</v>
      </c>
      <c r="U29" s="666" t="e">
        <f t="shared" si="13"/>
        <v>#N/A</v>
      </c>
      <c r="V29" s="665" t="s">
        <v>14</v>
      </c>
      <c r="W29" s="666" t="e">
        <f t="shared" si="14"/>
        <v>#N/A</v>
      </c>
      <c r="X29" s="1262"/>
      <c r="Y29" s="3383"/>
      <c r="Z29" s="1261" t="str">
        <f t="shared" si="15"/>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383"/>
      <c r="Q30" s="1260" t="str">
        <f t="shared" si="11"/>
        <v>物业等级</v>
      </c>
      <c r="R30" s="665" t="s">
        <v>14</v>
      </c>
      <c r="S30" s="666">
        <f t="shared" si="12"/>
        <v>100</v>
      </c>
      <c r="T30" s="665" t="s">
        <v>14</v>
      </c>
      <c r="U30" s="666">
        <f t="shared" si="13"/>
        <v>100</v>
      </c>
      <c r="V30" s="665" t="s">
        <v>14</v>
      </c>
      <c r="W30" s="666">
        <f t="shared" si="14"/>
        <v>100</v>
      </c>
      <c r="X30" s="1262"/>
      <c r="Y30" s="3383"/>
      <c r="Z30" s="1261" t="str">
        <f t="shared" si="15"/>
        <v>物业等级</v>
      </c>
      <c r="AA30" s="1261">
        <f t="shared" si="3"/>
        <v>1</v>
      </c>
      <c r="AB30" s="1261">
        <f t="shared" si="4"/>
        <v>1</v>
      </c>
      <c r="AC30" s="1261">
        <f t="shared" si="5"/>
        <v>1</v>
      </c>
    </row>
    <row r="31" spans="1:29" s="102"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383"/>
      <c r="Q31" s="528" t="str">
        <f t="shared" si="11"/>
        <v>停车位面积</v>
      </c>
      <c r="R31" s="662" t="s">
        <v>14</v>
      </c>
      <c r="S31" s="663" t="e">
        <f t="shared" si="12"/>
        <v>#N/A</v>
      </c>
      <c r="T31" s="662" t="s">
        <v>14</v>
      </c>
      <c r="U31" s="663" t="e">
        <f t="shared" si="13"/>
        <v>#N/A</v>
      </c>
      <c r="V31" s="662" t="s">
        <v>14</v>
      </c>
      <c r="W31" s="663" t="e">
        <f t="shared" si="14"/>
        <v>#N/A</v>
      </c>
      <c r="X31" s="664"/>
      <c r="Y31" s="3383"/>
      <c r="Z31" s="50" t="str">
        <f t="shared" si="15"/>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383" t="s">
        <v>1692</v>
      </c>
      <c r="Q32" s="1260" t="str">
        <f t="shared" si="11"/>
        <v>车位类型</v>
      </c>
      <c r="R32" s="665" t="s">
        <v>14</v>
      </c>
      <c r="S32" s="666">
        <f t="shared" si="12"/>
        <v>100</v>
      </c>
      <c r="T32" s="665" t="s">
        <v>14</v>
      </c>
      <c r="U32" s="666">
        <f t="shared" si="13"/>
        <v>100</v>
      </c>
      <c r="V32" s="665" t="s">
        <v>14</v>
      </c>
      <c r="W32" s="666">
        <f t="shared" si="14"/>
        <v>100</v>
      </c>
      <c r="X32" s="1262"/>
      <c r="Y32" s="3383" t="s">
        <v>1692</v>
      </c>
      <c r="Z32" s="1261" t="str">
        <f t="shared" si="15"/>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383"/>
      <c r="Q33" s="1260" t="str">
        <f t="shared" si="11"/>
        <v>是否直接入户</v>
      </c>
      <c r="R33" s="665" t="s">
        <v>14</v>
      </c>
      <c r="S33" s="666">
        <f t="shared" si="12"/>
        <v>100</v>
      </c>
      <c r="T33" s="665" t="s">
        <v>14</v>
      </c>
      <c r="U33" s="666">
        <f t="shared" si="13"/>
        <v>100</v>
      </c>
      <c r="V33" s="665" t="s">
        <v>14</v>
      </c>
      <c r="W33" s="666">
        <f t="shared" si="14"/>
        <v>100</v>
      </c>
      <c r="X33" s="1262"/>
      <c r="Y33" s="3383"/>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383"/>
      <c r="Q34" s="1260">
        <f t="shared" si="11"/>
        <v>111</v>
      </c>
      <c r="R34" s="665" t="s">
        <v>14</v>
      </c>
      <c r="S34" s="666">
        <f t="shared" si="12"/>
        <v>100</v>
      </c>
      <c r="T34" s="665" t="s">
        <v>14</v>
      </c>
      <c r="U34" s="666">
        <f t="shared" si="13"/>
        <v>100</v>
      </c>
      <c r="V34" s="665" t="s">
        <v>14</v>
      </c>
      <c r="W34" s="666">
        <f t="shared" si="14"/>
        <v>100</v>
      </c>
      <c r="X34" s="1262"/>
      <c r="Y34" s="3383"/>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383"/>
      <c r="Q35" s="529">
        <f t="shared" si="11"/>
        <v>111</v>
      </c>
      <c r="R35" s="667" t="s">
        <v>14</v>
      </c>
      <c r="S35" s="668">
        <f t="shared" si="12"/>
        <v>100</v>
      </c>
      <c r="T35" s="667" t="s">
        <v>14</v>
      </c>
      <c r="U35" s="668">
        <f t="shared" si="13"/>
        <v>100</v>
      </c>
      <c r="V35" s="667" t="s">
        <v>14</v>
      </c>
      <c r="W35" s="668">
        <f t="shared" si="14"/>
        <v>100</v>
      </c>
      <c r="X35" s="669"/>
      <c r="Y35" s="3383"/>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383"/>
      <c r="Q36" s="1260">
        <f t="shared" si="11"/>
        <v>111</v>
      </c>
      <c r="R36" s="665" t="s">
        <v>14</v>
      </c>
      <c r="S36" s="666">
        <f t="shared" si="12"/>
        <v>100</v>
      </c>
      <c r="T36" s="665" t="s">
        <v>14</v>
      </c>
      <c r="U36" s="666">
        <f t="shared" si="13"/>
        <v>100</v>
      </c>
      <c r="V36" s="665" t="s">
        <v>14</v>
      </c>
      <c r="W36" s="666">
        <f t="shared" si="14"/>
        <v>100</v>
      </c>
      <c r="X36" s="1262"/>
      <c r="Y36" s="3383"/>
      <c r="Z36" s="1261">
        <f t="shared" si="15"/>
        <v>111</v>
      </c>
      <c r="AA36" s="1261">
        <f t="shared" si="3"/>
        <v>1</v>
      </c>
      <c r="AB36" s="1261">
        <f t="shared" si="4"/>
        <v>1</v>
      </c>
      <c r="AC36" s="1261">
        <f t="shared" si="5"/>
        <v>1</v>
      </c>
    </row>
    <row r="37" spans="1:29" ht="15">
      <c r="A37" s="414" t="s">
        <v>1840</v>
      </c>
      <c r="B37" s="1818" t="s">
        <v>3351</v>
      </c>
      <c r="C37" s="1079" t="s">
        <v>0</v>
      </c>
      <c r="D37" s="416"/>
      <c r="E37" s="417"/>
      <c r="F37" s="418"/>
      <c r="G37" s="419"/>
      <c r="H37" s="420"/>
      <c r="I37" s="417"/>
      <c r="J37" s="420"/>
      <c r="K37" s="543"/>
      <c r="L37" s="2492"/>
      <c r="M37" s="2485"/>
      <c r="N37" s="2485"/>
      <c r="O37" s="2485"/>
      <c r="P37" s="3379" t="str">
        <f>A37</f>
        <v>成交单价</v>
      </c>
      <c r="Q37" s="3379"/>
      <c r="R37" s="3384">
        <f>E37</f>
        <v>0</v>
      </c>
      <c r="S37" s="3384"/>
      <c r="T37" s="3384">
        <f>G37</f>
        <v>0</v>
      </c>
      <c r="U37" s="3384"/>
      <c r="V37" s="3384">
        <f>I37</f>
        <v>0</v>
      </c>
      <c r="W37" s="3384"/>
      <c r="X37" s="383"/>
      <c r="Y37" s="671"/>
      <c r="Z37" s="383"/>
      <c r="AA37" s="383"/>
      <c r="AB37" s="383"/>
      <c r="AC37" s="383"/>
    </row>
    <row r="38" spans="1:29" ht="15.75" thickBot="1">
      <c r="A38" s="421" t="s">
        <v>1841</v>
      </c>
      <c r="B38" s="422" t="str">
        <f>B37</f>
        <v>元/平方米</v>
      </c>
      <c r="C38" s="1080" t="e">
        <f>R39</f>
        <v>#DIV/0!</v>
      </c>
      <c r="D38" s="2138" t="s">
        <v>2133</v>
      </c>
      <c r="E38" s="1081" t="e">
        <f>R38</f>
        <v>#DIV/0!</v>
      </c>
      <c r="F38" s="2139"/>
      <c r="G38" s="1080" t="e">
        <f>T38</f>
        <v>#DIV/0!</v>
      </c>
      <c r="H38" s="2139"/>
      <c r="I38" s="1081" t="e">
        <f>V38</f>
        <v>#DIV/0!</v>
      </c>
      <c r="J38" s="2139"/>
      <c r="K38" s="2141">
        <f>F38+H38+J38</f>
        <v>0</v>
      </c>
      <c r="L38" s="2492"/>
      <c r="M38" s="2485"/>
      <c r="N38" s="2485"/>
      <c r="O38" s="2485"/>
      <c r="P38" s="3379" t="str">
        <f>A38</f>
        <v>比较价值（元/平方米）</v>
      </c>
      <c r="Q38" s="3379"/>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92"/>
      <c r="M39" s="2485"/>
      <c r="N39" s="2485"/>
      <c r="O39" s="2485"/>
      <c r="P39" s="3373" t="str">
        <f>A39</f>
        <v>估价对象XX用房的比较价值（楼面单价，元/平方米）</v>
      </c>
      <c r="Q39" s="3374"/>
      <c r="R39" s="3462" t="e">
        <f>IF(F1="售价",ROUND(IF(D38="简单平均",AVERAGE(R38:W38),R38*F38+T38*H38+V38*J38),0),ROUND(IF(D38="简单平均",AVERAGE(R38:V38),R38*F38+T38*H38+V38*J38),1))</f>
        <v>#DIV/0!</v>
      </c>
      <c r="S39" s="3462"/>
      <c r="T39" s="3462"/>
      <c r="U39" s="3462"/>
      <c r="V39" s="3462"/>
      <c r="W39" s="3462"/>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1846</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5">
      <c r="A48" s="438" t="s">
        <v>1847</v>
      </c>
      <c r="B48" s="439"/>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5"/>
      <c r="Q48" s="2508"/>
      <c r="R48" s="2508"/>
      <c r="S48" s="2508"/>
      <c r="T48" s="2508"/>
      <c r="U48" s="2508"/>
      <c r="V48" s="2508"/>
      <c r="W48" s="2508"/>
      <c r="X48" s="2508"/>
      <c r="Y48" s="2508"/>
      <c r="Z48" s="2508"/>
      <c r="AA48" s="2508"/>
      <c r="AB48" s="2508"/>
      <c r="AC48" s="2508"/>
    </row>
    <row r="49" spans="1:29" s="102" customFormat="1" ht="15">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75" thickBot="1">
      <c r="A50" s="447" t="s">
        <v>1712</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5">
      <c r="A51" s="453" t="s">
        <v>1677</v>
      </c>
      <c r="B51" s="442"/>
      <c r="C51" s="454" t="s">
        <v>1772</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1715</v>
      </c>
      <c r="B53" s="458" t="s">
        <v>1681</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1684</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1686</v>
      </c>
      <c r="B63" s="458" t="s">
        <v>1722</v>
      </c>
      <c r="C63" s="502" t="s">
        <v>1717</v>
      </c>
      <c r="D63" s="502" t="s">
        <v>1718</v>
      </c>
      <c r="E63" s="502" t="s">
        <v>1719</v>
      </c>
      <c r="F63" s="502" t="s">
        <v>1720</v>
      </c>
      <c r="G63" s="502" t="s">
        <v>1721</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1723</v>
      </c>
      <c r="C65" s="507" t="s">
        <v>1717</v>
      </c>
      <c r="D65" s="507" t="s">
        <v>1718</v>
      </c>
      <c r="E65" s="507" t="s">
        <v>1719</v>
      </c>
      <c r="F65" s="507" t="s">
        <v>1720</v>
      </c>
      <c r="G65" s="507" t="s">
        <v>1721</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1809</v>
      </c>
      <c r="C67" s="579" t="s">
        <v>1795</v>
      </c>
      <c r="D67" s="579" t="s">
        <v>1796</v>
      </c>
      <c r="E67" s="579" t="s">
        <v>1797</v>
      </c>
      <c r="F67" s="579" t="s">
        <v>1798</v>
      </c>
      <c r="G67" s="579" t="s">
        <v>1799</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1729</v>
      </c>
      <c r="C69" s="507" t="s">
        <v>1717</v>
      </c>
      <c r="D69" s="507" t="s">
        <v>1718</v>
      </c>
      <c r="E69" s="507" t="s">
        <v>1719</v>
      </c>
      <c r="F69" s="507" t="s">
        <v>1720</v>
      </c>
      <c r="G69" s="507" t="s">
        <v>1721</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1848</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1690</v>
      </c>
      <c r="B79" s="458" t="s">
        <v>1849</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1850</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1736</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1852</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1853</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1854</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1855</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3331</v>
      </c>
      <c r="C1" s="1138" t="s">
        <v>1658</v>
      </c>
      <c r="D1" s="1139"/>
      <c r="E1" s="3129"/>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1458</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1459</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t="e">
        <f>IF(C2="——",C37,ROUND(B2*10000/D3,0))</f>
        <v>#DIV/0!</v>
      </c>
      <c r="C3" s="342" t="s">
        <v>1764</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1765</v>
      </c>
      <c r="B4" s="344"/>
      <c r="C4" s="3376" t="s">
        <v>1766</v>
      </c>
      <c r="D4" s="3388"/>
      <c r="E4" s="3389" t="s">
        <v>1767</v>
      </c>
      <c r="F4" s="3390"/>
      <c r="G4" s="3376" t="s">
        <v>1768</v>
      </c>
      <c r="H4" s="3388"/>
      <c r="I4" s="3376" t="s">
        <v>1769</v>
      </c>
      <c r="J4" s="3388"/>
      <c r="K4" s="535" t="s">
        <v>1770</v>
      </c>
      <c r="L4" s="2484"/>
      <c r="M4" s="2485"/>
      <c r="N4" s="2485"/>
      <c r="O4" s="2485"/>
      <c r="P4" s="3391" t="s">
        <v>1771</v>
      </c>
      <c r="Q4" s="3392"/>
      <c r="R4" s="3397" t="s">
        <v>1767</v>
      </c>
      <c r="S4" s="3398"/>
      <c r="T4" s="3397" t="s">
        <v>1768</v>
      </c>
      <c r="U4" s="3398"/>
      <c r="V4" s="3384" t="s">
        <v>1769</v>
      </c>
      <c r="W4" s="3384"/>
      <c r="X4" s="1262"/>
      <c r="Y4" s="3397" t="s">
        <v>1771</v>
      </c>
      <c r="Z4" s="3398"/>
      <c r="AA4" s="3385" t="s">
        <v>1767</v>
      </c>
      <c r="AB4" s="3386" t="s">
        <v>1768</v>
      </c>
      <c r="AC4" s="3385" t="s">
        <v>1769</v>
      </c>
    </row>
    <row r="5" spans="1:29" ht="15">
      <c r="A5" s="346"/>
      <c r="B5" s="347"/>
      <c r="C5" s="3405" t="s">
        <v>1669</v>
      </c>
      <c r="D5" s="3406"/>
      <c r="E5" s="3412" t="s">
        <v>1670</v>
      </c>
      <c r="F5" s="3413"/>
      <c r="G5" s="3405" t="s">
        <v>1671</v>
      </c>
      <c r="H5" s="3406"/>
      <c r="I5" s="3405" t="s">
        <v>1672</v>
      </c>
      <c r="J5" s="3406"/>
      <c r="K5" s="535"/>
      <c r="L5" s="2484"/>
      <c r="M5" s="2485"/>
      <c r="N5" s="2485"/>
      <c r="O5" s="2485"/>
      <c r="P5" s="3393"/>
      <c r="Q5" s="3394"/>
      <c r="R5" s="3399"/>
      <c r="S5" s="3400"/>
      <c r="T5" s="3399"/>
      <c r="U5" s="3400"/>
      <c r="V5" s="3384"/>
      <c r="W5" s="3384"/>
      <c r="X5" s="1262"/>
      <c r="Y5" s="3399"/>
      <c r="Z5" s="3400"/>
      <c r="AA5" s="3386"/>
      <c r="AB5" s="3386"/>
      <c r="AC5" s="3386"/>
    </row>
    <row r="6" spans="1:29" ht="15.75" thickBot="1">
      <c r="A6" s="348"/>
      <c r="B6" s="349"/>
      <c r="C6" s="3403" t="s">
        <v>1673</v>
      </c>
      <c r="D6" s="3404"/>
      <c r="E6" s="3410" t="s">
        <v>1673</v>
      </c>
      <c r="F6" s="3411"/>
      <c r="G6" s="3403" t="s">
        <v>1673</v>
      </c>
      <c r="H6" s="3404"/>
      <c r="I6" s="3403" t="s">
        <v>1673</v>
      </c>
      <c r="J6" s="3404"/>
      <c r="K6" s="535" t="s">
        <v>1674</v>
      </c>
      <c r="L6" s="2484"/>
      <c r="M6" s="2485"/>
      <c r="N6" s="2485"/>
      <c r="O6" s="2485"/>
      <c r="P6" s="3395"/>
      <c r="Q6" s="3396"/>
      <c r="R6" s="3399"/>
      <c r="S6" s="3400"/>
      <c r="T6" s="3401"/>
      <c r="U6" s="3402"/>
      <c r="V6" s="3384"/>
      <c r="W6" s="3384"/>
      <c r="X6" s="1262"/>
      <c r="Y6" s="3401"/>
      <c r="Z6" s="3402"/>
      <c r="AA6" s="3387"/>
      <c r="AB6" s="3387"/>
      <c r="AC6" s="3387"/>
    </row>
    <row r="7" spans="1:29" s="102" customFormat="1" ht="15.75" thickBot="1">
      <c r="A7" s="350" t="s">
        <v>1675</v>
      </c>
      <c r="B7" s="351"/>
      <c r="C7" s="352">
        <f>'数据-取费表'!B2</f>
        <v>45604</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07" t="s">
        <v>1676</v>
      </c>
      <c r="Q7" s="3409"/>
      <c r="R7" s="662" t="s">
        <v>14</v>
      </c>
      <c r="S7" s="663">
        <f t="shared" ref="S7:S14" si="0">F7</f>
        <v>0</v>
      </c>
      <c r="T7" s="662" t="s">
        <v>14</v>
      </c>
      <c r="U7" s="663">
        <f t="shared" ref="U7:U14" si="1">H7</f>
        <v>0</v>
      </c>
      <c r="V7" s="662" t="s">
        <v>14</v>
      </c>
      <c r="W7" s="663">
        <f t="shared" ref="W7:W14" si="2">J7</f>
        <v>0</v>
      </c>
      <c r="X7" s="664"/>
      <c r="Y7" s="3407" t="s">
        <v>1676</v>
      </c>
      <c r="Z7" s="3408"/>
      <c r="AA7" s="50" t="e">
        <f>D7/F7</f>
        <v>#DIV/0!</v>
      </c>
      <c r="AB7" s="50" t="e">
        <f>D7/H7</f>
        <v>#DIV/0!</v>
      </c>
      <c r="AC7" s="50" t="e">
        <f>D7/J7</f>
        <v>#DIV/0!</v>
      </c>
    </row>
    <row r="8" spans="1:29" s="102" customFormat="1" ht="15.75" thickBot="1">
      <c r="A8" s="350" t="s">
        <v>1677</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07" t="s">
        <v>1679</v>
      </c>
      <c r="Q8" s="3408"/>
      <c r="R8" s="662" t="s">
        <v>14</v>
      </c>
      <c r="S8" s="663">
        <f t="shared" si="0"/>
        <v>100</v>
      </c>
      <c r="T8" s="662" t="s">
        <v>14</v>
      </c>
      <c r="U8" s="663">
        <f t="shared" si="1"/>
        <v>100</v>
      </c>
      <c r="V8" s="662" t="s">
        <v>14</v>
      </c>
      <c r="W8" s="663">
        <f t="shared" si="2"/>
        <v>100</v>
      </c>
      <c r="X8" s="664"/>
      <c r="Y8" s="3407" t="s">
        <v>1679</v>
      </c>
      <c r="Z8" s="3408"/>
      <c r="AA8" s="50">
        <f t="shared" ref="AA8:AA34" si="3">D8/F8</f>
        <v>1</v>
      </c>
      <c r="AB8" s="50">
        <f t="shared" ref="AB8:AB34" si="4">D8/H8</f>
        <v>1</v>
      </c>
      <c r="AC8" s="50">
        <f t="shared" ref="AC8:AC34" si="5">D8/J8</f>
        <v>1</v>
      </c>
    </row>
    <row r="9" spans="1:29" s="102" customFormat="1">
      <c r="A9" s="357" t="s">
        <v>1680</v>
      </c>
      <c r="B9" s="60" t="s">
        <v>1681</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379" t="s">
        <v>1682</v>
      </c>
      <c r="Q9" s="528" t="str">
        <f t="shared" ref="Q9:Q14" si="6">B9</f>
        <v>用途</v>
      </c>
      <c r="R9" s="662" t="s">
        <v>14</v>
      </c>
      <c r="S9" s="663">
        <f t="shared" si="0"/>
        <v>100</v>
      </c>
      <c r="T9" s="662" t="s">
        <v>14</v>
      </c>
      <c r="U9" s="663">
        <f t="shared" si="1"/>
        <v>100</v>
      </c>
      <c r="V9" s="662" t="s">
        <v>14</v>
      </c>
      <c r="W9" s="663">
        <f t="shared" si="2"/>
        <v>100</v>
      </c>
      <c r="X9" s="664"/>
      <c r="Y9" s="3276" t="s">
        <v>1683</v>
      </c>
      <c r="Z9" s="50" t="str">
        <f t="shared" ref="Z9:Z14" si="7">Q9</f>
        <v>用途</v>
      </c>
      <c r="AA9" s="50">
        <f t="shared" si="3"/>
        <v>1</v>
      </c>
      <c r="AB9" s="50">
        <f t="shared" si="4"/>
        <v>1</v>
      </c>
      <c r="AC9" s="50">
        <f t="shared" si="5"/>
        <v>1</v>
      </c>
    </row>
    <row r="10" spans="1:29" s="364" customFormat="1" ht="27">
      <c r="A10" s="361"/>
      <c r="B10" s="362" t="s">
        <v>1684</v>
      </c>
      <c r="C10" s="3130"/>
      <c r="D10" s="117">
        <v>100</v>
      </c>
      <c r="E10" s="3130"/>
      <c r="F10" s="362">
        <f>SUMIF(53:53,E10,54:54)-SUMIF(53:53,C10,54:54)+100</f>
        <v>100</v>
      </c>
      <c r="G10" s="3130"/>
      <c r="H10" s="117">
        <f>SUMIF(53:53,G10,54:54)-SUMIF(53:53,C10,54:54)+100</f>
        <v>100</v>
      </c>
      <c r="I10" s="3130"/>
      <c r="J10" s="117">
        <f>SUMIF(53:53,I10,54:54)-SUMIF(53:53,C10,54:54)+100</f>
        <v>100</v>
      </c>
      <c r="K10" s="38"/>
      <c r="L10" s="2487"/>
      <c r="M10" s="2488"/>
      <c r="N10" s="2488"/>
      <c r="O10" s="2539"/>
      <c r="P10" s="3379"/>
      <c r="Q10" s="528" t="str">
        <f t="shared" si="6"/>
        <v>土地使用年限（年）</v>
      </c>
      <c r="R10" s="662" t="s">
        <v>14</v>
      </c>
      <c r="S10" s="663">
        <f t="shared" si="0"/>
        <v>100</v>
      </c>
      <c r="T10" s="662" t="s">
        <v>14</v>
      </c>
      <c r="U10" s="663">
        <f t="shared" si="1"/>
        <v>100</v>
      </c>
      <c r="V10" s="662" t="s">
        <v>14</v>
      </c>
      <c r="W10" s="663">
        <f t="shared" si="2"/>
        <v>100</v>
      </c>
      <c r="X10" s="664"/>
      <c r="Y10" s="3276"/>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379"/>
      <c r="Q11" s="528">
        <f t="shared" si="6"/>
        <v>111</v>
      </c>
      <c r="R11" s="662" t="s">
        <v>14</v>
      </c>
      <c r="S11" s="663">
        <f t="shared" si="0"/>
        <v>100</v>
      </c>
      <c r="T11" s="662" t="s">
        <v>14</v>
      </c>
      <c r="U11" s="663">
        <f t="shared" si="1"/>
        <v>100</v>
      </c>
      <c r="V11" s="662" t="s">
        <v>14</v>
      </c>
      <c r="W11" s="663">
        <f t="shared" si="2"/>
        <v>100</v>
      </c>
      <c r="X11" s="664"/>
      <c r="Y11" s="3276"/>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379"/>
      <c r="Q12" s="528">
        <f t="shared" si="6"/>
        <v>111</v>
      </c>
      <c r="R12" s="662" t="s">
        <v>14</v>
      </c>
      <c r="S12" s="663">
        <f t="shared" si="0"/>
        <v>100</v>
      </c>
      <c r="T12" s="662" t="s">
        <v>14</v>
      </c>
      <c r="U12" s="663">
        <f t="shared" si="1"/>
        <v>100</v>
      </c>
      <c r="V12" s="662" t="s">
        <v>14</v>
      </c>
      <c r="W12" s="663">
        <f t="shared" si="2"/>
        <v>100</v>
      </c>
      <c r="X12" s="664"/>
      <c r="Y12" s="3276"/>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379"/>
      <c r="Q13" s="528">
        <f t="shared" si="6"/>
        <v>111</v>
      </c>
      <c r="R13" s="662" t="s">
        <v>14</v>
      </c>
      <c r="S13" s="663">
        <f t="shared" si="0"/>
        <v>100</v>
      </c>
      <c r="T13" s="662" t="s">
        <v>14</v>
      </c>
      <c r="U13" s="663">
        <f t="shared" si="1"/>
        <v>100</v>
      </c>
      <c r="V13" s="662" t="s">
        <v>14</v>
      </c>
      <c r="W13" s="663">
        <f t="shared" si="2"/>
        <v>100</v>
      </c>
      <c r="X13" s="664"/>
      <c r="Y13" s="3276"/>
      <c r="Z13" s="50">
        <f t="shared" si="7"/>
        <v>111</v>
      </c>
      <c r="AA13" s="50">
        <f t="shared" si="3"/>
        <v>1</v>
      </c>
      <c r="AB13" s="50">
        <f t="shared" si="4"/>
        <v>1</v>
      </c>
      <c r="AC13" s="50">
        <f t="shared" si="5"/>
        <v>1</v>
      </c>
    </row>
    <row r="14" spans="1:29" ht="85.5">
      <c r="A14" s="377" t="s">
        <v>1686</v>
      </c>
      <c r="B14" s="58" t="s">
        <v>1829</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380" t="s">
        <v>1687</v>
      </c>
      <c r="Q14" s="1260" t="str">
        <f t="shared" si="6"/>
        <v>交通便捷度</v>
      </c>
      <c r="R14" s="665" t="s">
        <v>14</v>
      </c>
      <c r="S14" s="666">
        <f t="shared" si="0"/>
        <v>100</v>
      </c>
      <c r="T14" s="665" t="s">
        <v>14</v>
      </c>
      <c r="U14" s="666">
        <f t="shared" si="1"/>
        <v>100</v>
      </c>
      <c r="V14" s="665" t="s">
        <v>14</v>
      </c>
      <c r="W14" s="666">
        <f t="shared" si="2"/>
        <v>100</v>
      </c>
      <c r="X14" s="1262"/>
      <c r="Y14" s="3380" t="s">
        <v>1687</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381"/>
      <c r="Q15" s="1260"/>
      <c r="R15" s="665"/>
      <c r="S15" s="666"/>
      <c r="T15" s="665"/>
      <c r="U15" s="666"/>
      <c r="V15" s="665"/>
      <c r="W15" s="666"/>
      <c r="X15" s="1262"/>
      <c r="Y15" s="3381"/>
      <c r="Z15" s="1261"/>
      <c r="AA15" s="1261">
        <v>1</v>
      </c>
      <c r="AB15" s="1261">
        <v>1</v>
      </c>
      <c r="AC15" s="1261">
        <v>1</v>
      </c>
    </row>
    <row r="16" spans="1:29" ht="42.75">
      <c r="A16" s="365"/>
      <c r="B16" s="388" t="s">
        <v>1808</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381"/>
      <c r="Q16" s="1260" t="str">
        <f>B16</f>
        <v>公共配套设施</v>
      </c>
      <c r="R16" s="665" t="s">
        <v>14</v>
      </c>
      <c r="S16" s="666">
        <f>F16</f>
        <v>100</v>
      </c>
      <c r="T16" s="665" t="s">
        <v>14</v>
      </c>
      <c r="U16" s="666">
        <f>H16</f>
        <v>100</v>
      </c>
      <c r="V16" s="665" t="s">
        <v>14</v>
      </c>
      <c r="W16" s="666">
        <f>J16</f>
        <v>100</v>
      </c>
      <c r="X16" s="1262"/>
      <c r="Y16" s="3381"/>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381"/>
      <c r="Q17" s="1260"/>
      <c r="R17" s="665"/>
      <c r="S17" s="666"/>
      <c r="T17" s="665"/>
      <c r="U17" s="666"/>
      <c r="V17" s="665"/>
      <c r="W17" s="666"/>
      <c r="X17" s="1262"/>
      <c r="Y17" s="3381"/>
      <c r="Z17" s="1261"/>
      <c r="AA17" s="1261">
        <v>1</v>
      </c>
      <c r="AB17" s="1261">
        <v>1</v>
      </c>
      <c r="AC17" s="1261">
        <v>1</v>
      </c>
    </row>
    <row r="18" spans="1:29" ht="28.5">
      <c r="A18" s="365"/>
      <c r="B18" s="584" t="s">
        <v>1809</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381"/>
      <c r="Q18" s="1260" t="str">
        <f>B18</f>
        <v>基础设施水平</v>
      </c>
      <c r="R18" s="665" t="s">
        <v>14</v>
      </c>
      <c r="S18" s="666">
        <f>F18</f>
        <v>100</v>
      </c>
      <c r="T18" s="665" t="s">
        <v>14</v>
      </c>
      <c r="U18" s="666">
        <f>H18</f>
        <v>100</v>
      </c>
      <c r="V18" s="665" t="s">
        <v>14</v>
      </c>
      <c r="W18" s="666">
        <f>J18</f>
        <v>100</v>
      </c>
      <c r="X18" s="1262"/>
      <c r="Y18" s="3381"/>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381"/>
      <c r="Q19" s="1260"/>
      <c r="R19" s="665"/>
      <c r="S19" s="666"/>
      <c r="T19" s="665"/>
      <c r="U19" s="666"/>
      <c r="V19" s="665"/>
      <c r="W19" s="666"/>
      <c r="X19" s="1262"/>
      <c r="Y19" s="3381"/>
      <c r="Z19" s="1261"/>
      <c r="AA19" s="1261">
        <v>1</v>
      </c>
      <c r="AB19" s="1261">
        <v>1</v>
      </c>
      <c r="AC19" s="1261">
        <v>1</v>
      </c>
    </row>
    <row r="20" spans="1:29" ht="57">
      <c r="A20" s="365"/>
      <c r="B20" s="388" t="s">
        <v>1830</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381"/>
      <c r="Q20" s="1260" t="str">
        <f>B20</f>
        <v>自然及人文环境</v>
      </c>
      <c r="R20" s="665" t="s">
        <v>14</v>
      </c>
      <c r="S20" s="666">
        <f>F20</f>
        <v>100</v>
      </c>
      <c r="T20" s="665" t="s">
        <v>14</v>
      </c>
      <c r="U20" s="666">
        <f>H20</f>
        <v>100</v>
      </c>
      <c r="V20" s="665" t="s">
        <v>14</v>
      </c>
      <c r="W20" s="666">
        <f>J20</f>
        <v>100</v>
      </c>
      <c r="X20" s="1262"/>
      <c r="Y20" s="3381"/>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381"/>
      <c r="Q21" s="1260"/>
      <c r="R21" s="665"/>
      <c r="S21" s="666"/>
      <c r="T21" s="665"/>
      <c r="U21" s="666"/>
      <c r="V21" s="665"/>
      <c r="W21" s="666"/>
      <c r="X21" s="1262"/>
      <c r="Y21" s="3381"/>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381"/>
      <c r="Q22" s="1260" t="str">
        <f>B22</f>
        <v>楼层</v>
      </c>
      <c r="R22" s="665" t="s">
        <v>14</v>
      </c>
      <c r="S22" s="666">
        <f>F22</f>
        <v>100</v>
      </c>
      <c r="T22" s="665" t="s">
        <v>14</v>
      </c>
      <c r="U22" s="666">
        <f>H22</f>
        <v>100</v>
      </c>
      <c r="V22" s="665" t="s">
        <v>14</v>
      </c>
      <c r="W22" s="666">
        <f>J22</f>
        <v>100</v>
      </c>
      <c r="X22" s="1262"/>
      <c r="Y22" s="3381"/>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381"/>
      <c r="Q23" s="1260">
        <f>B23</f>
        <v>111</v>
      </c>
      <c r="R23" s="665" t="s">
        <v>14</v>
      </c>
      <c r="S23" s="666">
        <f>F23</f>
        <v>100</v>
      </c>
      <c r="T23" s="665" t="s">
        <v>14</v>
      </c>
      <c r="U23" s="666">
        <f>H23</f>
        <v>100</v>
      </c>
      <c r="V23" s="665" t="s">
        <v>14</v>
      </c>
      <c r="W23" s="666">
        <f>J23</f>
        <v>100</v>
      </c>
      <c r="X23" s="1262"/>
      <c r="Y23" s="3381"/>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381"/>
      <c r="Q24" s="1260">
        <f t="shared" ref="Q24:Q34" si="11">B24</f>
        <v>111</v>
      </c>
      <c r="R24" s="665" t="s">
        <v>14</v>
      </c>
      <c r="S24" s="666">
        <f>F24</f>
        <v>100</v>
      </c>
      <c r="T24" s="665" t="s">
        <v>14</v>
      </c>
      <c r="U24" s="666">
        <f>H24</f>
        <v>100</v>
      </c>
      <c r="V24" s="665" t="s">
        <v>14</v>
      </c>
      <c r="W24" s="666">
        <f>J24</f>
        <v>100</v>
      </c>
      <c r="X24" s="1262"/>
      <c r="Y24" s="3381"/>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381"/>
      <c r="Q25" s="528">
        <f t="shared" si="11"/>
        <v>111</v>
      </c>
      <c r="R25" s="662" t="s">
        <v>14</v>
      </c>
      <c r="S25" s="663">
        <f>F25</f>
        <v>100</v>
      </c>
      <c r="T25" s="662" t="s">
        <v>14</v>
      </c>
      <c r="U25" s="663">
        <f>H25</f>
        <v>100</v>
      </c>
      <c r="V25" s="662" t="s">
        <v>14</v>
      </c>
      <c r="W25" s="663">
        <f>J25</f>
        <v>100</v>
      </c>
      <c r="X25" s="664"/>
      <c r="Y25" s="3381"/>
      <c r="Z25" s="50">
        <f>Q25</f>
        <v>111</v>
      </c>
      <c r="AA25" s="1261">
        <f>D25/F25</f>
        <v>1</v>
      </c>
      <c r="AB25" s="1261">
        <f>D25/H25</f>
        <v>1</v>
      </c>
      <c r="AC25" s="1261">
        <f>D25/J25</f>
        <v>1</v>
      </c>
    </row>
    <row r="26" spans="1:29" ht="28.5">
      <c r="A26" s="402" t="s">
        <v>1690</v>
      </c>
      <c r="B26" s="60" t="s">
        <v>1834</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382" t="s">
        <v>1692</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383" t="s">
        <v>1692</v>
      </c>
      <c r="Z26" s="1261" t="str">
        <f t="shared" ref="Z26:Z34" si="15">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383"/>
      <c r="Q27" s="529" t="str">
        <f t="shared" si="11"/>
        <v>成新率</v>
      </c>
      <c r="R27" s="667" t="s">
        <v>14</v>
      </c>
      <c r="S27" s="668" t="e">
        <f t="shared" si="12"/>
        <v>#N/A</v>
      </c>
      <c r="T27" s="667" t="s">
        <v>14</v>
      </c>
      <c r="U27" s="668" t="e">
        <f t="shared" si="13"/>
        <v>#N/A</v>
      </c>
      <c r="V27" s="667" t="s">
        <v>14</v>
      </c>
      <c r="W27" s="668" t="e">
        <f t="shared" si="14"/>
        <v>#N/A</v>
      </c>
      <c r="X27" s="669"/>
      <c r="Y27" s="3383"/>
      <c r="Z27" s="670" t="str">
        <f t="shared" si="15"/>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383"/>
      <c r="Q28" s="1260" t="str">
        <f t="shared" si="11"/>
        <v>物业等级</v>
      </c>
      <c r="R28" s="665" t="s">
        <v>14</v>
      </c>
      <c r="S28" s="666">
        <f t="shared" si="12"/>
        <v>100</v>
      </c>
      <c r="T28" s="665" t="s">
        <v>14</v>
      </c>
      <c r="U28" s="666">
        <f t="shared" si="13"/>
        <v>100</v>
      </c>
      <c r="V28" s="665" t="s">
        <v>14</v>
      </c>
      <c r="W28" s="666">
        <f t="shared" si="14"/>
        <v>100</v>
      </c>
      <c r="X28" s="1262"/>
      <c r="Y28" s="3383"/>
      <c r="Z28" s="1261" t="str">
        <f t="shared" si="15"/>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383"/>
      <c r="Q29" s="1260" t="str">
        <f t="shared" si="11"/>
        <v>有无电梯</v>
      </c>
      <c r="R29" s="665" t="s">
        <v>14</v>
      </c>
      <c r="S29" s="666">
        <f t="shared" si="12"/>
        <v>100</v>
      </c>
      <c r="T29" s="665" t="s">
        <v>14</v>
      </c>
      <c r="U29" s="666">
        <f t="shared" si="13"/>
        <v>100</v>
      </c>
      <c r="V29" s="665" t="s">
        <v>14</v>
      </c>
      <c r="W29" s="666">
        <f t="shared" si="14"/>
        <v>100</v>
      </c>
      <c r="X29" s="1262"/>
      <c r="Y29" s="3383"/>
      <c r="Z29" s="1261" t="str">
        <f t="shared" si="15"/>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383"/>
      <c r="Q30" s="1260" t="str">
        <f t="shared" si="11"/>
        <v>建筑面积</v>
      </c>
      <c r="R30" s="665" t="s">
        <v>14</v>
      </c>
      <c r="S30" s="666" t="e">
        <f t="shared" si="12"/>
        <v>#N/A</v>
      </c>
      <c r="T30" s="665" t="s">
        <v>14</v>
      </c>
      <c r="U30" s="666" t="e">
        <f t="shared" si="13"/>
        <v>#N/A</v>
      </c>
      <c r="V30" s="665" t="s">
        <v>14</v>
      </c>
      <c r="W30" s="666" t="e">
        <f t="shared" si="14"/>
        <v>#N/A</v>
      </c>
      <c r="X30" s="1262"/>
      <c r="Y30" s="3383"/>
      <c r="Z30" s="1261" t="str">
        <f t="shared" si="15"/>
        <v>建筑面积</v>
      </c>
      <c r="AA30" s="1261" t="e">
        <f t="shared" si="3"/>
        <v>#N/A</v>
      </c>
      <c r="AB30" s="1261" t="e">
        <f t="shared" si="4"/>
        <v>#N/A</v>
      </c>
      <c r="AC30" s="1261" t="e">
        <f t="shared" si="5"/>
        <v>#N/A</v>
      </c>
    </row>
    <row r="31" spans="1:29" s="102"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383"/>
      <c r="Q31" s="528" t="str">
        <f t="shared" si="11"/>
        <v>是否封闭</v>
      </c>
      <c r="R31" s="662" t="s">
        <v>14</v>
      </c>
      <c r="S31" s="663">
        <f t="shared" si="12"/>
        <v>100</v>
      </c>
      <c r="T31" s="662" t="s">
        <v>14</v>
      </c>
      <c r="U31" s="663">
        <f t="shared" si="13"/>
        <v>100</v>
      </c>
      <c r="V31" s="662" t="s">
        <v>14</v>
      </c>
      <c r="W31" s="663">
        <f t="shared" si="14"/>
        <v>100</v>
      </c>
      <c r="X31" s="664"/>
      <c r="Y31" s="3383"/>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383" t="s">
        <v>1692</v>
      </c>
      <c r="Q32" s="1260">
        <f t="shared" si="11"/>
        <v>111</v>
      </c>
      <c r="R32" s="665" t="s">
        <v>14</v>
      </c>
      <c r="S32" s="666">
        <f t="shared" si="12"/>
        <v>100</v>
      </c>
      <c r="T32" s="665" t="s">
        <v>14</v>
      </c>
      <c r="U32" s="666">
        <f t="shared" si="13"/>
        <v>100</v>
      </c>
      <c r="V32" s="665" t="s">
        <v>14</v>
      </c>
      <c r="W32" s="666">
        <f t="shared" si="14"/>
        <v>100</v>
      </c>
      <c r="X32" s="1262"/>
      <c r="Y32" s="3383" t="s">
        <v>1692</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383"/>
      <c r="Q33" s="1260">
        <f t="shared" si="11"/>
        <v>111</v>
      </c>
      <c r="R33" s="665" t="s">
        <v>14</v>
      </c>
      <c r="S33" s="666">
        <f t="shared" si="12"/>
        <v>100</v>
      </c>
      <c r="T33" s="665" t="s">
        <v>14</v>
      </c>
      <c r="U33" s="666">
        <f t="shared" si="13"/>
        <v>100</v>
      </c>
      <c r="V33" s="665" t="s">
        <v>14</v>
      </c>
      <c r="W33" s="666">
        <f t="shared" si="14"/>
        <v>100</v>
      </c>
      <c r="X33" s="1262"/>
      <c r="Y33" s="3383"/>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383"/>
      <c r="Q34" s="1260">
        <f t="shared" si="11"/>
        <v>111</v>
      </c>
      <c r="R34" s="665" t="s">
        <v>14</v>
      </c>
      <c r="S34" s="666">
        <f t="shared" si="12"/>
        <v>100</v>
      </c>
      <c r="T34" s="665" t="s">
        <v>14</v>
      </c>
      <c r="U34" s="666">
        <f t="shared" si="13"/>
        <v>100</v>
      </c>
      <c r="V34" s="665" t="s">
        <v>14</v>
      </c>
      <c r="W34" s="666">
        <f t="shared" si="14"/>
        <v>100</v>
      </c>
      <c r="X34" s="1262"/>
      <c r="Y34" s="3383"/>
      <c r="Z34" s="1261">
        <f t="shared" si="15"/>
        <v>111</v>
      </c>
      <c r="AA34" s="1261">
        <f t="shared" si="3"/>
        <v>1</v>
      </c>
      <c r="AB34" s="1261">
        <f t="shared" si="4"/>
        <v>1</v>
      </c>
      <c r="AC34" s="1261">
        <f t="shared" si="5"/>
        <v>1</v>
      </c>
    </row>
    <row r="35" spans="1:30" ht="15">
      <c r="A35" s="414" t="s">
        <v>1704</v>
      </c>
      <c r="B35" s="415"/>
      <c r="C35" s="1079" t="s">
        <v>0</v>
      </c>
      <c r="D35" s="416"/>
      <c r="E35" s="417"/>
      <c r="F35" s="418"/>
      <c r="G35" s="419"/>
      <c r="H35" s="420"/>
      <c r="I35" s="417"/>
      <c r="J35" s="420"/>
      <c r="K35" s="672"/>
      <c r="L35" s="2492"/>
      <c r="M35" s="2485"/>
      <c r="N35" s="2485"/>
      <c r="O35" s="2485"/>
      <c r="P35" s="3379" t="str">
        <f>A35</f>
        <v>成交单价（元/平方米）</v>
      </c>
      <c r="Q35" s="3379"/>
      <c r="R35" s="3384">
        <f>E35</f>
        <v>0</v>
      </c>
      <c r="S35" s="3384"/>
      <c r="T35" s="3384">
        <f>G35</f>
        <v>0</v>
      </c>
      <c r="U35" s="3384"/>
      <c r="V35" s="3384">
        <f>I35</f>
        <v>0</v>
      </c>
      <c r="W35" s="3384"/>
      <c r="X35" s="383"/>
      <c r="Y35" s="671"/>
      <c r="Z35" s="383"/>
      <c r="AA35" s="383"/>
      <c r="AB35" s="383"/>
      <c r="AC35" s="383"/>
    </row>
    <row r="36" spans="1:30" ht="15.75" thickBot="1">
      <c r="A36" s="421" t="s">
        <v>1789</v>
      </c>
      <c r="B36" s="422"/>
      <c r="C36" s="1080" t="e">
        <f>R37</f>
        <v>#DIV/0!</v>
      </c>
      <c r="D36" s="2138" t="s">
        <v>2133</v>
      </c>
      <c r="E36" s="1081" t="e">
        <f>R36</f>
        <v>#DIV/0!</v>
      </c>
      <c r="F36" s="2139"/>
      <c r="G36" s="1080" t="e">
        <f>T36</f>
        <v>#DIV/0!</v>
      </c>
      <c r="H36" s="2139"/>
      <c r="I36" s="1081" t="e">
        <f>V36</f>
        <v>#DIV/0!</v>
      </c>
      <c r="J36" s="2139"/>
      <c r="K36" s="2141">
        <f>F36+H36+J36</f>
        <v>0</v>
      </c>
      <c r="L36" s="2492"/>
      <c r="M36" s="2485"/>
      <c r="N36" s="2485"/>
      <c r="O36" s="2485"/>
      <c r="P36" s="3379" t="str">
        <f>A36</f>
        <v>比较价值（元/平方米）</v>
      </c>
      <c r="Q36" s="3379"/>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92"/>
      <c r="M37" s="2485"/>
      <c r="N37" s="2485"/>
      <c r="O37" s="2485"/>
      <c r="P37" s="3373" t="str">
        <f>A37</f>
        <v>估价对象XX用房的比较价值（楼面单价，元/平方米）</v>
      </c>
      <c r="Q37" s="3374"/>
      <c r="R37" s="3462" t="e">
        <f>IF(F1="售价",ROUND(IF(D36="简单平均",AVERAGE(R36:W36),R36*F36+T36*H36+V36*J36),0),ROUND(IF(D36="简单平均",AVERAGE(R36:V36),R36*F36+T36*H36+V36*J36),1))</f>
        <v>#DIV/0!</v>
      </c>
      <c r="S37" s="3462"/>
      <c r="T37" s="3462"/>
      <c r="U37" s="3462"/>
      <c r="V37" s="3462"/>
      <c r="W37" s="3462"/>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1794</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1675</v>
      </c>
      <c r="B46" s="439"/>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75" thickBot="1">
      <c r="A48" s="447" t="s">
        <v>1712</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5">
      <c r="A49" s="453" t="s">
        <v>1677</v>
      </c>
      <c r="B49" s="442"/>
      <c r="C49" s="454" t="s">
        <v>1772</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1715</v>
      </c>
      <c r="B51" s="458" t="s">
        <v>1681</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1684</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1686</v>
      </c>
      <c r="B61" s="458" t="s">
        <v>1722</v>
      </c>
      <c r="C61" s="502" t="s">
        <v>1717</v>
      </c>
      <c r="D61" s="502" t="s">
        <v>1718</v>
      </c>
      <c r="E61" s="502" t="s">
        <v>1719</v>
      </c>
      <c r="F61" s="502" t="s">
        <v>1720</v>
      </c>
      <c r="G61" s="502" t="s">
        <v>1721</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1859</v>
      </c>
      <c r="C63" s="507" t="s">
        <v>1717</v>
      </c>
      <c r="D63" s="507" t="s">
        <v>1718</v>
      </c>
      <c r="E63" s="507" t="s">
        <v>1719</v>
      </c>
      <c r="F63" s="507" t="s">
        <v>1720</v>
      </c>
      <c r="G63" s="507" t="s">
        <v>1721</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1809</v>
      </c>
      <c r="C65" s="579" t="s">
        <v>1795</v>
      </c>
      <c r="D65" s="579" t="s">
        <v>1796</v>
      </c>
      <c r="E65" s="579" t="s">
        <v>1797</v>
      </c>
      <c r="F65" s="579" t="s">
        <v>1798</v>
      </c>
      <c r="G65" s="579" t="s">
        <v>1799</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1729</v>
      </c>
      <c r="C67" s="507" t="s">
        <v>1717</v>
      </c>
      <c r="D67" s="507" t="s">
        <v>1718</v>
      </c>
      <c r="E67" s="507" t="s">
        <v>1719</v>
      </c>
      <c r="F67" s="507" t="s">
        <v>1720</v>
      </c>
      <c r="G67" s="507" t="s">
        <v>1721</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1848</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1690</v>
      </c>
      <c r="B77" s="458" t="s">
        <v>1736</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1852</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1860</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1861</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1862</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1913</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1458</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1460</v>
      </c>
      <c r="B3" s="534" t="e">
        <f>ROUND(IF(D3="",B2*10000/'数据-汇总表'!E3,B2*10000/D3),0)</f>
        <v>#DIV/0!</v>
      </c>
      <c r="C3" s="193" t="s">
        <v>1865</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1765</v>
      </c>
      <c r="B4" s="344"/>
      <c r="C4" s="3376" t="s">
        <v>1766</v>
      </c>
      <c r="D4" s="3388"/>
      <c r="E4" s="3389" t="s">
        <v>1767</v>
      </c>
      <c r="F4" s="3390"/>
      <c r="G4" s="3376" t="s">
        <v>1768</v>
      </c>
      <c r="H4" s="3388"/>
      <c r="I4" s="3376" t="s">
        <v>1769</v>
      </c>
      <c r="J4" s="3388"/>
      <c r="K4" s="535" t="s">
        <v>1770</v>
      </c>
      <c r="L4" s="2484"/>
      <c r="M4" s="2485"/>
      <c r="N4" s="2485"/>
      <c r="O4" s="2485"/>
      <c r="P4" s="3391" t="s">
        <v>1771</v>
      </c>
      <c r="Q4" s="3392"/>
      <c r="R4" s="3397" t="s">
        <v>1767</v>
      </c>
      <c r="S4" s="3398"/>
      <c r="T4" s="3397" t="s">
        <v>1768</v>
      </c>
      <c r="U4" s="3398"/>
      <c r="V4" s="3384" t="s">
        <v>1769</v>
      </c>
      <c r="W4" s="3384"/>
      <c r="X4" s="1262"/>
      <c r="Y4" s="3397" t="s">
        <v>1771</v>
      </c>
      <c r="Z4" s="3398"/>
      <c r="AA4" s="3385" t="s">
        <v>1767</v>
      </c>
      <c r="AB4" s="3386" t="s">
        <v>1768</v>
      </c>
      <c r="AC4" s="3385" t="s">
        <v>1769</v>
      </c>
    </row>
    <row r="5" spans="1:29" ht="15">
      <c r="A5" s="346"/>
      <c r="B5" s="347"/>
      <c r="C5" s="3405" t="s">
        <v>1669</v>
      </c>
      <c r="D5" s="3406"/>
      <c r="E5" s="3412" t="s">
        <v>1670</v>
      </c>
      <c r="F5" s="3413"/>
      <c r="G5" s="3405" t="s">
        <v>1671</v>
      </c>
      <c r="H5" s="3406"/>
      <c r="I5" s="3405" t="s">
        <v>1672</v>
      </c>
      <c r="J5" s="3406"/>
      <c r="K5" s="535"/>
      <c r="L5" s="2484"/>
      <c r="M5" s="2485"/>
      <c r="N5" s="2485"/>
      <c r="O5" s="2485"/>
      <c r="P5" s="3393"/>
      <c r="Q5" s="3394"/>
      <c r="R5" s="3399"/>
      <c r="S5" s="3400"/>
      <c r="T5" s="3399"/>
      <c r="U5" s="3400"/>
      <c r="V5" s="3384"/>
      <c r="W5" s="3384"/>
      <c r="X5" s="1262"/>
      <c r="Y5" s="3399"/>
      <c r="Z5" s="3400"/>
      <c r="AA5" s="3386"/>
      <c r="AB5" s="3386"/>
      <c r="AC5" s="3386"/>
    </row>
    <row r="6" spans="1:29" ht="15.75" thickBot="1">
      <c r="A6" s="348"/>
      <c r="B6" s="349"/>
      <c r="C6" s="3463" t="s">
        <v>1914</v>
      </c>
      <c r="D6" s="3464"/>
      <c r="E6" s="3465" t="s">
        <v>1914</v>
      </c>
      <c r="F6" s="3466"/>
      <c r="G6" s="3463" t="s">
        <v>1914</v>
      </c>
      <c r="H6" s="3464"/>
      <c r="I6" s="3463" t="s">
        <v>1914</v>
      </c>
      <c r="J6" s="3464"/>
      <c r="K6" s="535" t="s">
        <v>1674</v>
      </c>
      <c r="L6" s="2484"/>
      <c r="M6" s="2485"/>
      <c r="N6" s="2485"/>
      <c r="O6" s="2485"/>
      <c r="P6" s="3395"/>
      <c r="Q6" s="3396"/>
      <c r="R6" s="3399"/>
      <c r="S6" s="3400"/>
      <c r="T6" s="3401"/>
      <c r="U6" s="3402"/>
      <c r="V6" s="3384"/>
      <c r="W6" s="3384"/>
      <c r="X6" s="1262"/>
      <c r="Y6" s="3401"/>
      <c r="Z6" s="3402"/>
      <c r="AA6" s="3387"/>
      <c r="AB6" s="3387"/>
      <c r="AC6" s="3387"/>
    </row>
    <row r="7" spans="1:29" s="102" customFormat="1" ht="15.75" thickBot="1">
      <c r="A7" s="350" t="s">
        <v>1675</v>
      </c>
      <c r="B7" s="351"/>
      <c r="C7" s="352">
        <f>'数据-取费表'!B2</f>
        <v>45604</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07" t="s">
        <v>1676</v>
      </c>
      <c r="Q7" s="3409"/>
      <c r="R7" s="662" t="s">
        <v>14</v>
      </c>
      <c r="S7" s="663">
        <f t="shared" ref="S7:S15" si="0">F7</f>
        <v>0</v>
      </c>
      <c r="T7" s="662" t="s">
        <v>14</v>
      </c>
      <c r="U7" s="663">
        <f t="shared" ref="U7:U15" si="1">H7</f>
        <v>0</v>
      </c>
      <c r="V7" s="662" t="s">
        <v>14</v>
      </c>
      <c r="W7" s="663">
        <f t="shared" ref="W7:W15" si="2">J7</f>
        <v>0</v>
      </c>
      <c r="X7" s="664"/>
      <c r="Y7" s="3407" t="s">
        <v>1676</v>
      </c>
      <c r="Z7" s="3408"/>
      <c r="AA7" s="50" t="e">
        <f>D7/F7</f>
        <v>#DIV/0!</v>
      </c>
      <c r="AB7" s="50" t="e">
        <f>D7/H7</f>
        <v>#DIV/0!</v>
      </c>
      <c r="AC7" s="50" t="e">
        <f>D7/J7</f>
        <v>#DIV/0!</v>
      </c>
    </row>
    <row r="8" spans="1:29" s="102" customFormat="1" ht="15.75" thickBot="1">
      <c r="A8" s="350" t="s">
        <v>1677</v>
      </c>
      <c r="B8" s="351"/>
      <c r="C8" s="356" t="s">
        <v>1678</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07" t="s">
        <v>1679</v>
      </c>
      <c r="Q8" s="3408"/>
      <c r="R8" s="662" t="s">
        <v>14</v>
      </c>
      <c r="S8" s="663">
        <f t="shared" si="0"/>
        <v>0</v>
      </c>
      <c r="T8" s="662" t="s">
        <v>14</v>
      </c>
      <c r="U8" s="663">
        <f t="shared" si="1"/>
        <v>0</v>
      </c>
      <c r="V8" s="662" t="s">
        <v>14</v>
      </c>
      <c r="W8" s="663">
        <f t="shared" si="2"/>
        <v>0</v>
      </c>
      <c r="X8" s="664"/>
      <c r="Y8" s="3407" t="s">
        <v>1679</v>
      </c>
      <c r="Z8" s="3408"/>
      <c r="AA8" s="50" t="e">
        <f t="shared" ref="AA8:AA40" si="3">D8/F8</f>
        <v>#DIV/0!</v>
      </c>
      <c r="AB8" s="50" t="e">
        <f t="shared" ref="AB8:AB40" si="4">D8/H8</f>
        <v>#DIV/0!</v>
      </c>
      <c r="AC8" s="50" t="e">
        <f t="shared" ref="AC8:AC40" si="5">D8/J8</f>
        <v>#DIV/0!</v>
      </c>
    </row>
    <row r="9" spans="1:29" s="102" customFormat="1">
      <c r="A9" s="357" t="s">
        <v>1680</v>
      </c>
      <c r="B9" s="60" t="s">
        <v>1681</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379" t="s">
        <v>1682</v>
      </c>
      <c r="Q9" s="528" t="str">
        <f t="shared" ref="Q9:Q15" si="6">B9</f>
        <v>用途</v>
      </c>
      <c r="R9" s="662" t="s">
        <v>14</v>
      </c>
      <c r="S9" s="663">
        <f t="shared" si="0"/>
        <v>100</v>
      </c>
      <c r="T9" s="662" t="s">
        <v>14</v>
      </c>
      <c r="U9" s="663">
        <f t="shared" si="1"/>
        <v>100</v>
      </c>
      <c r="V9" s="662" t="s">
        <v>14</v>
      </c>
      <c r="W9" s="663">
        <f t="shared" si="2"/>
        <v>100</v>
      </c>
      <c r="X9" s="664"/>
      <c r="Y9" s="3276" t="s">
        <v>1683</v>
      </c>
      <c r="Z9" s="50" t="str">
        <f t="shared" ref="Z9:Z15" si="7">Q9</f>
        <v>用途</v>
      </c>
      <c r="AA9" s="50">
        <f t="shared" si="3"/>
        <v>1</v>
      </c>
      <c r="AB9" s="50">
        <f t="shared" si="4"/>
        <v>1</v>
      </c>
      <c r="AC9" s="50">
        <f t="shared" si="5"/>
        <v>1</v>
      </c>
    </row>
    <row r="10" spans="1:29" s="364" customFormat="1" ht="27">
      <c r="A10" s="361"/>
      <c r="B10" s="362" t="s">
        <v>1684</v>
      </c>
      <c r="C10" s="369"/>
      <c r="D10" s="117">
        <v>100</v>
      </c>
      <c r="E10" s="369"/>
      <c r="F10" s="117">
        <f>ROUND(100/'数据-取费表'!G16,0)</f>
        <v>108</v>
      </c>
      <c r="G10" s="369"/>
      <c r="H10" s="117">
        <f>ROUND(100/'数据-取费表'!G16,0)</f>
        <v>108</v>
      </c>
      <c r="I10" s="369"/>
      <c r="J10" s="117">
        <f>ROUND(100/'数据-取费表'!G16,0)</f>
        <v>108</v>
      </c>
      <c r="K10" s="590"/>
      <c r="L10" s="2487"/>
      <c r="M10" s="2488"/>
      <c r="N10" s="2488"/>
      <c r="O10" s="2539"/>
      <c r="P10" s="3379"/>
      <c r="Q10" s="528" t="str">
        <f t="shared" si="6"/>
        <v>土地使用年限（年）</v>
      </c>
      <c r="R10" s="662" t="s">
        <v>14</v>
      </c>
      <c r="S10" s="663">
        <f t="shared" si="0"/>
        <v>108</v>
      </c>
      <c r="T10" s="662" t="s">
        <v>14</v>
      </c>
      <c r="U10" s="663">
        <f t="shared" si="1"/>
        <v>108</v>
      </c>
      <c r="V10" s="662" t="s">
        <v>14</v>
      </c>
      <c r="W10" s="663">
        <f t="shared" si="2"/>
        <v>108</v>
      </c>
      <c r="X10" s="664"/>
      <c r="Y10" s="3276"/>
      <c r="Z10" s="50" t="str">
        <f t="shared" si="7"/>
        <v>土地使用年限（年）</v>
      </c>
      <c r="AA10" s="50">
        <f t="shared" si="3"/>
        <v>0.92592592592592593</v>
      </c>
      <c r="AB10" s="50">
        <f t="shared" si="4"/>
        <v>0.92592592592592593</v>
      </c>
      <c r="AC10" s="50">
        <f t="shared" si="5"/>
        <v>0.92592592592592593</v>
      </c>
    </row>
    <row r="11" spans="1:29" ht="15">
      <c r="A11" s="365"/>
      <c r="B11" s="362" t="s">
        <v>1685</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379"/>
      <c r="Q11" s="528" t="str">
        <f t="shared" si="6"/>
        <v>容积率</v>
      </c>
      <c r="R11" s="662" t="s">
        <v>14</v>
      </c>
      <c r="S11" s="663" t="e">
        <f t="shared" si="0"/>
        <v>#N/A</v>
      </c>
      <c r="T11" s="662" t="s">
        <v>14</v>
      </c>
      <c r="U11" s="663" t="e">
        <f t="shared" si="1"/>
        <v>#N/A</v>
      </c>
      <c r="V11" s="662" t="s">
        <v>14</v>
      </c>
      <c r="W11" s="663" t="e">
        <f t="shared" si="2"/>
        <v>#N/A</v>
      </c>
      <c r="X11" s="664"/>
      <c r="Y11" s="3276"/>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379"/>
      <c r="Q12" s="528">
        <f t="shared" si="6"/>
        <v>111</v>
      </c>
      <c r="R12" s="662" t="s">
        <v>14</v>
      </c>
      <c r="S12" s="663">
        <f t="shared" si="0"/>
        <v>100</v>
      </c>
      <c r="T12" s="662" t="s">
        <v>14</v>
      </c>
      <c r="U12" s="663">
        <f t="shared" si="1"/>
        <v>100</v>
      </c>
      <c r="V12" s="662" t="s">
        <v>14</v>
      </c>
      <c r="W12" s="663">
        <f t="shared" si="2"/>
        <v>100</v>
      </c>
      <c r="X12" s="664"/>
      <c r="Y12" s="3276"/>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379"/>
      <c r="Q13" s="528">
        <f t="shared" si="6"/>
        <v>111</v>
      </c>
      <c r="R13" s="662" t="s">
        <v>14</v>
      </c>
      <c r="S13" s="663">
        <f t="shared" si="0"/>
        <v>100</v>
      </c>
      <c r="T13" s="662" t="s">
        <v>14</v>
      </c>
      <c r="U13" s="663">
        <f t="shared" si="1"/>
        <v>100</v>
      </c>
      <c r="V13" s="662" t="s">
        <v>14</v>
      </c>
      <c r="W13" s="663">
        <f t="shared" si="2"/>
        <v>100</v>
      </c>
      <c r="X13" s="664"/>
      <c r="Y13" s="3276"/>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379"/>
      <c r="Q14" s="528">
        <f t="shared" si="6"/>
        <v>111</v>
      </c>
      <c r="R14" s="662" t="s">
        <v>14</v>
      </c>
      <c r="S14" s="663">
        <f t="shared" si="0"/>
        <v>100</v>
      </c>
      <c r="T14" s="662" t="s">
        <v>14</v>
      </c>
      <c r="U14" s="663">
        <f t="shared" si="1"/>
        <v>100</v>
      </c>
      <c r="V14" s="662" t="s">
        <v>14</v>
      </c>
      <c r="W14" s="663">
        <f t="shared" si="2"/>
        <v>100</v>
      </c>
      <c r="X14" s="664"/>
      <c r="Y14" s="3276"/>
      <c r="Z14" s="50">
        <f t="shared" si="7"/>
        <v>111</v>
      </c>
      <c r="AA14" s="50">
        <f t="shared" si="3"/>
        <v>1</v>
      </c>
      <c r="AB14" s="50">
        <f t="shared" si="4"/>
        <v>1</v>
      </c>
      <c r="AC14" s="50">
        <f t="shared" si="5"/>
        <v>1</v>
      </c>
    </row>
    <row r="15" spans="1:29" ht="57">
      <c r="A15" s="377" t="s">
        <v>1686</v>
      </c>
      <c r="B15" s="552" t="s">
        <v>1915</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380" t="s">
        <v>1687</v>
      </c>
      <c r="Q15" s="1260" t="str">
        <f t="shared" si="6"/>
        <v>产业集聚程度</v>
      </c>
      <c r="R15" s="665" t="s">
        <v>14</v>
      </c>
      <c r="S15" s="666">
        <f t="shared" si="0"/>
        <v>100</v>
      </c>
      <c r="T15" s="665" t="s">
        <v>14</v>
      </c>
      <c r="U15" s="666">
        <f t="shared" si="1"/>
        <v>100</v>
      </c>
      <c r="V15" s="665" t="s">
        <v>14</v>
      </c>
      <c r="W15" s="666">
        <f t="shared" si="2"/>
        <v>100</v>
      </c>
      <c r="X15" s="1262"/>
      <c r="Y15" s="3380" t="s">
        <v>1687</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381"/>
      <c r="Q16" s="1260"/>
      <c r="R16" s="665"/>
      <c r="S16" s="666"/>
      <c r="T16" s="665"/>
      <c r="U16" s="666"/>
      <c r="V16" s="665"/>
      <c r="W16" s="666"/>
      <c r="X16" s="1262"/>
      <c r="Y16" s="3381"/>
      <c r="Z16" s="1261"/>
      <c r="AA16" s="1261">
        <v>1</v>
      </c>
      <c r="AB16" s="1261">
        <v>1</v>
      </c>
      <c r="AC16" s="1261">
        <v>1</v>
      </c>
    </row>
    <row r="17" spans="1:29" ht="85.5">
      <c r="A17" s="365"/>
      <c r="B17" s="554" t="s">
        <v>1829</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381"/>
      <c r="Q17" s="1260" t="str">
        <f>B17</f>
        <v>交通便捷度</v>
      </c>
      <c r="R17" s="665" t="s">
        <v>14</v>
      </c>
      <c r="S17" s="666">
        <f>F17</f>
        <v>100</v>
      </c>
      <c r="T17" s="665" t="s">
        <v>14</v>
      </c>
      <c r="U17" s="666">
        <f>H17</f>
        <v>100</v>
      </c>
      <c r="V17" s="665" t="s">
        <v>14</v>
      </c>
      <c r="W17" s="666">
        <f>J17</f>
        <v>100</v>
      </c>
      <c r="X17" s="1262"/>
      <c r="Y17" s="3381"/>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381"/>
      <c r="Q18" s="1260"/>
      <c r="R18" s="665"/>
      <c r="S18" s="666"/>
      <c r="T18" s="665"/>
      <c r="U18" s="666"/>
      <c r="V18" s="665"/>
      <c r="W18" s="666"/>
      <c r="X18" s="1262"/>
      <c r="Y18" s="3381"/>
      <c r="Z18" s="1261"/>
      <c r="AA18" s="1261">
        <v>1</v>
      </c>
      <c r="AB18" s="1261">
        <v>1</v>
      </c>
      <c r="AC18" s="1261">
        <v>1</v>
      </c>
    </row>
    <row r="19" spans="1:29" ht="15">
      <c r="A19" s="365"/>
      <c r="B19" s="554" t="s">
        <v>1867</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381"/>
      <c r="Q19" s="1260" t="str">
        <f t="shared" ref="Q19:Q33" si="8">B19</f>
        <v>区域土地利用方向</v>
      </c>
      <c r="R19" s="665" t="s">
        <v>14</v>
      </c>
      <c r="S19" s="666">
        <f>F19</f>
        <v>100</v>
      </c>
      <c r="T19" s="665" t="s">
        <v>14</v>
      </c>
      <c r="U19" s="666">
        <f>H19</f>
        <v>100</v>
      </c>
      <c r="V19" s="665" t="s">
        <v>14</v>
      </c>
      <c r="W19" s="666">
        <f>J19</f>
        <v>100</v>
      </c>
      <c r="X19" s="1262"/>
      <c r="Y19" s="3381"/>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381"/>
      <c r="Q20" s="1260"/>
      <c r="R20" s="665"/>
      <c r="S20" s="666"/>
      <c r="T20" s="665"/>
      <c r="U20" s="666"/>
      <c r="V20" s="665"/>
      <c r="W20" s="666"/>
      <c r="X20" s="1262"/>
      <c r="Y20" s="3381"/>
      <c r="Z20" s="1261"/>
      <c r="AA20" s="1261"/>
      <c r="AB20" s="1261"/>
      <c r="AC20" s="1261"/>
    </row>
    <row r="21" spans="1:29" ht="71.25">
      <c r="A21" s="346"/>
      <c r="B21" s="554" t="s">
        <v>1916</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381"/>
      <c r="Q21" s="1260" t="str">
        <f t="shared" si="8"/>
        <v>环境状况</v>
      </c>
      <c r="R21" s="665" t="s">
        <v>14</v>
      </c>
      <c r="S21" s="666">
        <f>F21</f>
        <v>100</v>
      </c>
      <c r="T21" s="665" t="s">
        <v>14</v>
      </c>
      <c r="U21" s="666">
        <f>H21</f>
        <v>100</v>
      </c>
      <c r="V21" s="665" t="s">
        <v>14</v>
      </c>
      <c r="W21" s="666">
        <f>J21</f>
        <v>100</v>
      </c>
      <c r="X21" s="1262"/>
      <c r="Y21" s="3381"/>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381"/>
      <c r="Q22" s="1260"/>
      <c r="R22" s="665"/>
      <c r="S22" s="666"/>
      <c r="T22" s="665"/>
      <c r="U22" s="666"/>
      <c r="V22" s="665"/>
      <c r="W22" s="666"/>
      <c r="X22" s="1262"/>
      <c r="Y22" s="3381"/>
      <c r="Z22" s="1261"/>
      <c r="AA22" s="1261">
        <v>1</v>
      </c>
      <c r="AB22" s="1261">
        <v>1</v>
      </c>
      <c r="AC22" s="1261">
        <v>1</v>
      </c>
    </row>
    <row r="23" spans="1:29" s="102" customFormat="1" ht="42.75">
      <c r="A23" s="441"/>
      <c r="B23" s="555" t="s">
        <v>1774</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381"/>
      <c r="Q23" s="528" t="str">
        <f t="shared" si="8"/>
        <v>公共配套设施</v>
      </c>
      <c r="R23" s="662" t="s">
        <v>14</v>
      </c>
      <c r="S23" s="663">
        <f>F23</f>
        <v>100</v>
      </c>
      <c r="T23" s="662" t="s">
        <v>14</v>
      </c>
      <c r="U23" s="663">
        <f>H23</f>
        <v>100</v>
      </c>
      <c r="V23" s="662" t="s">
        <v>14</v>
      </c>
      <c r="W23" s="663">
        <f>J23</f>
        <v>100</v>
      </c>
      <c r="X23" s="664"/>
      <c r="Y23" s="3381"/>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381"/>
      <c r="Q24" s="528"/>
      <c r="R24" s="662"/>
      <c r="S24" s="663"/>
      <c r="T24" s="662"/>
      <c r="U24" s="663"/>
      <c r="V24" s="662"/>
      <c r="W24" s="663"/>
      <c r="X24" s="664"/>
      <c r="Y24" s="3381"/>
      <c r="Z24" s="50"/>
      <c r="AA24" s="50">
        <v>1</v>
      </c>
      <c r="AB24" s="50">
        <v>1</v>
      </c>
      <c r="AC24" s="50">
        <v>1</v>
      </c>
    </row>
    <row r="25" spans="1:29" s="102" customFormat="1" ht="28.5">
      <c r="A25" s="441"/>
      <c r="B25" s="555" t="s">
        <v>1775</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381"/>
      <c r="Q25" s="528" t="str">
        <f t="shared" ref="Q25" si="9">B25</f>
        <v>基础设施水平</v>
      </c>
      <c r="R25" s="662" t="s">
        <v>14</v>
      </c>
      <c r="S25" s="663">
        <f>F25</f>
        <v>100</v>
      </c>
      <c r="T25" s="662" t="s">
        <v>14</v>
      </c>
      <c r="U25" s="663">
        <f>H25</f>
        <v>100</v>
      </c>
      <c r="V25" s="662" t="s">
        <v>14</v>
      </c>
      <c r="W25" s="663">
        <f>J25</f>
        <v>100</v>
      </c>
      <c r="X25" s="664"/>
      <c r="Y25" s="3381"/>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381"/>
      <c r="Q26" s="528"/>
      <c r="R26" s="662"/>
      <c r="S26" s="663"/>
      <c r="T26" s="662"/>
      <c r="U26" s="663"/>
      <c r="V26" s="662"/>
      <c r="W26" s="663"/>
      <c r="X26" s="664"/>
      <c r="Y26" s="3381"/>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38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381"/>
      <c r="Z27" s="1261" t="str">
        <f t="shared" ref="Z27:Z40" si="13">Q27</f>
        <v>临街状况</v>
      </c>
      <c r="AA27" s="1261">
        <f t="shared" si="3"/>
        <v>1</v>
      </c>
      <c r="AB27" s="1261">
        <f t="shared" si="4"/>
        <v>1</v>
      </c>
      <c r="AC27" s="1261">
        <f t="shared" si="5"/>
        <v>1</v>
      </c>
    </row>
    <row r="28" spans="1:29" ht="27">
      <c r="A28" s="365"/>
      <c r="B28" s="555" t="s">
        <v>1811</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381"/>
      <c r="Q28" s="1260" t="str">
        <f t="shared" si="8"/>
        <v>毗邻道路的类型与等级</v>
      </c>
      <c r="R28" s="665" t="s">
        <v>14</v>
      </c>
      <c r="S28" s="666">
        <f t="shared" si="10"/>
        <v>100</v>
      </c>
      <c r="T28" s="665" t="s">
        <v>14</v>
      </c>
      <c r="U28" s="666">
        <f t="shared" si="11"/>
        <v>100</v>
      </c>
      <c r="V28" s="665" t="s">
        <v>14</v>
      </c>
      <c r="W28" s="666">
        <f t="shared" si="12"/>
        <v>100</v>
      </c>
      <c r="X28" s="1262"/>
      <c r="Y28" s="3381"/>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381"/>
      <c r="Q29" s="1260"/>
      <c r="R29" s="665"/>
      <c r="S29" s="666"/>
      <c r="T29" s="665"/>
      <c r="U29" s="666"/>
      <c r="V29" s="665"/>
      <c r="W29" s="666"/>
      <c r="X29" s="1262"/>
      <c r="Y29" s="3381"/>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381"/>
      <c r="Q30" s="1260" t="str">
        <f t="shared" si="8"/>
        <v>土地级别</v>
      </c>
      <c r="R30" s="665" t="s">
        <v>14</v>
      </c>
      <c r="S30" s="666">
        <f t="shared" si="10"/>
        <v>100</v>
      </c>
      <c r="T30" s="665" t="s">
        <v>14</v>
      </c>
      <c r="U30" s="666">
        <f t="shared" si="11"/>
        <v>100</v>
      </c>
      <c r="V30" s="665" t="s">
        <v>14</v>
      </c>
      <c r="W30" s="666">
        <f t="shared" si="12"/>
        <v>100</v>
      </c>
      <c r="X30" s="1262"/>
      <c r="Y30" s="3381"/>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381"/>
      <c r="Q31" s="1260">
        <f t="shared" si="8"/>
        <v>111</v>
      </c>
      <c r="R31" s="665" t="s">
        <v>14</v>
      </c>
      <c r="S31" s="666">
        <f t="shared" si="10"/>
        <v>100</v>
      </c>
      <c r="T31" s="665" t="s">
        <v>14</v>
      </c>
      <c r="U31" s="666">
        <f t="shared" si="11"/>
        <v>100</v>
      </c>
      <c r="V31" s="665" t="s">
        <v>14</v>
      </c>
      <c r="W31" s="666">
        <f t="shared" si="12"/>
        <v>100</v>
      </c>
      <c r="X31" s="1262"/>
      <c r="Y31" s="3381"/>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382" t="s">
        <v>1692</v>
      </c>
      <c r="Q32" s="1260">
        <f t="shared" si="8"/>
        <v>111</v>
      </c>
      <c r="R32" s="665" t="s">
        <v>14</v>
      </c>
      <c r="S32" s="666">
        <f t="shared" si="10"/>
        <v>100</v>
      </c>
      <c r="T32" s="665" t="s">
        <v>14</v>
      </c>
      <c r="U32" s="666">
        <f t="shared" si="11"/>
        <v>100</v>
      </c>
      <c r="V32" s="665" t="s">
        <v>14</v>
      </c>
      <c r="W32" s="666">
        <f t="shared" si="12"/>
        <v>100</v>
      </c>
      <c r="X32" s="1262"/>
      <c r="Y32" s="3383" t="s">
        <v>1692</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383"/>
      <c r="Q33" s="1260">
        <f t="shared" si="8"/>
        <v>111</v>
      </c>
      <c r="R33" s="667" t="s">
        <v>14</v>
      </c>
      <c r="S33" s="668">
        <f t="shared" si="10"/>
        <v>100</v>
      </c>
      <c r="T33" s="667" t="s">
        <v>14</v>
      </c>
      <c r="U33" s="668">
        <f t="shared" si="11"/>
        <v>100</v>
      </c>
      <c r="V33" s="667" t="s">
        <v>14</v>
      </c>
      <c r="W33" s="668">
        <f t="shared" si="12"/>
        <v>100</v>
      </c>
      <c r="X33" s="669"/>
      <c r="Y33" s="3383"/>
      <c r="Z33" s="670">
        <f t="shared" si="13"/>
        <v>111</v>
      </c>
      <c r="AA33" s="1261">
        <f t="shared" si="3"/>
        <v>1</v>
      </c>
      <c r="AB33" s="1261">
        <f t="shared" si="4"/>
        <v>1</v>
      </c>
      <c r="AC33" s="1261">
        <f t="shared" si="5"/>
        <v>1</v>
      </c>
    </row>
    <row r="34" spans="1:31" ht="15">
      <c r="A34" s="377" t="s">
        <v>1690</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383"/>
      <c r="Q34" s="1260" t="str">
        <f>B34</f>
        <v>宗地面积</v>
      </c>
      <c r="R34" s="665" t="s">
        <v>14</v>
      </c>
      <c r="S34" s="666" t="e">
        <f t="shared" si="10"/>
        <v>#N/A</v>
      </c>
      <c r="T34" s="665" t="s">
        <v>14</v>
      </c>
      <c r="U34" s="666" t="e">
        <f t="shared" si="11"/>
        <v>#N/A</v>
      </c>
      <c r="V34" s="665" t="s">
        <v>14</v>
      </c>
      <c r="W34" s="666" t="e">
        <f t="shared" si="12"/>
        <v>#N/A</v>
      </c>
      <c r="X34" s="1262"/>
      <c r="Y34" s="3383"/>
      <c r="Z34" s="1261" t="str">
        <f t="shared" si="13"/>
        <v>宗地面积</v>
      </c>
      <c r="AA34" s="1261" t="e">
        <f t="shared" si="3"/>
        <v>#N/A</v>
      </c>
      <c r="AB34" s="1261" t="e">
        <f t="shared" si="4"/>
        <v>#N/A</v>
      </c>
      <c r="AC34" s="1261" t="e">
        <f t="shared" si="5"/>
        <v>#N/A</v>
      </c>
    </row>
    <row r="35" spans="1:31" ht="15">
      <c r="A35" s="407"/>
      <c r="B35" s="362" t="s">
        <v>1871</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383"/>
      <c r="Q35" s="1260" t="str">
        <f t="shared" ref="Q35:Q40" si="14">B35</f>
        <v>宗地形状</v>
      </c>
      <c r="R35" s="665" t="s">
        <v>14</v>
      </c>
      <c r="S35" s="666">
        <f t="shared" si="10"/>
        <v>100</v>
      </c>
      <c r="T35" s="665" t="s">
        <v>14</v>
      </c>
      <c r="U35" s="666">
        <f t="shared" si="11"/>
        <v>100</v>
      </c>
      <c r="V35" s="665" t="s">
        <v>14</v>
      </c>
      <c r="W35" s="666">
        <f t="shared" si="12"/>
        <v>100</v>
      </c>
      <c r="X35" s="1262"/>
      <c r="Y35" s="3383"/>
      <c r="Z35" s="1261" t="str">
        <f t="shared" si="13"/>
        <v>宗地形状</v>
      </c>
      <c r="AA35" s="1261">
        <f t="shared" si="3"/>
        <v>1</v>
      </c>
      <c r="AB35" s="1261">
        <f t="shared" si="4"/>
        <v>1</v>
      </c>
      <c r="AC35" s="1261">
        <f t="shared" si="5"/>
        <v>1</v>
      </c>
    </row>
    <row r="36" spans="1:31" s="102" customFormat="1" ht="15">
      <c r="A36" s="408"/>
      <c r="B36" s="362" t="s">
        <v>1873</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383"/>
      <c r="Q36" s="1260" t="str">
        <f t="shared" si="14"/>
        <v>宗地开发程度</v>
      </c>
      <c r="R36" s="662" t="s">
        <v>14</v>
      </c>
      <c r="S36" s="663">
        <f t="shared" si="10"/>
        <v>100</v>
      </c>
      <c r="T36" s="662" t="s">
        <v>14</v>
      </c>
      <c r="U36" s="663">
        <f t="shared" si="11"/>
        <v>100</v>
      </c>
      <c r="V36" s="662" t="s">
        <v>14</v>
      </c>
      <c r="W36" s="663">
        <f t="shared" si="12"/>
        <v>100</v>
      </c>
      <c r="X36" s="664"/>
      <c r="Y36" s="3383"/>
      <c r="Z36" s="50" t="str">
        <f t="shared" si="13"/>
        <v>宗地开发程度</v>
      </c>
      <c r="AA36" s="50">
        <f t="shared" si="3"/>
        <v>1</v>
      </c>
      <c r="AB36" s="50">
        <f t="shared" si="4"/>
        <v>1</v>
      </c>
      <c r="AC36" s="50">
        <f t="shared" si="5"/>
        <v>1</v>
      </c>
    </row>
    <row r="37" spans="1:31" ht="15">
      <c r="A37" s="407"/>
      <c r="B37" s="362" t="s">
        <v>1874</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383" t="s">
        <v>1692</v>
      </c>
      <c r="Q37" s="1260" t="str">
        <f t="shared" si="14"/>
        <v>工程地质条件</v>
      </c>
      <c r="R37" s="665" t="s">
        <v>14</v>
      </c>
      <c r="S37" s="666">
        <f t="shared" si="10"/>
        <v>100</v>
      </c>
      <c r="T37" s="665" t="s">
        <v>14</v>
      </c>
      <c r="U37" s="666">
        <f t="shared" si="11"/>
        <v>100</v>
      </c>
      <c r="V37" s="665" t="s">
        <v>14</v>
      </c>
      <c r="W37" s="666">
        <f t="shared" si="12"/>
        <v>100</v>
      </c>
      <c r="X37" s="1262"/>
      <c r="Y37" s="3383" t="s">
        <v>1692</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383"/>
      <c r="Q38" s="1260">
        <f t="shared" si="14"/>
        <v>111</v>
      </c>
      <c r="R38" s="665" t="s">
        <v>14</v>
      </c>
      <c r="S38" s="666">
        <f t="shared" si="10"/>
        <v>100</v>
      </c>
      <c r="T38" s="665" t="s">
        <v>14</v>
      </c>
      <c r="U38" s="666">
        <f t="shared" si="11"/>
        <v>100</v>
      </c>
      <c r="V38" s="665" t="s">
        <v>14</v>
      </c>
      <c r="W38" s="666">
        <f t="shared" si="12"/>
        <v>100</v>
      </c>
      <c r="X38" s="1262"/>
      <c r="Y38" s="3383"/>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383"/>
      <c r="Q39" s="1260">
        <f t="shared" si="14"/>
        <v>111</v>
      </c>
      <c r="R39" s="665" t="s">
        <v>14</v>
      </c>
      <c r="S39" s="666">
        <f t="shared" si="10"/>
        <v>100</v>
      </c>
      <c r="T39" s="665" t="s">
        <v>14</v>
      </c>
      <c r="U39" s="666">
        <f t="shared" si="11"/>
        <v>100</v>
      </c>
      <c r="V39" s="665" t="s">
        <v>14</v>
      </c>
      <c r="W39" s="666">
        <f t="shared" si="12"/>
        <v>100</v>
      </c>
      <c r="X39" s="1262"/>
      <c r="Y39" s="3383"/>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383"/>
      <c r="Q40" s="1260">
        <f t="shared" si="14"/>
        <v>111</v>
      </c>
      <c r="R40" s="667" t="s">
        <v>14</v>
      </c>
      <c r="S40" s="668">
        <f t="shared" si="10"/>
        <v>100</v>
      </c>
      <c r="T40" s="667" t="s">
        <v>14</v>
      </c>
      <c r="U40" s="668">
        <f t="shared" si="11"/>
        <v>100</v>
      </c>
      <c r="V40" s="667" t="s">
        <v>14</v>
      </c>
      <c r="W40" s="668">
        <f t="shared" si="12"/>
        <v>100</v>
      </c>
      <c r="X40" s="669"/>
      <c r="Y40" s="3383"/>
      <c r="Z40" s="670">
        <f t="shared" si="13"/>
        <v>111</v>
      </c>
      <c r="AA40" s="1261">
        <f t="shared" si="3"/>
        <v>1</v>
      </c>
      <c r="AB40" s="1261">
        <f t="shared" si="4"/>
        <v>1</v>
      </c>
      <c r="AC40" s="1261">
        <f t="shared" si="5"/>
        <v>1</v>
      </c>
    </row>
    <row r="41" spans="1:31" ht="15">
      <c r="A41" s="414" t="s">
        <v>1840</v>
      </c>
      <c r="B41" s="1827" t="s">
        <v>1917</v>
      </c>
      <c r="C41" s="600" t="s">
        <v>0</v>
      </c>
      <c r="D41" s="416"/>
      <c r="E41" s="417"/>
      <c r="F41" s="418"/>
      <c r="G41" s="419"/>
      <c r="H41" s="420"/>
      <c r="I41" s="417"/>
      <c r="J41" s="420"/>
      <c r="K41" s="672"/>
      <c r="L41" s="2492"/>
      <c r="M41" s="2485"/>
      <c r="N41" s="2485"/>
      <c r="O41" s="2485"/>
      <c r="P41" s="3379" t="str">
        <f>A41</f>
        <v>成交单价</v>
      </c>
      <c r="Q41" s="3379"/>
      <c r="R41" s="3384">
        <f>E41</f>
        <v>0</v>
      </c>
      <c r="S41" s="3384"/>
      <c r="T41" s="3384">
        <f>G41</f>
        <v>0</v>
      </c>
      <c r="U41" s="3384"/>
      <c r="V41" s="3384">
        <f>I41</f>
        <v>0</v>
      </c>
      <c r="W41" s="3384"/>
      <c r="X41" s="383"/>
      <c r="Y41" s="671"/>
      <c r="Z41" s="383"/>
      <c r="AA41" s="383"/>
      <c r="AB41" s="383"/>
      <c r="AC41" s="383"/>
    </row>
    <row r="42" spans="1:31" ht="15.75" thickBot="1">
      <c r="A42" s="421" t="s">
        <v>1789</v>
      </c>
      <c r="B42" s="601"/>
      <c r="C42" s="424" t="e">
        <f>R43</f>
        <v>#DIV/0!</v>
      </c>
      <c r="D42" s="2138" t="s">
        <v>2133</v>
      </c>
      <c r="E42" s="424" t="e">
        <f>R42</f>
        <v>#DIV/0!</v>
      </c>
      <c r="F42" s="2139"/>
      <c r="G42" s="423" t="e">
        <f>T42</f>
        <v>#DIV/0!</v>
      </c>
      <c r="H42" s="2139"/>
      <c r="I42" s="424" t="e">
        <f>V42</f>
        <v>#DIV/0!</v>
      </c>
      <c r="J42" s="2139"/>
      <c r="K42" s="2141">
        <f>F42+H42+J42</f>
        <v>0</v>
      </c>
      <c r="L42" s="2492"/>
      <c r="M42" s="2485"/>
      <c r="N42" s="2485"/>
      <c r="O42" s="2485"/>
      <c r="P42" s="3379" t="str">
        <f>A42</f>
        <v>比较价值（元/平方米）</v>
      </c>
      <c r="Q42" s="3379"/>
      <c r="R42" s="3372" t="e">
        <f>ROUND(PRODUCT(R41,AA7:AA40),0)</f>
        <v>#DIV/0!</v>
      </c>
      <c r="S42" s="3372"/>
      <c r="T42" s="3372" t="e">
        <f>ROUND(PRODUCT(T41,AB7:AB40),0)</f>
        <v>#DIV/0!</v>
      </c>
      <c r="U42" s="3372"/>
      <c r="V42" s="3372" t="e">
        <f>ROUND(PRODUCT(V41,AC7:AC40),0)</f>
        <v>#DIV/0!</v>
      </c>
      <c r="W42" s="3372"/>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92"/>
      <c r="M43" s="2485"/>
      <c r="N43" s="2485"/>
      <c r="O43" s="2485"/>
      <c r="P43" s="3373" t="str">
        <f>A43</f>
        <v>估价对象XX用房的比较价值（楼面单价，元/平方米）</v>
      </c>
      <c r="Q43" s="3374"/>
      <c r="R43" s="3375" t="e">
        <f>ROUND(IF(D42="简单平均",AVERAGE(R42:W42),R42*F42+T42*H42+V42*J42),0)</f>
        <v>#DIV/0!</v>
      </c>
      <c r="S43" s="3375"/>
      <c r="T43" s="3375"/>
      <c r="U43" s="3375"/>
      <c r="V43" s="3375"/>
      <c r="W43" s="3375"/>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1877</v>
      </c>
      <c r="B50" s="603" t="s">
        <v>1878</v>
      </c>
      <c r="C50" s="1828" t="s">
        <v>1879</v>
      </c>
      <c r="D50" s="1829" t="s">
        <v>1880</v>
      </c>
      <c r="E50" s="604" t="s">
        <v>1881</v>
      </c>
      <c r="F50" s="605" t="s">
        <v>1882</v>
      </c>
      <c r="G50" s="3376" t="s">
        <v>1883</v>
      </c>
      <c r="H50" s="3377"/>
      <c r="I50" s="1261" t="s">
        <v>1918</v>
      </c>
      <c r="J50" s="1261">
        <f>项目基本情况!F35</f>
        <v>0</v>
      </c>
      <c r="K50" s="1831" t="s">
        <v>1885</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1886</v>
      </c>
      <c r="B51" s="607" t="e">
        <f>C43</f>
        <v>#DIV/0!</v>
      </c>
      <c r="C51" s="608">
        <v>1</v>
      </c>
      <c r="D51" s="888">
        <v>1</v>
      </c>
      <c r="E51" s="608">
        <f>'数据-汇总表'!E8+'数据-汇总表'!E9</f>
        <v>44140.36</v>
      </c>
      <c r="F51" s="609" t="e">
        <f t="shared" ref="F51:F60" si="15">ROUND(B51*E51/10000,0)</f>
        <v>#DIV/0!</v>
      </c>
      <c r="G51" s="3378"/>
      <c r="H51" s="3379"/>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1887</v>
      </c>
      <c r="B52" s="208" t="e">
        <f>ROUND($C$43*C52*D52,0)</f>
        <v>#DIV/0!</v>
      </c>
      <c r="C52" s="161">
        <f t="shared" ref="C52:C60" si="16">IF($C$50="北京市系数",I52,J52)</f>
        <v>0.6</v>
      </c>
      <c r="D52" s="889">
        <v>0.25</v>
      </c>
      <c r="E52" s="612"/>
      <c r="F52" s="609" t="e">
        <f t="shared" si="15"/>
        <v>#DIV/0!</v>
      </c>
      <c r="G52" s="2748" t="s">
        <v>1888</v>
      </c>
      <c r="H52" s="832" t="str">
        <f>项目基本情况!B37</f>
        <v>七级</v>
      </c>
      <c r="I52" s="725">
        <f>SUMIF(修正!A57:A68,H52,修正!B57:B68)</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1889</v>
      </c>
      <c r="B53" s="208" t="e">
        <f t="shared" ref="B53:B60" si="17">ROUND($C$43*C53*D53,0)</f>
        <v>#DIV/0!</v>
      </c>
      <c r="C53" s="161">
        <f t="shared" si="16"/>
        <v>0.3</v>
      </c>
      <c r="D53" s="889">
        <v>0.25</v>
      </c>
      <c r="E53" s="612"/>
      <c r="F53" s="609" t="e">
        <f t="shared" si="15"/>
        <v>#DIV/0!</v>
      </c>
      <c r="G53" s="2749"/>
      <c r="H53" s="832" t="str">
        <f>项目基本情况!B37</f>
        <v>七级</v>
      </c>
      <c r="I53" s="725">
        <f>SUMIF(修正!A57:A68,H53,修正!C57:C68)</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1890</v>
      </c>
      <c r="B54" s="208" t="e">
        <f t="shared" si="17"/>
        <v>#DIV/0!</v>
      </c>
      <c r="C54" s="161">
        <f t="shared" si="16"/>
        <v>0.25</v>
      </c>
      <c r="D54" s="889">
        <v>0.25</v>
      </c>
      <c r="E54" s="612"/>
      <c r="F54" s="609" t="e">
        <f t="shared" si="15"/>
        <v>#DIV/0!</v>
      </c>
      <c r="G54" s="2749"/>
      <c r="H54" s="832" t="str">
        <f>项目基本情况!B37</f>
        <v>七级</v>
      </c>
      <c r="I54" s="725">
        <f>SUMIF(修正!A57:A68,H54,修正!D57:D68)</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1891</v>
      </c>
      <c r="B56" s="208" t="e">
        <f t="shared" si="17"/>
        <v>#DIV/0!</v>
      </c>
      <c r="C56" s="161">
        <f t="shared" si="16"/>
        <v>0</v>
      </c>
      <c r="D56" s="889">
        <v>0.25</v>
      </c>
      <c r="E56" s="207">
        <f>'数据-汇总表'!E11</f>
        <v>0</v>
      </c>
      <c r="F56" s="609" t="e">
        <f t="shared" si="15"/>
        <v>#DIV/0!</v>
      </c>
      <c r="G56" s="1832" t="s">
        <v>1892</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1893</v>
      </c>
      <c r="B57" s="208" t="e">
        <f t="shared" si="17"/>
        <v>#DIV/0!</v>
      </c>
      <c r="C57" s="161">
        <f t="shared" si="16"/>
        <v>0</v>
      </c>
      <c r="D57" s="889">
        <v>0.25</v>
      </c>
      <c r="E57" s="207">
        <f>'数据-汇总表'!E12</f>
        <v>0</v>
      </c>
      <c r="F57" s="609" t="e">
        <f t="shared" si="15"/>
        <v>#DIV/0!</v>
      </c>
      <c r="G57" s="837" t="s">
        <v>1894</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1895</v>
      </c>
      <c r="B58" s="208" t="e">
        <f t="shared" si="17"/>
        <v>#DIV/0!</v>
      </c>
      <c r="C58" s="161">
        <f t="shared" si="16"/>
        <v>0</v>
      </c>
      <c r="D58" s="889">
        <v>0.25</v>
      </c>
      <c r="E58" s="207">
        <f>'数据-汇总表'!E13</f>
        <v>0</v>
      </c>
      <c r="F58" s="609" t="e">
        <f t="shared" si="15"/>
        <v>#DIV/0!</v>
      </c>
      <c r="G58" s="837" t="s">
        <v>1896</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1897</v>
      </c>
      <c r="B59" s="208" t="e">
        <f t="shared" si="17"/>
        <v>#DIV/0!</v>
      </c>
      <c r="C59" s="161">
        <f t="shared" si="16"/>
        <v>0.15</v>
      </c>
      <c r="D59" s="889">
        <v>0.25</v>
      </c>
      <c r="E59" s="207">
        <f>'数据-汇总表'!E14</f>
        <v>14328.11999999997</v>
      </c>
      <c r="F59" s="609" t="e">
        <f t="shared" si="15"/>
        <v>#DIV/0!</v>
      </c>
      <c r="G59" s="1832" t="s">
        <v>1888</v>
      </c>
      <c r="H59" s="832" t="str">
        <f>项目基本情况!B37</f>
        <v>七级</v>
      </c>
      <c r="I59" s="725">
        <f>SUMIF(修正!A57:A68,H59,修正!G57:G68)</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1898</v>
      </c>
      <c r="B60" s="208" t="e">
        <f t="shared" si="17"/>
        <v>#DIV/0!</v>
      </c>
      <c r="C60" s="161">
        <f t="shared" si="16"/>
        <v>0</v>
      </c>
      <c r="D60" s="889">
        <v>0.25</v>
      </c>
      <c r="E60" s="207">
        <f>'数据-汇总表'!E15</f>
        <v>0</v>
      </c>
      <c r="F60" s="609" t="e">
        <f t="shared" si="15"/>
        <v>#DIV/0!</v>
      </c>
      <c r="G60" s="1833" t="s">
        <v>1892</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1899</v>
      </c>
      <c r="B61" s="614" t="s">
        <v>22</v>
      </c>
      <c r="C61" s="614" t="s">
        <v>23</v>
      </c>
      <c r="D61" s="614" t="s">
        <v>392</v>
      </c>
      <c r="E61" s="614">
        <f>IF(B41="楼面地价",SUM(E51:E60),'数据-汇总表'!D3)</f>
        <v>15742.02</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6" t="s">
        <v>1794</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5">
      <c r="A65" s="1627" t="s">
        <v>1900</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1919</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7" t="s">
        <v>1712</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5">
      <c r="A68" s="453" t="s">
        <v>1677</v>
      </c>
      <c r="B68" s="442"/>
      <c r="C68" s="454" t="s">
        <v>1772</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1715</v>
      </c>
      <c r="B70" s="458" t="s">
        <v>1681</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1684</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1685</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1686</v>
      </c>
      <c r="B83" s="458" t="s">
        <v>1825</v>
      </c>
      <c r="C83" s="502" t="s">
        <v>1717</v>
      </c>
      <c r="D83" s="502" t="s">
        <v>1718</v>
      </c>
      <c r="E83" s="502" t="s">
        <v>1719</v>
      </c>
      <c r="F83" s="502" t="s">
        <v>1720</v>
      </c>
      <c r="G83" s="502" t="s">
        <v>1721</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1722</v>
      </c>
      <c r="C85" s="507" t="s">
        <v>1717</v>
      </c>
      <c r="D85" s="507" t="s">
        <v>1718</v>
      </c>
      <c r="E85" s="507" t="s">
        <v>1719</v>
      </c>
      <c r="F85" s="507" t="s">
        <v>1720</v>
      </c>
      <c r="G85" s="507" t="s">
        <v>1721</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8"/>
      <c r="B87" s="467" t="s">
        <v>1902</v>
      </c>
      <c r="C87" s="502" t="s">
        <v>1717</v>
      </c>
      <c r="D87" s="502" t="s">
        <v>1718</v>
      </c>
      <c r="E87" s="502" t="s">
        <v>1719</v>
      </c>
      <c r="F87" s="502" t="s">
        <v>1720</v>
      </c>
      <c r="G87" s="502" t="s">
        <v>1721</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8"/>
      <c r="B89" s="467" t="s">
        <v>1903</v>
      </c>
      <c r="C89" s="502" t="s">
        <v>1717</v>
      </c>
      <c r="D89" s="502" t="s">
        <v>1718</v>
      </c>
      <c r="E89" s="502" t="s">
        <v>1719</v>
      </c>
      <c r="F89" s="502" t="s">
        <v>1720</v>
      </c>
      <c r="G89" s="502" t="s">
        <v>1721</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1774</v>
      </c>
      <c r="C91" s="502" t="s">
        <v>1717</v>
      </c>
      <c r="D91" s="502" t="s">
        <v>1718</v>
      </c>
      <c r="E91" s="502" t="s">
        <v>1719</v>
      </c>
      <c r="F91" s="502" t="s">
        <v>1720</v>
      </c>
      <c r="G91" s="502" t="s">
        <v>1721</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1920</v>
      </c>
      <c r="C93" s="579" t="s">
        <v>1795</v>
      </c>
      <c r="D93" s="579" t="s">
        <v>1796</v>
      </c>
      <c r="E93" s="579" t="s">
        <v>1797</v>
      </c>
      <c r="F93" s="579" t="s">
        <v>1798</v>
      </c>
      <c r="G93" s="579" t="s">
        <v>1799</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1904</v>
      </c>
      <c r="D95" s="468" t="s">
        <v>1905</v>
      </c>
      <c r="E95" s="468" t="s">
        <v>1906</v>
      </c>
      <c r="F95" s="468" t="s">
        <v>1907</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1811</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1869</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1690</v>
      </c>
      <c r="B107" s="458" t="s">
        <v>1908</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1909</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1911</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1912</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2078</v>
      </c>
      <c r="C1" s="3470" t="s">
        <v>2079</v>
      </c>
      <c r="D1" s="3471"/>
      <c r="E1" s="3471"/>
      <c r="F1" s="3471"/>
      <c r="G1" s="3471"/>
      <c r="H1" s="3471"/>
      <c r="I1" s="3471"/>
      <c r="J1" s="3471"/>
      <c r="K1" s="3471"/>
      <c r="L1" s="3471"/>
      <c r="M1" s="3471"/>
      <c r="N1" s="3471"/>
      <c r="O1" s="3471"/>
      <c r="P1" s="3471"/>
      <c r="Q1" s="3471"/>
      <c r="R1" s="3471"/>
      <c r="S1" s="3472"/>
      <c r="T1" s="927" t="s">
        <v>2080</v>
      </c>
    </row>
    <row r="2" spans="1:45" s="623" customFormat="1">
      <c r="A2" s="928"/>
      <c r="B2" s="620" t="s">
        <v>2081</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2082</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2083</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2084</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2085</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2086</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2087</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2088</v>
      </c>
      <c r="B17" s="1984" t="s">
        <v>2089</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2090</v>
      </c>
      <c r="E19" s="1250"/>
      <c r="F19" s="1250"/>
      <c r="G19" s="1250"/>
      <c r="H19" s="994"/>
      <c r="I19" s="149"/>
      <c r="J19" s="149"/>
      <c r="K19" s="149"/>
      <c r="L19" s="149"/>
      <c r="M19" s="149"/>
      <c r="N19" s="149"/>
      <c r="O19" s="149"/>
      <c r="P19" s="149"/>
      <c r="Q19" s="149"/>
      <c r="R19" s="149"/>
      <c r="S19" s="119"/>
    </row>
    <row r="20" spans="1:45" ht="16.5" thickBot="1">
      <c r="A20" s="630" t="s">
        <v>2091</v>
      </c>
      <c r="B20" s="284" t="e">
        <f ca="1">IF(D20="——",S22,S22-F20)</f>
        <v>#REF!</v>
      </c>
      <c r="C20" s="149"/>
      <c r="D20" s="1986"/>
      <c r="E20" s="1251"/>
      <c r="F20" s="927" t="e">
        <f ca="1">SUMIF(INDIRECT("'"&amp;H20&amp;"'"&amp;"!A:A"),"承租人权益价值",INDIRECT("'"&amp;H20&amp;"'"&amp;"!c:c"))</f>
        <v>#REF!</v>
      </c>
      <c r="G20" s="927" t="s">
        <v>2092</v>
      </c>
      <c r="H20" s="1987"/>
      <c r="I20" s="149"/>
      <c r="J20" s="149"/>
      <c r="K20" s="149"/>
      <c r="L20" s="149"/>
      <c r="M20" s="149"/>
      <c r="N20" s="149"/>
      <c r="O20" s="149"/>
      <c r="P20" s="149"/>
      <c r="Q20" s="149"/>
      <c r="R20" s="149"/>
      <c r="S20" s="119"/>
    </row>
    <row r="21" spans="1:45" ht="15.75">
      <c r="A21" s="630" t="s">
        <v>2093</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2094</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8" t="s">
        <v>2098</v>
      </c>
      <c r="S23" s="8" t="s">
        <v>2099</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2100</v>
      </c>
      <c r="B24" s="631"/>
      <c r="C24" s="2568">
        <v>1</v>
      </c>
      <c r="D24" s="2569"/>
      <c r="E24" s="2568">
        <v>1</v>
      </c>
      <c r="F24" s="2569"/>
      <c r="G24" s="2568">
        <v>1</v>
      </c>
      <c r="H24" s="2569"/>
      <c r="I24" s="2568">
        <v>1</v>
      </c>
      <c r="J24" s="2569"/>
      <c r="K24" s="2568">
        <v>1</v>
      </c>
      <c r="L24" s="2569"/>
      <c r="M24" s="2568">
        <v>1</v>
      </c>
      <c r="N24" s="2569"/>
      <c r="O24" s="2568">
        <v>1</v>
      </c>
      <c r="P24" s="2569"/>
      <c r="Q24" s="2568">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2076</v>
      </c>
      <c r="B1" s="4"/>
      <c r="C1" s="4"/>
      <c r="D1" s="4"/>
      <c r="E1" s="4"/>
      <c r="F1" s="2542"/>
      <c r="G1" s="2542"/>
      <c r="H1" s="2542"/>
      <c r="I1" s="2542"/>
      <c r="J1" s="2542"/>
      <c r="K1" s="2542"/>
      <c r="L1" s="2542"/>
      <c r="M1" s="2542"/>
      <c r="N1" s="2542"/>
      <c r="O1" s="2542"/>
      <c r="P1" s="2542"/>
    </row>
    <row r="2" spans="1:16" ht="15.75">
      <c r="A2" s="1981" t="s">
        <v>2068</v>
      </c>
      <c r="B2" s="2385" t="e">
        <f ca="1">SUMIF(B6:B13,"&lt;&gt;#ref!",B6:B13)</f>
        <v>#DIV/0!</v>
      </c>
      <c r="C2" s="1981" t="s">
        <v>2069</v>
      </c>
      <c r="D2" s="1981" t="s">
        <v>2070</v>
      </c>
      <c r="E2" s="2395">
        <f ca="1">SUMIF(E6:E13,"&lt;&gt;#ref!",E6:E13)</f>
        <v>0</v>
      </c>
      <c r="F2" s="2542"/>
      <c r="G2" s="2542"/>
      <c r="H2" s="2542"/>
      <c r="I2" s="2542"/>
      <c r="J2" s="2542"/>
      <c r="K2" s="2542"/>
      <c r="L2" s="2542"/>
      <c r="M2" s="2542"/>
      <c r="N2" s="2542"/>
      <c r="O2" s="2542"/>
      <c r="P2" s="2542"/>
    </row>
    <row r="3" spans="1:16" ht="15.75">
      <c r="A3" s="1981" t="s">
        <v>2071</v>
      </c>
      <c r="B3" s="2385" t="e">
        <f ca="1">ROUND(B2*10000/E2,0)</f>
        <v>#DIV/0!</v>
      </c>
      <c r="C3" s="1981" t="s">
        <v>2077</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2072</v>
      </c>
      <c r="B5" s="2393" t="s">
        <v>2073</v>
      </c>
      <c r="C5" s="1982"/>
      <c r="D5" s="2542"/>
      <c r="E5" s="2394" t="s">
        <v>2074</v>
      </c>
      <c r="F5" s="2542"/>
      <c r="G5" s="2542"/>
      <c r="H5" s="2542"/>
      <c r="I5" s="2542"/>
      <c r="J5" s="2542"/>
      <c r="K5" s="2542"/>
      <c r="L5" s="2542"/>
      <c r="M5" s="2542"/>
      <c r="N5" s="2542"/>
      <c r="O5" s="2542"/>
      <c r="P5" s="2542"/>
    </row>
    <row r="6" spans="1:16" ht="15.75">
      <c r="A6" s="2392" t="s">
        <v>2075</v>
      </c>
      <c r="B6" s="2385" t="e">
        <f ca="1">SUMIF(INDIRECT("'"&amp;A6&amp;"'"&amp;"!A:A"),"总价",INDIRECT("'"&amp;A6&amp;"'"&amp;"!B:B"))</f>
        <v>#DIV/0!</v>
      </c>
      <c r="C6" s="1981" t="s">
        <v>2069</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2069</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2069</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2069</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2069</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2069</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2069</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2069</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1921</v>
      </c>
      <c r="B1" s="187"/>
      <c r="C1" s="191" t="s">
        <v>1922</v>
      </c>
      <c r="D1" s="331">
        <f>SUM(D33:D34,D37:D42)</f>
        <v>0</v>
      </c>
      <c r="E1" s="1839"/>
      <c r="F1" s="1839"/>
      <c r="G1" s="1839"/>
      <c r="H1" s="1839"/>
      <c r="I1" s="1839"/>
      <c r="J1" s="1839"/>
      <c r="K1" s="1054"/>
      <c r="L1" s="1840" t="s">
        <v>1923</v>
      </c>
      <c r="M1" s="808">
        <f>SUMPRODUCT((区片价!B5:B9=I2)*(区片价!C3:G3=E2)*(区片价!C5:G9))</f>
        <v>0</v>
      </c>
      <c r="N1" s="811">
        <f>SUMPRODUCT((因素修正幅度!B5:B9=I2)*(因素修正幅度!C3:G3=E2)*(因素修正幅度!C5:G9))</f>
        <v>0</v>
      </c>
      <c r="O1" s="1841"/>
      <c r="P1" s="1841"/>
      <c r="Q1" s="1054"/>
      <c r="R1" s="1126" t="s">
        <v>1924</v>
      </c>
      <c r="S1" s="1126" t="s">
        <v>1925</v>
      </c>
      <c r="T1" s="1126" t="s">
        <v>1926</v>
      </c>
      <c r="U1" s="1126" t="s">
        <v>1927</v>
      </c>
      <c r="V1" s="1126" t="s">
        <v>1928</v>
      </c>
      <c r="W1" s="1130"/>
      <c r="X1" s="1130"/>
      <c r="Y1" s="1130"/>
      <c r="Z1" s="1130"/>
      <c r="AA1" s="1130"/>
      <c r="AB1" s="1130"/>
      <c r="AC1" s="1131"/>
      <c r="AD1" s="1132"/>
      <c r="AE1" s="1132"/>
      <c r="AF1" s="1132"/>
      <c r="AG1" s="1132"/>
      <c r="AH1" s="1132"/>
      <c r="AI1" s="1132"/>
      <c r="AJ1" s="1133"/>
    </row>
    <row r="2" spans="1:36" ht="15.75">
      <c r="A2" s="191" t="s">
        <v>1929</v>
      </c>
      <c r="B2" s="194" t="e">
        <f>C30</f>
        <v>#DIV/0!</v>
      </c>
      <c r="C2" s="1843" t="s">
        <v>1930</v>
      </c>
      <c r="D2" s="160" t="s">
        <v>1931</v>
      </c>
      <c r="E2" s="3118"/>
      <c r="F2" s="160" t="s">
        <v>1932</v>
      </c>
      <c r="G2" s="161">
        <f>IF(E2="商业",项目基本情况!B37,IF(E2="办公",项目基本情况!C37,IF(E2="住宅",项目基本情况!D37,IF(E2="工业",项目基本情况!E37,项目基本情况!F37))))</f>
        <v>0</v>
      </c>
      <c r="H2" s="160" t="s">
        <v>1933</v>
      </c>
      <c r="I2" s="161">
        <f>IF(E2="商业",项目基本情况!B38,IF(E2="办公",项目基本情况!C38,IF(E2="住宅",项目基本情况!D38,IF(E2="工业",项目基本情况!E38,项目基本情况!F38))))</f>
        <v>0</v>
      </c>
      <c r="J2" s="1839"/>
      <c r="K2" s="1054"/>
      <c r="L2" s="1844" t="s">
        <v>1934</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0</v>
      </c>
      <c r="T2" s="3061" t="e">
        <f t="shared" ref="T2:T16" si="0">ROUND($C$5*$C$22*$C$23*$C$24*S2*$C$28,0)</f>
        <v>#DIV/0!</v>
      </c>
      <c r="U2" s="1127"/>
      <c r="V2" s="3061" t="e">
        <f>ROUND(T2*U2/10000,0)</f>
        <v>#DIV/0!</v>
      </c>
      <c r="W2" s="1130"/>
      <c r="X2" s="1130"/>
      <c r="Y2" s="1130"/>
      <c r="Z2" s="1130"/>
      <c r="AA2" s="1130"/>
      <c r="AB2" s="1130"/>
      <c r="AC2" s="1131"/>
      <c r="AD2" s="1132"/>
      <c r="AE2" s="1132"/>
      <c r="AF2" s="1132"/>
      <c r="AG2" s="1132"/>
      <c r="AH2" s="1132"/>
      <c r="AI2" s="1132"/>
      <c r="AJ2" s="1133"/>
    </row>
    <row r="3" spans="1:36" ht="15.75">
      <c r="A3" s="193" t="s">
        <v>1935</v>
      </c>
      <c r="B3" s="194" t="e">
        <f>ROUND(B2*10000/D1,0)</f>
        <v>#DIV/0!</v>
      </c>
      <c r="C3" s="1843" t="s">
        <v>1936</v>
      </c>
      <c r="D3" s="160" t="s">
        <v>1937</v>
      </c>
      <c r="E3" s="3116"/>
      <c r="F3" s="1845"/>
      <c r="G3" s="706">
        <f>IF(F3="宗地容积率",'数据-汇总表'!I4,IF(F3="估价对象容积率",'数据-汇总表'!I6,'数据-汇总表'!I7))</f>
        <v>2.5</v>
      </c>
      <c r="H3" s="160" t="s">
        <v>1938</v>
      </c>
      <c r="I3" s="727"/>
      <c r="J3" s="1839" t="s">
        <v>1939</v>
      </c>
      <c r="K3" s="1054"/>
      <c r="L3" s="1844" t="s">
        <v>1940</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0</v>
      </c>
      <c r="T3" s="3061" t="e">
        <f t="shared" si="0"/>
        <v>#DIV/0!</v>
      </c>
      <c r="U3" s="1127"/>
      <c r="V3" s="3061" t="e">
        <f t="shared" ref="V3:V16" si="1">ROUND(T3*U3/10000,0)</f>
        <v>#DIV/0!</v>
      </c>
      <c r="W3" s="1130"/>
      <c r="X3" s="1130"/>
      <c r="Y3" s="1130"/>
      <c r="Z3" s="1130"/>
      <c r="AA3" s="1130"/>
      <c r="AB3" s="1130"/>
      <c r="AC3" s="1131"/>
      <c r="AD3" s="1132"/>
      <c r="AE3" s="1132"/>
      <c r="AF3" s="1132"/>
      <c r="AG3" s="1132"/>
      <c r="AH3" s="1132"/>
      <c r="AI3" s="1132"/>
      <c r="AJ3" s="1133"/>
    </row>
    <row r="4" spans="1:36" ht="15.75">
      <c r="A4" s="3480"/>
      <c r="B4" s="3481"/>
      <c r="C4" s="3481"/>
      <c r="D4" s="3482"/>
      <c r="E4" s="3482"/>
      <c r="F4" s="3482"/>
      <c r="G4" s="3482"/>
      <c r="H4" s="3482"/>
      <c r="I4" s="3482"/>
      <c r="J4" s="3483"/>
      <c r="K4" s="1054"/>
      <c r="L4" s="1844" t="s">
        <v>1941</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0</v>
      </c>
      <c r="T4" s="3061" t="e">
        <f t="shared" si="0"/>
        <v>#DIV/0!</v>
      </c>
      <c r="U4" s="1127"/>
      <c r="V4" s="3061"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1942</v>
      </c>
      <c r="C5" s="707" t="e">
        <f>ROUND(IF(E2="商业",C6*C7*C17+C20,(IF(E2="住宅",C6*C13*C17+C20,IF(E2="办公",C6*C12*C17+C20,C6+C20)))),0)</f>
        <v>#DIV/0!</v>
      </c>
      <c r="D5" s="1249" t="e">
        <f>ROUND(C6*C17+C20,0)</f>
        <v>#DIV/0!</v>
      </c>
      <c r="E5" s="1249"/>
      <c r="F5" s="1848"/>
      <c r="G5" s="1849"/>
      <c r="H5" s="1849"/>
      <c r="I5" s="1849"/>
      <c r="J5" s="1850"/>
      <c r="K5" s="1851"/>
      <c r="L5" s="1844" t="s">
        <v>1943</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v>
      </c>
      <c r="T5" s="3061" t="e">
        <f t="shared" si="0"/>
        <v>#DIV/0!</v>
      </c>
      <c r="U5" s="1127"/>
      <c r="V5" s="3061" t="e">
        <f t="shared" si="1"/>
        <v>#DIV/0!</v>
      </c>
      <c r="W5" s="1130"/>
      <c r="X5" s="1130"/>
      <c r="Y5" s="1130"/>
      <c r="Z5" s="1130"/>
      <c r="AA5" s="1130"/>
      <c r="AB5" s="1130"/>
      <c r="AC5" s="1852"/>
      <c r="AD5" s="1853"/>
      <c r="AE5" s="1853"/>
      <c r="AF5" s="1853"/>
      <c r="AG5" s="1853"/>
      <c r="AH5" s="1853"/>
      <c r="AI5" s="1853"/>
      <c r="AJ5" s="1854"/>
    </row>
    <row r="6" spans="1:36" ht="15.75" thickBot="1">
      <c r="A6" s="1856" t="s">
        <v>1944</v>
      </c>
      <c r="B6" s="1857" t="s">
        <v>1945</v>
      </c>
      <c r="C6" s="708">
        <f>SUMIF(L1:L12,G2,M1:M12)</f>
        <v>0</v>
      </c>
      <c r="D6" s="1858"/>
      <c r="E6" s="1859"/>
      <c r="F6" s="1859"/>
      <c r="G6" s="1860"/>
      <c r="H6" s="1860"/>
      <c r="I6" s="1860"/>
      <c r="J6" s="1861"/>
      <c r="K6" s="1289"/>
      <c r="L6" s="1844" t="s">
        <v>1946</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v>
      </c>
      <c r="T6" s="3061" t="e">
        <f t="shared" si="0"/>
        <v>#DIV/0!</v>
      </c>
      <c r="U6" s="1127"/>
      <c r="V6" s="3061" t="e">
        <f t="shared" si="1"/>
        <v>#DIV/0!</v>
      </c>
      <c r="W6" s="1130"/>
      <c r="X6" s="1130"/>
      <c r="Y6" s="1130"/>
      <c r="Z6" s="1130"/>
      <c r="AA6" s="1130"/>
      <c r="AB6" s="1130"/>
      <c r="AC6" s="1852"/>
      <c r="AD6" s="1853"/>
      <c r="AE6" s="1853"/>
      <c r="AF6" s="1853"/>
      <c r="AG6" s="1853"/>
      <c r="AH6" s="1853"/>
      <c r="AI6" s="1853"/>
      <c r="AJ6" s="1854"/>
    </row>
    <row r="7" spans="1:36" ht="24.75" thickBot="1">
      <c r="A7" s="3010" t="s">
        <v>3234</v>
      </c>
      <c r="B7" s="1862" t="s">
        <v>1947</v>
      </c>
      <c r="C7" s="709" t="e">
        <f>IF(C8="不临65条商业街",1,ROUND(1+(1.6*E8+1.2*E9+0.8*E10+0.4*E11)*C9,4))</f>
        <v>#DIV/0!</v>
      </c>
      <c r="D7" s="1863" t="s">
        <v>1948</v>
      </c>
      <c r="E7" s="728"/>
      <c r="F7" s="1864"/>
      <c r="G7" s="1865"/>
      <c r="H7" s="1865"/>
      <c r="I7" s="1865"/>
      <c r="J7" s="1866"/>
      <c r="K7" s="1289"/>
      <c r="L7" s="1844" t="s">
        <v>1949</v>
      </c>
      <c r="M7" s="809">
        <f>SUMPRODUCT((区片价!B190:B233=I2)*(区片价!C3:G3=E2)*(区片价!C190:G233))</f>
        <v>0</v>
      </c>
      <c r="N7" s="811">
        <f>SUMPRODUCT((因素修正幅度!B190:B233=I2)*(因素修正幅度!C3:G3=E2)*(因素修正幅度!C190:G233))</f>
        <v>0</v>
      </c>
      <c r="O7" s="1054"/>
      <c r="P7" s="1054"/>
      <c r="Q7" s="1054"/>
      <c r="R7" s="1126">
        <v>6</v>
      </c>
      <c r="S7" s="3115"/>
      <c r="T7" s="3061" t="e">
        <f t="shared" si="0"/>
        <v>#DIV/0!</v>
      </c>
      <c r="U7" s="1127"/>
      <c r="V7" s="3061" t="e">
        <f t="shared" si="1"/>
        <v>#DIV/0!</v>
      </c>
      <c r="W7" s="1264" t="s">
        <v>1950</v>
      </c>
      <c r="X7" s="1128">
        <f>G2</f>
        <v>0</v>
      </c>
      <c r="Y7" s="1128" t="s">
        <v>1951</v>
      </c>
      <c r="Z7" s="1129">
        <f>G3</f>
        <v>2.5</v>
      </c>
      <c r="AA7" s="1130"/>
      <c r="AB7" s="1130"/>
      <c r="AC7" s="1131"/>
      <c r="AD7" s="1132"/>
      <c r="AE7" s="1132"/>
      <c r="AF7" s="1132"/>
      <c r="AG7" s="1132"/>
      <c r="AH7" s="1132"/>
      <c r="AI7" s="1132"/>
      <c r="AJ7" s="1133"/>
    </row>
    <row r="8" spans="1:36" ht="15">
      <c r="A8" s="3007"/>
      <c r="B8" s="160" t="s">
        <v>1952</v>
      </c>
      <c r="C8" s="1867"/>
      <c r="D8" s="710" t="s">
        <v>112</v>
      </c>
      <c r="E8" s="711" t="e">
        <f>ROUND(C11/E7,4)</f>
        <v>#DIV/0!</v>
      </c>
      <c r="F8" s="1868" t="s">
        <v>1953</v>
      </c>
      <c r="G8" s="1869"/>
      <c r="H8" s="1869"/>
      <c r="I8" s="1869"/>
      <c r="J8" s="1870"/>
      <c r="K8" s="1054"/>
      <c r="L8" s="1844" t="s">
        <v>1954</v>
      </c>
      <c r="M8" s="809">
        <f>SUMPRODUCT((区片价!B234:B276=I2)*(区片价!C3:G3=E2)*(区片价!C234:G276))</f>
        <v>0</v>
      </c>
      <c r="N8" s="811">
        <f>SUMPRODUCT((因素修正幅度!B234:B276=I2)*(因素修正幅度!C3:G3=E2)*(因素修正幅度!C234:G276))</f>
        <v>0</v>
      </c>
      <c r="O8" s="1054"/>
      <c r="P8" s="1054"/>
      <c r="Q8" s="1054"/>
      <c r="R8" s="1126">
        <v>7</v>
      </c>
      <c r="S8" s="1127"/>
      <c r="T8" s="3061" t="e">
        <f t="shared" si="0"/>
        <v>#DIV/0!</v>
      </c>
      <c r="U8" s="1127"/>
      <c r="V8" s="3061" t="e">
        <f t="shared" si="1"/>
        <v>#DIV/0!</v>
      </c>
      <c r="W8" s="3477" t="s">
        <v>1955</v>
      </c>
      <c r="X8" s="3478"/>
      <c r="Y8" s="1134" t="s">
        <v>1956</v>
      </c>
      <c r="Z8" s="1134" t="s">
        <v>1957</v>
      </c>
      <c r="AA8" s="1134" t="s">
        <v>1958</v>
      </c>
      <c r="AB8" s="1134" t="s">
        <v>1959</v>
      </c>
      <c r="AC8" s="1134" t="s">
        <v>1960</v>
      </c>
      <c r="AD8" s="1134" t="s">
        <v>1961</v>
      </c>
      <c r="AE8" s="1134" t="s">
        <v>1962</v>
      </c>
      <c r="AF8" s="1134" t="s">
        <v>1963</v>
      </c>
      <c r="AG8" s="1134" t="s">
        <v>1964</v>
      </c>
      <c r="AH8" s="1134" t="s">
        <v>1965</v>
      </c>
      <c r="AI8" s="1134" t="s">
        <v>1966</v>
      </c>
      <c r="AJ8" s="1134" t="s">
        <v>1967</v>
      </c>
    </row>
    <row r="9" spans="1:36" ht="15">
      <c r="A9" s="3007"/>
      <c r="B9" s="160" t="s">
        <v>1968</v>
      </c>
      <c r="C9" s="712">
        <f>SUMIF(修正!C71:C138,C8,修正!E71:E138)</f>
        <v>0</v>
      </c>
      <c r="D9" s="161" t="s">
        <v>113</v>
      </c>
      <c r="E9" s="161" t="e">
        <f>ROUND(C11/E7,4)</f>
        <v>#DIV/0!</v>
      </c>
      <c r="F9" s="1868" t="s">
        <v>1969</v>
      </c>
      <c r="G9" s="1869"/>
      <c r="H9" s="1869"/>
      <c r="I9" s="1869"/>
      <c r="J9" s="1870"/>
      <c r="K9" s="1054"/>
      <c r="L9" s="1844" t="s">
        <v>1970</v>
      </c>
      <c r="M9" s="809">
        <f>SUMPRODUCT((区片价!B277:B326=I2)*(区片价!C3:G3=E2)*(区片价!C277:G326))</f>
        <v>0</v>
      </c>
      <c r="N9" s="811">
        <f>SUMPRODUCT((因素修正幅度!B277:B326=I2)*(因素修正幅度!C3:G3=E2)*(因素修正幅度!C277:G326))</f>
        <v>0</v>
      </c>
      <c r="O9" s="1054"/>
      <c r="P9" s="1054"/>
      <c r="Q9" s="1054"/>
      <c r="R9" s="1126">
        <v>8</v>
      </c>
      <c r="S9" s="1127"/>
      <c r="T9" s="3061" t="e">
        <f t="shared" si="0"/>
        <v>#DIV/0!</v>
      </c>
      <c r="U9" s="1127"/>
      <c r="V9" s="3061" t="e">
        <f t="shared" si="1"/>
        <v>#DIV/0!</v>
      </c>
      <c r="W9" s="347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1971</v>
      </c>
      <c r="C10" s="161">
        <f>SUMIF(修正!C71:C138,C8,修正!F71:F138)</f>
        <v>0</v>
      </c>
      <c r="D10" s="161" t="s">
        <v>114</v>
      </c>
      <c r="E10" s="161" t="e">
        <f>ROUND(C11/E7,4)</f>
        <v>#DIV/0!</v>
      </c>
      <c r="F10" s="1868" t="s">
        <v>1972</v>
      </c>
      <c r="G10" s="1869"/>
      <c r="H10" s="1869"/>
      <c r="I10" s="1869"/>
      <c r="J10" s="1870"/>
      <c r="K10" s="1054"/>
      <c r="L10" s="1844" t="s">
        <v>1973</v>
      </c>
      <c r="M10" s="809">
        <f>SUMPRODUCT((区片价!B327:B357=I2)*(区片价!C3:G3=E2)*(区片价!C327:G357))</f>
        <v>0</v>
      </c>
      <c r="N10" s="811">
        <f>SUMPRODUCT((因素修正幅度!B327:B357=I2)*(因素修正幅度!C3:G3=E2)*(因素修正幅度!C327:G357))</f>
        <v>0</v>
      </c>
      <c r="O10" s="1054"/>
      <c r="P10" s="1054"/>
      <c r="Q10" s="1054"/>
      <c r="R10" s="1126">
        <v>9</v>
      </c>
      <c r="S10" s="1127"/>
      <c r="T10" s="3061" t="e">
        <f t="shared" si="0"/>
        <v>#DIV/0!</v>
      </c>
      <c r="U10" s="1127"/>
      <c r="V10" s="3061" t="e">
        <f t="shared" si="1"/>
        <v>#DIV/0!</v>
      </c>
      <c r="W10" s="34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1974</v>
      </c>
      <c r="C11" s="713">
        <f>C10/4</f>
        <v>0</v>
      </c>
      <c r="D11" s="713" t="s">
        <v>115</v>
      </c>
      <c r="E11" s="713" t="e">
        <f>ROUND(C11/E7,4)</f>
        <v>#DIV/0!</v>
      </c>
      <c r="F11" s="1872" t="s">
        <v>1975</v>
      </c>
      <c r="G11" s="1873"/>
      <c r="H11" s="1873"/>
      <c r="I11" s="1873"/>
      <c r="J11" s="1874"/>
      <c r="K11" s="1054"/>
      <c r="L11" s="1844" t="s">
        <v>1976</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t="e">
        <f t="shared" si="0"/>
        <v>#DIV/0!</v>
      </c>
      <c r="U11" s="1127"/>
      <c r="V11" s="3061" t="e">
        <f t="shared" si="1"/>
        <v>#DIV/0!</v>
      </c>
      <c r="W11" s="1130"/>
      <c r="X11" s="1130"/>
      <c r="Y11" s="1130"/>
      <c r="Z11" s="1130"/>
      <c r="AA11" s="1130"/>
      <c r="AB11" s="1130"/>
      <c r="AC11" s="1131"/>
      <c r="AD11" s="2551"/>
      <c r="AE11" s="2551"/>
      <c r="AF11" s="2551"/>
      <c r="AG11" s="2551"/>
      <c r="AH11" s="2551"/>
      <c r="AI11" s="2551"/>
      <c r="AJ11" s="2552"/>
    </row>
    <row r="12" spans="1:36" ht="25.5" thickBot="1">
      <c r="A12" s="3010" t="s">
        <v>3235</v>
      </c>
      <c r="B12" s="3011" t="s">
        <v>3236</v>
      </c>
      <c r="C12" s="3012"/>
      <c r="D12" s="3013" t="s">
        <v>3237</v>
      </c>
      <c r="E12" s="3014" t="s">
        <v>3238</v>
      </c>
      <c r="F12" s="3015"/>
      <c r="G12" s="3016"/>
      <c r="H12" s="3016"/>
      <c r="I12" s="3016"/>
      <c r="J12" s="3017"/>
      <c r="K12" s="1054"/>
      <c r="L12" s="1793" t="s">
        <v>1979</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t="e">
        <f t="shared" si="0"/>
        <v>#DIV/0!</v>
      </c>
      <c r="U12" s="1127"/>
      <c r="V12" s="3061" t="e">
        <f t="shared" si="1"/>
        <v>#DIV/0!</v>
      </c>
      <c r="W12" s="1130"/>
      <c r="X12" s="1130"/>
      <c r="Y12" s="1130"/>
      <c r="Z12" s="1130"/>
      <c r="AA12" s="1130"/>
      <c r="AB12" s="1130"/>
      <c r="AC12" s="1131"/>
      <c r="AD12" s="2551"/>
      <c r="AE12" s="2551"/>
      <c r="AF12" s="2551"/>
      <c r="AG12" s="2551"/>
      <c r="AH12" s="2551"/>
      <c r="AI12" s="2551"/>
      <c r="AJ12" s="2552"/>
    </row>
    <row r="13" spans="1:36" ht="15.75" thickBot="1">
      <c r="A13" s="3010" t="s">
        <v>3239</v>
      </c>
      <c r="B13" s="1875" t="s">
        <v>1977</v>
      </c>
      <c r="C13" s="709">
        <f>ROUND(C16*D16*E16*F16*G16*H16*I16*J16,4)</f>
        <v>0</v>
      </c>
      <c r="D13" s="1876" t="s">
        <v>1978</v>
      </c>
      <c r="E13" s="1877"/>
      <c r="F13" s="1877"/>
      <c r="G13" s="1878"/>
      <c r="H13" s="1878"/>
      <c r="I13" s="1878"/>
      <c r="J13" s="1879"/>
      <c r="K13" s="1054"/>
      <c r="L13" s="3"/>
      <c r="M13" s="4"/>
      <c r="N13" s="3008"/>
      <c r="O13" s="1054"/>
      <c r="P13" s="1054"/>
      <c r="Q13" s="1054"/>
      <c r="R13" s="1126">
        <v>12</v>
      </c>
      <c r="S13" s="1127"/>
      <c r="T13" s="3061" t="e">
        <f t="shared" si="0"/>
        <v>#DIV/0!</v>
      </c>
      <c r="U13" s="1127"/>
      <c r="V13" s="3061" t="e">
        <f t="shared" si="1"/>
        <v>#DIV/0!</v>
      </c>
      <c r="W13" s="1130"/>
      <c r="X13" s="1130"/>
      <c r="Y13" s="1130"/>
      <c r="Z13" s="1130"/>
      <c r="AA13" s="1130"/>
      <c r="AB13" s="1130"/>
      <c r="AC13" s="1131"/>
      <c r="AD13" s="2551"/>
      <c r="AE13" s="2551"/>
      <c r="AF13" s="2551"/>
      <c r="AG13" s="2551"/>
      <c r="AH13" s="2551"/>
      <c r="AI13" s="2551"/>
      <c r="AJ13" s="2552"/>
    </row>
    <row r="14" spans="1:36" ht="15">
      <c r="A14" s="3006"/>
      <c r="B14" s="1880" t="s">
        <v>1980</v>
      </c>
      <c r="C14" s="1881" t="s">
        <v>1981</v>
      </c>
      <c r="D14" s="1258" t="s">
        <v>1982</v>
      </c>
      <c r="E14" s="27" t="s">
        <v>1983</v>
      </c>
      <c r="F14" s="3018" t="s">
        <v>3240</v>
      </c>
      <c r="G14" s="3018" t="s">
        <v>3240</v>
      </c>
      <c r="H14" s="3018" t="s">
        <v>3240</v>
      </c>
      <c r="I14" s="3018" t="s">
        <v>3240</v>
      </c>
      <c r="J14" s="3018" t="s">
        <v>3240</v>
      </c>
      <c r="K14" s="1054"/>
      <c r="L14" s="1054"/>
      <c r="M14" s="1054"/>
      <c r="N14" s="1054"/>
      <c r="O14" s="1054"/>
      <c r="P14" s="1054"/>
      <c r="Q14" s="1054"/>
      <c r="R14" s="1126">
        <v>13</v>
      </c>
      <c r="S14" s="1127"/>
      <c r="T14" s="3061" t="e">
        <f t="shared" si="0"/>
        <v>#DIV/0!</v>
      </c>
      <c r="U14" s="1127"/>
      <c r="V14" s="3061" t="e">
        <f t="shared" si="1"/>
        <v>#DIV/0!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3241</v>
      </c>
      <c r="G15" s="1925"/>
      <c r="H15" s="3019"/>
      <c r="I15" s="3020"/>
      <c r="J15" s="3021"/>
      <c r="K15" s="1054"/>
      <c r="L15" s="1054"/>
      <c r="M15" s="1054"/>
      <c r="N15" s="1054"/>
      <c r="O15" s="1054"/>
      <c r="P15" s="1054"/>
      <c r="Q15" s="1054"/>
      <c r="R15" s="1126">
        <v>14</v>
      </c>
      <c r="S15" s="1127"/>
      <c r="T15" s="3061" t="e">
        <f t="shared" si="0"/>
        <v>#DIV/0!</v>
      </c>
      <c r="U15" s="1127"/>
      <c r="V15" s="3061" t="e">
        <f t="shared" si="1"/>
        <v>#DIV/0!</v>
      </c>
      <c r="W15" s="1130"/>
      <c r="X15" s="1130"/>
      <c r="Y15" s="1130"/>
      <c r="Z15" s="1130"/>
      <c r="AA15" s="1130"/>
      <c r="AB15" s="1130"/>
      <c r="AC15" s="1131"/>
      <c r="AD15" s="2551"/>
      <c r="AE15" s="2551"/>
      <c r="AF15" s="2551"/>
      <c r="AG15" s="2551"/>
      <c r="AH15" s="2551"/>
      <c r="AI15" s="2551"/>
      <c r="AJ15" s="2552"/>
    </row>
    <row r="16" spans="1:36" ht="15.75" thickBot="1">
      <c r="A16" s="3006"/>
      <c r="B16" s="3024" t="s">
        <v>1984</v>
      </c>
      <c r="C16" s="3022"/>
      <c r="D16" s="3022"/>
      <c r="E16" s="3022"/>
      <c r="F16" s="3022">
        <v>1</v>
      </c>
      <c r="G16" s="3022">
        <v>1</v>
      </c>
      <c r="H16" s="3022">
        <v>1</v>
      </c>
      <c r="I16" s="3022">
        <v>1</v>
      </c>
      <c r="J16" s="3023">
        <v>1</v>
      </c>
      <c r="K16" s="1054"/>
      <c r="L16" s="1841"/>
      <c r="M16" s="1841"/>
      <c r="N16" s="1841"/>
      <c r="O16" s="1841"/>
      <c r="P16" s="1841"/>
      <c r="Q16" s="1054"/>
      <c r="R16" s="1126">
        <v>15</v>
      </c>
      <c r="S16" s="1127"/>
      <c r="T16" s="3061" t="e">
        <f t="shared" si="0"/>
        <v>#DIV/0!</v>
      </c>
      <c r="U16" s="1127"/>
      <c r="V16" s="3061" t="e">
        <f t="shared" si="1"/>
        <v>#DIV/0!</v>
      </c>
      <c r="W16" s="1130"/>
      <c r="X16" s="1130"/>
      <c r="Y16" s="1130"/>
      <c r="Z16" s="1130"/>
      <c r="AA16" s="1130"/>
      <c r="AB16" s="1130"/>
      <c r="AC16" s="1131"/>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t="e">
        <f>ROUND(G18/I18,2)</f>
        <v>#DIV/0!</v>
      </c>
      <c r="F17" s="3026" t="s">
        <v>3247</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3245</v>
      </c>
      <c r="E18" s="2354"/>
      <c r="F18" s="3028" t="s">
        <v>3248</v>
      </c>
      <c r="G18" s="3032">
        <f>ROUND(1-(1/(POWER(1+G24,E18))),4)</f>
        <v>0</v>
      </c>
      <c r="H18" s="3028" t="s">
        <v>3250</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3246</v>
      </c>
      <c r="E19" s="3041"/>
      <c r="F19" s="3042" t="s">
        <v>3249</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484" t="s">
        <v>3251</v>
      </c>
      <c r="B20" s="157" t="s">
        <v>1989</v>
      </c>
      <c r="C20" s="3029" t="e">
        <f>ROUND(IF(F21="与级别开发程度一致",0,(G21-E21)/C21),0)</f>
        <v>#DIV/0!</v>
      </c>
      <c r="D20" s="3044" t="s">
        <v>1993</v>
      </c>
      <c r="E20" s="3045"/>
      <c r="F20" s="3490" t="s">
        <v>1990</v>
      </c>
      <c r="G20" s="3491"/>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5" thickBot="1">
      <c r="A21" s="3485"/>
      <c r="B21" s="1999" t="s">
        <v>1992</v>
      </c>
      <c r="C21" s="2000">
        <f>IF(E3="M4科研用地",SUMPRODUCT((修正!A2:A7=E3)*(修正!B1:M1=G2)*(修正!B2:M7)),SUMPRODUCT((修正!A2:A7=E2)*(修正!B1:M1=G2)*(修正!B2:M7)))</f>
        <v>0</v>
      </c>
      <c r="D21" s="177"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1995</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1996</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1997</v>
      </c>
      <c r="E23" s="715">
        <v>44197</v>
      </c>
      <c r="F23" s="1893" t="s">
        <v>1998</v>
      </c>
      <c r="G23" s="716">
        <f>'数据-取费表'!B2</f>
        <v>45604</v>
      </c>
      <c r="H23" s="3046" t="s">
        <v>3253</v>
      </c>
      <c r="I23" s="3047" t="str">
        <f>IF(H23="季度增幅（自定义）",SUMIF(N25:N28,E2,O25:O28),"")</f>
        <v/>
      </c>
      <c r="J23" s="3139" t="s">
        <v>3252</v>
      </c>
      <c r="K23" s="1059"/>
      <c r="L23" s="1894" t="s">
        <v>1999</v>
      </c>
      <c r="M23" s="1238">
        <f>ROUND(SUMIF(地价!B2:G2,E2,地价!B16:G16),0)</f>
        <v>0</v>
      </c>
      <c r="N23" s="1895" t="s">
        <v>2000</v>
      </c>
      <c r="O23" s="717">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2001</v>
      </c>
      <c r="C24" s="718" t="e">
        <f>ROUND(POWER(1+G24,J24-I24)*(POWER(1+G24,I24)-1)/(POWER(1+G24,J24)-1),4)</f>
        <v>#DIV/0!</v>
      </c>
      <c r="D24" s="1899" t="s">
        <v>2002</v>
      </c>
      <c r="E24" s="1245">
        <f>存贷款利率!E27/100</f>
        <v>4.3499999999999997E-2</v>
      </c>
      <c r="F24" s="1899" t="s">
        <v>1994</v>
      </c>
      <c r="G24" s="722">
        <f>SUMIF(M30:Q30,E2,M33:Q33)</f>
        <v>0</v>
      </c>
      <c r="H24" s="1899" t="s">
        <v>2003</v>
      </c>
      <c r="I24" s="723" t="e">
        <f>SUMIF('数据-取费表'!C6:C15,E2,'数据-取费表'!F6:F15)/COUNTIF('数据-取费表'!C6:C15,E2)</f>
        <v>#DIV/0!</v>
      </c>
      <c r="J24" s="724">
        <f>IF(E2="住宅",70,IF(E2="商业",40,50))</f>
        <v>50</v>
      </c>
      <c r="K24" s="1059"/>
      <c r="L24" s="1900" t="s">
        <v>2004</v>
      </c>
      <c r="M24" s="1239">
        <f>ROUND(SUMPRODUCT((地价!A4:A16=YEAR(G23)&amp;"-"&amp;ROUNDUP(MONTH(G23)/3,0))*(地价!B2:G2=E2)*(地价!B4:G16)),0)</f>
        <v>0</v>
      </c>
      <c r="N24" s="1901" t="s">
        <v>2005</v>
      </c>
      <c r="O24" s="1902" t="s">
        <v>2006</v>
      </c>
      <c r="P24" s="1903" t="s">
        <v>2007</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3332</v>
      </c>
      <c r="C25" s="459">
        <f>IF(B25="容积率修正",IF(G3&lt;10,D26,J26),C27)</f>
        <v>0</v>
      </c>
      <c r="D25" s="1906"/>
      <c r="E25" s="1906"/>
      <c r="F25" s="1906"/>
      <c r="G25" s="1906"/>
      <c r="H25" s="1906"/>
      <c r="I25" s="1906"/>
      <c r="J25" s="1907"/>
      <c r="K25" s="1059"/>
      <c r="L25" s="2550"/>
      <c r="M25" s="2550"/>
      <c r="N25" s="1908" t="s">
        <v>2008</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2009</v>
      </c>
      <c r="B26" s="1909" t="s">
        <v>2010</v>
      </c>
      <c r="C26" s="1909" t="s">
        <v>3254</v>
      </c>
      <c r="D26" s="1260">
        <f>IF(E26=G26,F26,IF(G3&lt;10,ROUND(F26+(H26-F26)*(G3-E26)/(G26-E26),4),"——"))</f>
        <v>0</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3255</v>
      </c>
      <c r="J26" s="372" t="str">
        <f>IF(G3&gt;=10,D115,"——")</f>
        <v>——</v>
      </c>
      <c r="K26" s="1059"/>
      <c r="L26" s="2550"/>
      <c r="M26" s="2550"/>
      <c r="N26" s="1908" t="s">
        <v>2011</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2012</v>
      </c>
      <c r="B27" s="1910" t="s">
        <v>2013</v>
      </c>
      <c r="C27" s="789">
        <f>ROUND(IF(I3&lt;6,SUMPRODUCT((B106:B110=I3)*(C105:N105=G2)*(C106:N110)),SUMIF(C105:N105,G2,C112:N112)),4)</f>
        <v>0</v>
      </c>
      <c r="D27" s="1839"/>
      <c r="E27" s="1839"/>
      <c r="F27" s="1911"/>
      <c r="G27" s="1912"/>
      <c r="H27" s="1913"/>
      <c r="I27" s="1914"/>
      <c r="J27" s="1915"/>
      <c r="K27" s="1054"/>
      <c r="L27" s="1841"/>
      <c r="M27" s="1841"/>
      <c r="N27" s="1908" t="s">
        <v>2014</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2015</v>
      </c>
      <c r="C28" s="714">
        <f>SUMIF(A47:A101,E2,B47:B101)</f>
        <v>0</v>
      </c>
      <c r="D28" s="1891"/>
      <c r="E28" s="1916"/>
      <c r="F28" s="1916"/>
      <c r="G28" s="1916"/>
      <c r="H28" s="1916"/>
      <c r="I28" s="1916"/>
      <c r="J28" s="1917"/>
      <c r="K28" s="1059"/>
      <c r="L28" s="2550"/>
      <c r="M28" s="2550"/>
      <c r="N28" s="1918" t="s">
        <v>2016</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2017</v>
      </c>
      <c r="C29" s="719"/>
      <c r="D29" s="1865"/>
      <c r="E29" s="1865"/>
      <c r="F29" s="1920"/>
      <c r="G29" s="1865"/>
      <c r="H29" s="1865"/>
      <c r="I29" s="1865"/>
      <c r="J29" s="1866"/>
      <c r="K29" s="1054"/>
      <c r="L29" s="1841"/>
      <c r="M29" s="1841"/>
      <c r="N29" s="2547" t="s">
        <v>2018</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2019</v>
      </c>
      <c r="C30" s="2142" t="e">
        <f>IF(B25="容积率修正",E33+SUM(E37:E42),SUM(V2:V16)+SUM(E37:E42))</f>
        <v>#DIV/0!</v>
      </c>
      <c r="D30" s="1922"/>
      <c r="E30" s="1839"/>
      <c r="F30" s="1923"/>
      <c r="G30" s="1839"/>
      <c r="H30" s="1839"/>
      <c r="I30" s="1839"/>
      <c r="J30" s="1924"/>
      <c r="K30" s="1054"/>
      <c r="L30" s="3053" t="s">
        <v>1931</v>
      </c>
      <c r="M30" s="3054" t="s">
        <v>1985</v>
      </c>
      <c r="N30" s="3054" t="s">
        <v>1986</v>
      </c>
      <c r="O30" s="3054" t="s">
        <v>1987</v>
      </c>
      <c r="P30" s="3054" t="s">
        <v>1988</v>
      </c>
      <c r="Q30" s="3057" t="s">
        <v>3259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2020</v>
      </c>
      <c r="C31" s="720" t="e">
        <f>E34+SUM(I37:I42)</f>
        <v>#DIV/0!</v>
      </c>
      <c r="D31" s="1926"/>
      <c r="E31" s="1927"/>
      <c r="F31" s="1928"/>
      <c r="G31" s="1927"/>
      <c r="H31" s="1927"/>
      <c r="I31" s="1927"/>
      <c r="J31" s="1929"/>
      <c r="K31" s="1054"/>
      <c r="L31" s="3055" t="s">
        <v>1991</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2021</v>
      </c>
      <c r="C32" s="1932" t="s">
        <v>2022</v>
      </c>
      <c r="D32" s="1932" t="s">
        <v>2023</v>
      </c>
      <c r="E32" s="1933" t="s">
        <v>2024</v>
      </c>
      <c r="F32" s="1934"/>
      <c r="G32" s="1878"/>
      <c r="H32" s="1878"/>
      <c r="I32" s="1878"/>
      <c r="J32" s="1879"/>
      <c r="K32" s="1054"/>
      <c r="L32" s="3056" t="s">
        <v>1994</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2025</v>
      </c>
      <c r="C33" s="165" t="e">
        <f>ROUND(C5*C22*C23*C24*C25*C28,0)</f>
        <v>#DIV/0!</v>
      </c>
      <c r="D33" s="1937"/>
      <c r="E33" s="725" t="e">
        <f>ROUND(C33*D33/10000,0)</f>
        <v>#DIV/0!</v>
      </c>
      <c r="F33" s="3048" t="s">
        <v>3257</v>
      </c>
      <c r="G33" s="1938"/>
      <c r="H33" s="1938"/>
      <c r="I33" s="1938"/>
      <c r="J33" s="1939"/>
      <c r="K33" s="1054"/>
      <c r="L33" s="3051" t="s">
        <v>3260</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2026</v>
      </c>
      <c r="C34" s="177" t="e">
        <f>ROUND(IF(E2="工业",C33*M42,IF(B25="楼层修正",SUM(V2:V16)*M41*10000/D34,C33*M41)),0)</f>
        <v>#DIV/0!</v>
      </c>
      <c r="D34" s="1942"/>
      <c r="E34" s="725" t="e">
        <f>ROUND(IF(B25="楼层修正",SUM(V2:V16)*M40,C34*D34/10000),0)</f>
        <v>#DIV/0!</v>
      </c>
      <c r="F34" s="1943" t="s">
        <v>2027</v>
      </c>
      <c r="G34" s="1944"/>
      <c r="H34" s="1944"/>
      <c r="I34" s="1944"/>
      <c r="J34" s="1945"/>
      <c r="K34" s="1054"/>
      <c r="L34" s="3051" t="s">
        <v>3261</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2028</v>
      </c>
      <c r="C35" s="3049" t="s">
        <v>3258</v>
      </c>
      <c r="D35" s="1878"/>
      <c r="E35" s="1948"/>
      <c r="F35" s="1948"/>
      <c r="G35" s="1876" t="s">
        <v>2029</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2022</v>
      </c>
      <c r="D36" s="431" t="s">
        <v>2023</v>
      </c>
      <c r="E36" s="431" t="s">
        <v>2024</v>
      </c>
      <c r="F36" s="331" t="s">
        <v>2030</v>
      </c>
      <c r="G36" s="1951" t="s">
        <v>2022</v>
      </c>
      <c r="H36" s="1951" t="s">
        <v>2023</v>
      </c>
      <c r="I36" s="1951" t="s">
        <v>2024</v>
      </c>
      <c r="J36" s="233"/>
      <c r="K36" s="1961" t="s">
        <v>3262</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488"/>
      <c r="B37" s="1952" t="s">
        <v>2031</v>
      </c>
      <c r="C37" s="165" t="e">
        <f>ROUND(D5*C22*C23*C24*C28*F37,0)</f>
        <v>#DIV/0!</v>
      </c>
      <c r="D37" s="1937"/>
      <c r="E37" s="161" t="e">
        <f>ROUND(C37*D37/10000,0)</f>
        <v>#DIV/0!</v>
      </c>
      <c r="F37" s="161">
        <f>SUMIF(修正!A57:A68,G2,修正!B57:B68)</f>
        <v>0</v>
      </c>
      <c r="G37" s="161" t="e">
        <f>ROUND(IF(E2="工业",C37*$M$42,C37*$M$41),0)</f>
        <v>#DIV/0!</v>
      </c>
      <c r="H37" s="161">
        <f>D37</f>
        <v>0</v>
      </c>
      <c r="I37" s="161" t="e">
        <f>ROUND(G37*H37/10000,0)</f>
        <v>#DIV/0!</v>
      </c>
      <c r="J37" s="2752"/>
      <c r="K37" s="3059" t="s">
        <v>3263</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489"/>
      <c r="B38" s="1881" t="s">
        <v>2032</v>
      </c>
      <c r="C38" s="165" t="e">
        <f>ROUND(D5*C22*C23*C24*C28*F38,0)</f>
        <v>#DIV/0!</v>
      </c>
      <c r="D38" s="1937"/>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489"/>
      <c r="B39" s="1881" t="s">
        <v>3256</v>
      </c>
      <c r="C39" s="165" t="e">
        <f>ROUND(D5*C22*C23*C24*C28*F39,0)</f>
        <v>#DIV/0!</v>
      </c>
      <c r="D39" s="1937"/>
      <c r="E39" s="161" t="e">
        <f t="shared" si="4"/>
        <v>#DIV/0!</v>
      </c>
      <c r="F39" s="161">
        <f>SUMIF(修正!A57:A68,G2,修正!D57:D68)</f>
        <v>0</v>
      </c>
      <c r="G39" s="161" t="e">
        <f>ROUND(IF(E2="工业",C39*$M$42,C39*$M$41),0)</f>
        <v>#DIV/0!</v>
      </c>
      <c r="H39" s="161">
        <f t="shared" si="5"/>
        <v>0</v>
      </c>
      <c r="I39" s="161"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2033</v>
      </c>
      <c r="C40" s="161" t="e">
        <f>ROUND(D5*C22*C23*C24*C28*F40,0)</f>
        <v>#DIV/0!</v>
      </c>
      <c r="D40" s="1937"/>
      <c r="E40" s="161" t="e">
        <f t="shared" si="4"/>
        <v>#DIV/0!</v>
      </c>
      <c r="F40" s="165">
        <f>SUMIF(修正!A57:A68,G2,修正!E57:E68)</f>
        <v>0</v>
      </c>
      <c r="G40" s="161" t="e">
        <f>ROUND(IF(E2="工业",C40*$M$42,C40*$M$41),0)</f>
        <v>#DIV/0!</v>
      </c>
      <c r="H40" s="161">
        <f t="shared" si="5"/>
        <v>0</v>
      </c>
      <c r="I40" s="161" t="e">
        <f t="shared" si="6"/>
        <v>#DIV/0!</v>
      </c>
      <c r="J40" s="937"/>
      <c r="L40" s="1954" t="s">
        <v>2034</v>
      </c>
      <c r="M40" s="1955"/>
      <c r="Z40" s="1055"/>
      <c r="AA40" s="1055"/>
      <c r="AB40" s="1055"/>
      <c r="AC40" s="1055"/>
      <c r="AD40" s="1055"/>
      <c r="AE40" s="1055"/>
      <c r="AF40" s="1055"/>
      <c r="AG40" s="1055"/>
      <c r="AH40" s="1055"/>
      <c r="AI40" s="1055"/>
      <c r="AJ40" s="1055"/>
    </row>
    <row r="41" spans="1:37" s="1054" customFormat="1">
      <c r="A41" s="1953"/>
      <c r="B41" s="1881" t="s">
        <v>2035</v>
      </c>
      <c r="C41" s="161" t="e">
        <f>ROUND(D5*C22*C23*C44*C28*F41,0)</f>
        <v>#DIV/0!</v>
      </c>
      <c r="D41" s="1937"/>
      <c r="E41" s="161" t="e">
        <f t="shared" si="4"/>
        <v>#DIV/0!</v>
      </c>
      <c r="F41" s="165">
        <f>SUMIF(修正!A57:A68,G2,修正!F57:F68)</f>
        <v>0</v>
      </c>
      <c r="G41" s="161" t="e">
        <f>ROUND(IF(E2="工业",C41*$M$42,C41*$M$41),0)</f>
        <v>#DIV/0!</v>
      </c>
      <c r="H41" s="161">
        <f t="shared" si="5"/>
        <v>0</v>
      </c>
      <c r="I41" s="161" t="e">
        <f t="shared" si="6"/>
        <v>#DIV/0!</v>
      </c>
      <c r="J41" s="937"/>
      <c r="L41" s="3060" t="s">
        <v>3264</v>
      </c>
      <c r="M41" s="1956">
        <v>0.25</v>
      </c>
      <c r="Z41" s="1055"/>
      <c r="AA41" s="1055"/>
      <c r="AB41" s="1055"/>
      <c r="AC41" s="1055"/>
      <c r="AD41" s="1055"/>
      <c r="AE41" s="1055"/>
      <c r="AF41" s="1055"/>
      <c r="AG41" s="1055"/>
      <c r="AH41" s="1055"/>
      <c r="AI41" s="1055"/>
      <c r="AJ41" s="1055"/>
    </row>
    <row r="42" spans="1:37" s="1054" customFormat="1" ht="13.5" thickBot="1">
      <c r="A42" s="1940"/>
      <c r="B42" s="1957" t="s">
        <v>2036</v>
      </c>
      <c r="C42" s="177" t="e">
        <f>ROUND(D5*C22*C23*C44*C28*F42,0)</f>
        <v>#DIV/0!</v>
      </c>
      <c r="D42" s="1942"/>
      <c r="E42" s="177" t="e">
        <f t="shared" si="4"/>
        <v>#DIV/0!</v>
      </c>
      <c r="F42" s="721">
        <f>SUMIF(修正!A57:A68,G2,修正!G57:G68)</f>
        <v>0</v>
      </c>
      <c r="G42" s="177" t="e">
        <f>ROUND(IF(E2="工业",C42*$M$42,C42*$M$41),0)</f>
        <v>#DIV/0!</v>
      </c>
      <c r="H42" s="177">
        <f t="shared" si="5"/>
        <v>0</v>
      </c>
      <c r="I42" s="177" t="e">
        <f t="shared" si="6"/>
        <v>#DIV/0!</v>
      </c>
      <c r="J42" s="1958"/>
      <c r="L42" s="1959" t="s">
        <v>1988</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2117</v>
      </c>
      <c r="C44" s="331" t="e">
        <f>ROUND(POWER(1+E44,H44-G44)*(POWER(1+E44,G44)-1)/(POWER(1+E44,H44)-1),4)</f>
        <v>#DIV/0!</v>
      </c>
      <c r="D44" s="161" t="s">
        <v>1994</v>
      </c>
      <c r="E44" s="1988">
        <f>G24</f>
        <v>0</v>
      </c>
      <c r="F44" s="161" t="s">
        <v>2003</v>
      </c>
      <c r="G44" s="173"/>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2037</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2038</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2039</v>
      </c>
      <c r="B49" s="1259" t="s">
        <v>2040</v>
      </c>
      <c r="C49" s="1259" t="s">
        <v>2041</v>
      </c>
      <c r="D49" s="1259" t="s">
        <v>2042</v>
      </c>
      <c r="E49" s="699" t="s">
        <v>2043</v>
      </c>
      <c r="F49" s="1968" t="s">
        <v>2044</v>
      </c>
      <c r="G49" s="1259" t="s">
        <v>310</v>
      </c>
      <c r="H49" s="1969" t="s">
        <v>2045</v>
      </c>
      <c r="I49" s="1259" t="s">
        <v>2046</v>
      </c>
      <c r="J49" s="528" t="s">
        <v>1717</v>
      </c>
      <c r="K49" s="528" t="s">
        <v>1718</v>
      </c>
      <c r="L49" s="528" t="s">
        <v>1719</v>
      </c>
      <c r="M49" s="528" t="s">
        <v>1720</v>
      </c>
      <c r="N49" s="528" t="s">
        <v>1721</v>
      </c>
      <c r="AA49" s="1055"/>
      <c r="AB49" s="1055"/>
      <c r="AC49" s="1055"/>
      <c r="AD49" s="1055"/>
      <c r="AE49" s="1055"/>
      <c r="AF49" s="1055"/>
      <c r="AG49" s="1055"/>
      <c r="AH49" s="1055"/>
      <c r="AI49" s="1055"/>
      <c r="AJ49" s="1055"/>
      <c r="AK49" s="1055"/>
    </row>
    <row r="50" spans="1:37" s="1054" customFormat="1" ht="38.25">
      <c r="A50" s="1967" t="s">
        <v>2047</v>
      </c>
      <c r="B50" s="1970" t="str">
        <f>估价对象房地状况!C4</f>
        <v>估价对象位于XX商圈，周边商业氛围成熟，人流量大，商业繁华度好</v>
      </c>
      <c r="C50" s="1884"/>
      <c r="D50" s="1000">
        <f t="shared" ref="D50:D58" si="7">SUMIF($J$49:$N$49,C50,J50:N50)</f>
        <v>0</v>
      </c>
      <c r="E50" s="700">
        <f>ROUND(SUM(D50:D58),4)</f>
        <v>0</v>
      </c>
      <c r="F50" s="1672"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38.25">
      <c r="A51" s="1967" t="s">
        <v>2048</v>
      </c>
      <c r="B51" s="1259" t="str">
        <f>估价对象房地状况!C18</f>
        <v>估价对象周边道路状况、公共交通通达情况、停车便捷程度，综合评价交通便捷度较好</v>
      </c>
      <c r="C51" s="1884"/>
      <c r="D51" s="1000">
        <f t="shared" si="7"/>
        <v>0</v>
      </c>
      <c r="E51" s="701"/>
      <c r="F51" s="1672"/>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3266</v>
      </c>
      <c r="B52" s="1259">
        <f>估价对象房地状况!C19</f>
        <v>0</v>
      </c>
      <c r="C52" s="1884"/>
      <c r="D52" s="1000">
        <f t="shared" si="7"/>
        <v>0</v>
      </c>
      <c r="E52" s="701"/>
      <c r="F52" s="1672"/>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2049</v>
      </c>
      <c r="B53" s="1971" t="s">
        <v>2050</v>
      </c>
      <c r="C53" s="1884"/>
      <c r="D53" s="1000">
        <f t="shared" si="7"/>
        <v>0</v>
      </c>
      <c r="E53" s="701"/>
      <c r="F53" s="1672"/>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2051</v>
      </c>
      <c r="B54" s="1259">
        <f>估价对象房地状况!C24</f>
        <v>0</v>
      </c>
      <c r="C54" s="1884"/>
      <c r="D54" s="1000">
        <f t="shared" si="7"/>
        <v>0</v>
      </c>
      <c r="E54" s="701"/>
      <c r="F54" s="1672"/>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2052</v>
      </c>
      <c r="B55" s="1972" t="s">
        <v>2053</v>
      </c>
      <c r="C55" s="1884"/>
      <c r="D55" s="1000">
        <f t="shared" si="7"/>
        <v>0</v>
      </c>
      <c r="E55" s="701"/>
      <c r="F55" s="1672"/>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3" t="s">
        <v>2054</v>
      </c>
      <c r="B56" s="1237" t="str">
        <f>估价对象房地状况!C21</f>
        <v>估价对象所在区域公共配套设施齐备情况</v>
      </c>
      <c r="C56" s="1884"/>
      <c r="D56" s="1000">
        <f t="shared" si="7"/>
        <v>0</v>
      </c>
      <c r="E56" s="701"/>
      <c r="F56" s="1672"/>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3" t="s">
        <v>2055</v>
      </c>
      <c r="B57" s="1259" t="str">
        <f>估价对象房地状况!C22</f>
        <v>估价对象所在区域基础设施水平</v>
      </c>
      <c r="C57" s="1884"/>
      <c r="D57" s="1000">
        <f t="shared" si="7"/>
        <v>0</v>
      </c>
      <c r="E57" s="701"/>
      <c r="F57" s="1672"/>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4" t="s">
        <v>2056</v>
      </c>
      <c r="B58" s="1975" t="str">
        <f>估价对象房地状况!C20</f>
        <v>区域自然环境：；人文环境；综合评价环境状况一般</v>
      </c>
      <c r="C58" s="1884"/>
      <c r="D58" s="1000">
        <f t="shared" si="7"/>
        <v>0</v>
      </c>
      <c r="E58" s="702"/>
      <c r="F58" s="1672"/>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2057</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2039</v>
      </c>
      <c r="B60" s="1259"/>
      <c r="C60" s="1259" t="s">
        <v>2041</v>
      </c>
      <c r="D60" s="1259" t="s">
        <v>2042</v>
      </c>
      <c r="E60" s="699" t="s">
        <v>2043</v>
      </c>
      <c r="F60" s="1968" t="s">
        <v>2058</v>
      </c>
      <c r="G60" s="1259" t="s">
        <v>310</v>
      </c>
      <c r="H60" s="1969" t="s">
        <v>2045</v>
      </c>
      <c r="I60" s="1259" t="s">
        <v>2046</v>
      </c>
      <c r="J60" s="528" t="s">
        <v>1717</v>
      </c>
      <c r="K60" s="528" t="s">
        <v>1718</v>
      </c>
      <c r="L60" s="528" t="s">
        <v>1719</v>
      </c>
      <c r="M60" s="528" t="s">
        <v>1720</v>
      </c>
      <c r="N60" s="528" t="s">
        <v>1721</v>
      </c>
      <c r="AA60" s="1055"/>
      <c r="AB60" s="1055"/>
      <c r="AC60" s="1055"/>
      <c r="AD60" s="1055"/>
      <c r="AE60" s="1055"/>
      <c r="AF60" s="1055"/>
      <c r="AG60" s="1055"/>
      <c r="AH60" s="1055"/>
      <c r="AI60" s="1055"/>
      <c r="AJ60" s="1055"/>
      <c r="AK60" s="1055"/>
    </row>
    <row r="61" spans="1:37" s="1054" customFormat="1" ht="38.25">
      <c r="A61" s="1967" t="s">
        <v>2059</v>
      </c>
      <c r="B61" s="1970" t="str">
        <f>估价对象房地状况!C17</f>
        <v>估价对象位于XX商圈，周边办公楼项目较多，入驻率高，办公集聚程度较好</v>
      </c>
      <c r="C61" s="1884"/>
      <c r="D61" s="1000">
        <f t="shared" ref="D61:D69" si="12">SUMIF($J$60:$N$60,C61,J61:N61)</f>
        <v>0</v>
      </c>
      <c r="E61" s="700">
        <f>ROUND(SUM(D61:D69),4)</f>
        <v>0</v>
      </c>
      <c r="F61" s="1672" t="str">
        <f>IF(E2="办公",SUMIF(L1:L12,G2,N1:N12),"——")</f>
        <v>——</v>
      </c>
      <c r="G61" s="998"/>
      <c r="H61" s="1001" t="str">
        <f t="shared" ref="H61:H69" si="13">IFERROR(ROUNDDOWN($F$61*I61/2,4),"——")</f>
        <v>——</v>
      </c>
      <c r="I61" s="3066">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38.25">
      <c r="A62" s="1967" t="s">
        <v>2048</v>
      </c>
      <c r="B62" s="1259" t="str">
        <f>估价对象房地状况!C18</f>
        <v>估价对象周边道路状况、公共交通通达情况、停车便捷程度，综合评价交通便捷度较好</v>
      </c>
      <c r="C62" s="1884"/>
      <c r="D62" s="1000">
        <f t="shared" si="12"/>
        <v>0</v>
      </c>
      <c r="E62" s="701"/>
      <c r="F62" s="1672"/>
      <c r="G62" s="998"/>
      <c r="H62" s="1001" t="str">
        <f t="shared" si="13"/>
        <v>——</v>
      </c>
      <c r="I62" s="3066">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8" t="s">
        <v>3266</v>
      </c>
      <c r="B63" s="1259">
        <f>估价对象房地状况!C19</f>
        <v>0</v>
      </c>
      <c r="C63" s="1884"/>
      <c r="D63" s="1000">
        <f t="shared" si="12"/>
        <v>0</v>
      </c>
      <c r="E63" s="701"/>
      <c r="F63" s="1672"/>
      <c r="G63" s="998"/>
      <c r="H63" s="1001" t="str">
        <f t="shared" si="13"/>
        <v>——</v>
      </c>
      <c r="I63" s="3066">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2049</v>
      </c>
      <c r="B64" s="1971" t="s">
        <v>2050</v>
      </c>
      <c r="C64" s="1884"/>
      <c r="D64" s="1000">
        <f t="shared" si="12"/>
        <v>0</v>
      </c>
      <c r="E64" s="701"/>
      <c r="F64" s="1672"/>
      <c r="G64" s="998"/>
      <c r="H64" s="1001" t="str">
        <f t="shared" si="13"/>
        <v>——</v>
      </c>
      <c r="I64" s="3066">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2051</v>
      </c>
      <c r="B65" s="1259">
        <f>估价对象房地状况!C24</f>
        <v>0</v>
      </c>
      <c r="C65" s="1884"/>
      <c r="D65" s="1000">
        <f t="shared" si="12"/>
        <v>0</v>
      </c>
      <c r="E65" s="701"/>
      <c r="F65" s="1672"/>
      <c r="G65" s="998"/>
      <c r="H65" s="1001" t="str">
        <f t="shared" si="13"/>
        <v>——</v>
      </c>
      <c r="I65" s="3066">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2052</v>
      </c>
      <c r="B66" s="1972" t="s">
        <v>2053</v>
      </c>
      <c r="C66" s="1884"/>
      <c r="D66" s="1000">
        <f t="shared" si="12"/>
        <v>0</v>
      </c>
      <c r="E66" s="701"/>
      <c r="F66" s="1672"/>
      <c r="G66" s="998"/>
      <c r="H66" s="1001" t="str">
        <f t="shared" si="13"/>
        <v>——</v>
      </c>
      <c r="I66" s="3066">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7" t="s">
        <v>2054</v>
      </c>
      <c r="B67" s="1237" t="str">
        <f>估价对象房地状况!C21</f>
        <v>估价对象所在区域公共配套设施齐备情况</v>
      </c>
      <c r="C67" s="1884"/>
      <c r="D67" s="1000">
        <f t="shared" si="12"/>
        <v>0</v>
      </c>
      <c r="E67" s="701"/>
      <c r="F67" s="1672"/>
      <c r="G67" s="998"/>
      <c r="H67" s="1001" t="str">
        <f t="shared" si="13"/>
        <v>——</v>
      </c>
      <c r="I67" s="3066">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7" t="s">
        <v>2055</v>
      </c>
      <c r="B68" s="1237" t="str">
        <f>估价对象房地状况!C22</f>
        <v>估价对象所在区域基础设施水平</v>
      </c>
      <c r="C68" s="1884"/>
      <c r="D68" s="1000">
        <f t="shared" si="12"/>
        <v>0</v>
      </c>
      <c r="E68" s="701"/>
      <c r="F68" s="1672"/>
      <c r="G68" s="998"/>
      <c r="H68" s="1001" t="str">
        <f t="shared" si="13"/>
        <v>——</v>
      </c>
      <c r="I68" s="3066">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4" t="s">
        <v>2056</v>
      </c>
      <c r="B69" s="1976" t="str">
        <f>估价对象房地状况!C20</f>
        <v>区域自然环境：；人文环境；综合评价环境状况一般</v>
      </c>
      <c r="C69" s="1884"/>
      <c r="D69" s="1000">
        <f t="shared" si="12"/>
        <v>0</v>
      </c>
      <c r="E69" s="702"/>
      <c r="F69" s="1672"/>
      <c r="G69" s="998"/>
      <c r="H69" s="1001" t="str">
        <f t="shared" si="13"/>
        <v>——</v>
      </c>
      <c r="I69" s="3067">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2060</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2039</v>
      </c>
      <c r="B71" s="1259"/>
      <c r="C71" s="1259" t="s">
        <v>2041</v>
      </c>
      <c r="D71" s="1259" t="s">
        <v>2042</v>
      </c>
      <c r="E71" s="699" t="s">
        <v>2043</v>
      </c>
      <c r="F71" s="1968" t="s">
        <v>2058</v>
      </c>
      <c r="G71" s="1259" t="s">
        <v>310</v>
      </c>
      <c r="H71" s="1969" t="s">
        <v>2045</v>
      </c>
      <c r="I71" s="1259" t="s">
        <v>2046</v>
      </c>
      <c r="J71" s="528" t="s">
        <v>1717</v>
      </c>
      <c r="K71" s="528" t="s">
        <v>1718</v>
      </c>
      <c r="L71" s="528" t="s">
        <v>1719</v>
      </c>
      <c r="M71" s="528" t="s">
        <v>1720</v>
      </c>
      <c r="N71" s="528" t="s">
        <v>1721</v>
      </c>
      <c r="AA71" s="1055"/>
      <c r="AB71" s="1055"/>
      <c r="AC71" s="1055"/>
      <c r="AD71" s="1055"/>
      <c r="AE71" s="1055"/>
      <c r="AF71" s="1055"/>
      <c r="AG71" s="1055"/>
      <c r="AH71" s="1055"/>
      <c r="AI71" s="1055"/>
      <c r="AJ71" s="1055"/>
      <c r="AK71" s="1055"/>
    </row>
    <row r="72" spans="1:37" s="1054" customFormat="1" ht="51">
      <c r="A72" s="1967" t="s">
        <v>2061</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38.25">
      <c r="A73" s="1967" t="s">
        <v>2048</v>
      </c>
      <c r="B73" s="1259" t="str">
        <f>估价对象房地状况!C18</f>
        <v>估价对象周边道路状况、公共交通通达情况、停车便捷程度，综合评价交通便捷度较好</v>
      </c>
      <c r="C73" s="1884"/>
      <c r="D73" s="1000">
        <f t="shared" si="17"/>
        <v>0</v>
      </c>
      <c r="E73" s="703"/>
      <c r="F73" s="1672"/>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8" t="s">
        <v>3266</v>
      </c>
      <c r="B74" s="1259">
        <f>估价对象房地状况!C19</f>
        <v>0</v>
      </c>
      <c r="C74" s="1884"/>
      <c r="D74" s="1000">
        <f t="shared" si="17"/>
        <v>0</v>
      </c>
      <c r="E74" s="703"/>
      <c r="F74" s="1672"/>
      <c r="G74" s="998"/>
      <c r="H74" s="1001" t="str">
        <f t="shared" si="18"/>
        <v>——</v>
      </c>
      <c r="I74" s="3066">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2062</v>
      </c>
      <c r="B75" s="1259">
        <f>估价对象房地状况!C24</f>
        <v>0</v>
      </c>
      <c r="C75" s="1884"/>
      <c r="D75" s="1000">
        <f t="shared" si="17"/>
        <v>0</v>
      </c>
      <c r="E75" s="703"/>
      <c r="F75" s="1672"/>
      <c r="G75" s="998"/>
      <c r="H75" s="1001" t="str">
        <f t="shared" si="18"/>
        <v>——</v>
      </c>
      <c r="I75" s="3066">
        <v>0.05</v>
      </c>
      <c r="J75" s="999">
        <f t="shared" si="19"/>
        <v>0</v>
      </c>
      <c r="K75" s="999">
        <f t="shared" si="20"/>
        <v>0</v>
      </c>
      <c r="L75" s="999">
        <v>0</v>
      </c>
      <c r="M75" s="999">
        <f t="shared" si="21"/>
        <v>0</v>
      </c>
      <c r="N75" s="999">
        <f t="shared" si="21"/>
        <v>0</v>
      </c>
      <c r="O75" s="1054"/>
      <c r="P75" s="1054"/>
      <c r="Q75" s="1841"/>
      <c r="Z75" s="1842"/>
      <c r="AA75" s="1892"/>
      <c r="AG75" s="1056"/>
      <c r="AK75" s="1892"/>
    </row>
    <row r="76" spans="1:37" ht="25.5">
      <c r="A76" s="1967" t="s">
        <v>2054</v>
      </c>
      <c r="B76" s="1237" t="str">
        <f>估价对象房地状况!C21</f>
        <v>估价对象所在区域公共配套设施齐备情况</v>
      </c>
      <c r="C76" s="1884"/>
      <c r="D76" s="1000">
        <f t="shared" si="17"/>
        <v>0</v>
      </c>
      <c r="E76" s="703"/>
      <c r="F76" s="1672"/>
      <c r="G76" s="998"/>
      <c r="H76" s="1001" t="str">
        <f t="shared" si="18"/>
        <v>——</v>
      </c>
      <c r="I76" s="3066">
        <v>0.08</v>
      </c>
      <c r="J76" s="999">
        <f t="shared" si="19"/>
        <v>0</v>
      </c>
      <c r="K76" s="999">
        <f t="shared" si="20"/>
        <v>0</v>
      </c>
      <c r="L76" s="999">
        <v>0</v>
      </c>
      <c r="M76" s="999">
        <f t="shared" si="21"/>
        <v>0</v>
      </c>
      <c r="N76" s="999">
        <f t="shared" si="21"/>
        <v>0</v>
      </c>
      <c r="O76" s="1054"/>
      <c r="P76" s="1054"/>
      <c r="Z76" s="1842"/>
      <c r="AA76" s="1892"/>
      <c r="AG76" s="1056"/>
      <c r="AK76" s="1892"/>
    </row>
    <row r="77" spans="1:37" ht="25.5">
      <c r="A77" s="1967" t="s">
        <v>2055</v>
      </c>
      <c r="B77" s="1237" t="str">
        <f>估价对象房地状况!C22</f>
        <v>估价对象所在区域基础设施水平</v>
      </c>
      <c r="C77" s="1884"/>
      <c r="D77" s="1000">
        <f t="shared" si="17"/>
        <v>0</v>
      </c>
      <c r="E77" s="703"/>
      <c r="F77" s="1672"/>
      <c r="G77" s="998"/>
      <c r="H77" s="1001" t="str">
        <f t="shared" si="18"/>
        <v>——</v>
      </c>
      <c r="I77" s="3066">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2052</v>
      </c>
      <c r="B78" s="1972" t="s">
        <v>2053</v>
      </c>
      <c r="C78" s="1884"/>
      <c r="D78" s="1000">
        <f t="shared" si="17"/>
        <v>0</v>
      </c>
      <c r="E78" s="703"/>
      <c r="F78" s="1672"/>
      <c r="G78" s="998"/>
      <c r="H78" s="1001" t="str">
        <f t="shared" si="18"/>
        <v>——</v>
      </c>
      <c r="I78" s="3066">
        <v>0.05</v>
      </c>
      <c r="J78" s="999">
        <f t="shared" si="19"/>
        <v>0</v>
      </c>
      <c r="K78" s="999">
        <f t="shared" si="20"/>
        <v>0</v>
      </c>
      <c r="L78" s="999">
        <v>0</v>
      </c>
      <c r="M78" s="999">
        <f t="shared" si="21"/>
        <v>0</v>
      </c>
      <c r="N78" s="999">
        <f t="shared" si="21"/>
        <v>0</v>
      </c>
      <c r="O78" s="1841"/>
      <c r="P78" s="1841"/>
      <c r="Z78" s="1842"/>
      <c r="AA78" s="1892"/>
      <c r="AG78" s="1056"/>
      <c r="AK78" s="1892"/>
    </row>
    <row r="79" spans="1:37" ht="25.5">
      <c r="A79" s="1967" t="s">
        <v>2056</v>
      </c>
      <c r="B79" s="1970" t="str">
        <f>估价对象房地状况!C20</f>
        <v>区域自然环境：；人文环境；综合评价环境状况一般</v>
      </c>
      <c r="C79" s="1884"/>
      <c r="D79" s="1000">
        <f t="shared" si="17"/>
        <v>0</v>
      </c>
      <c r="E79" s="703"/>
      <c r="F79" s="1672"/>
      <c r="G79" s="998"/>
      <c r="H79" s="1001" t="str">
        <f t="shared" si="18"/>
        <v>——</v>
      </c>
      <c r="I79" s="3066">
        <v>0.12</v>
      </c>
      <c r="J79" s="999">
        <f t="shared" si="19"/>
        <v>0</v>
      </c>
      <c r="K79" s="999">
        <f t="shared" si="20"/>
        <v>0</v>
      </c>
      <c r="L79" s="999">
        <v>0</v>
      </c>
      <c r="M79" s="999">
        <f t="shared" si="21"/>
        <v>0</v>
      </c>
      <c r="N79" s="999">
        <f t="shared" si="21"/>
        <v>0</v>
      </c>
      <c r="Z79" s="1842"/>
      <c r="AA79" s="1892"/>
      <c r="AG79" s="1056"/>
      <c r="AK79" s="1892"/>
    </row>
    <row r="80" spans="1:37" ht="24.75" thickBot="1">
      <c r="A80" s="1974" t="s">
        <v>2063</v>
      </c>
      <c r="B80" s="1978"/>
      <c r="C80" s="1884"/>
      <c r="D80" s="1000">
        <f t="shared" si="17"/>
        <v>0</v>
      </c>
      <c r="E80" s="704"/>
      <c r="F80" s="1672"/>
      <c r="G80" s="998"/>
      <c r="H80" s="1001" t="str">
        <f t="shared" si="18"/>
        <v>——</v>
      </c>
      <c r="I80" s="3067">
        <v>0.05</v>
      </c>
      <c r="J80" s="999">
        <f t="shared" si="19"/>
        <v>0</v>
      </c>
      <c r="K80" s="999">
        <f t="shared" si="20"/>
        <v>0</v>
      </c>
      <c r="L80" s="999">
        <v>0</v>
      </c>
      <c r="M80" s="999">
        <f t="shared" si="21"/>
        <v>0</v>
      </c>
      <c r="N80" s="999">
        <f t="shared" si="21"/>
        <v>0</v>
      </c>
      <c r="Z80" s="1842"/>
      <c r="AA80" s="1892"/>
      <c r="AG80" s="1056"/>
      <c r="AK80" s="1892"/>
    </row>
    <row r="81" spans="1:37" ht="15">
      <c r="A81" s="1964" t="s">
        <v>2064</v>
      </c>
      <c r="B81" s="1965">
        <f>1+E83</f>
        <v>1</v>
      </c>
      <c r="C81" s="697"/>
      <c r="D81" s="697"/>
      <c r="E81" s="698"/>
      <c r="F81" s="1966"/>
      <c r="G81" s="3"/>
      <c r="H81" s="3"/>
      <c r="I81" s="3"/>
      <c r="J81" s="4"/>
      <c r="K81" s="4"/>
      <c r="L81" s="4"/>
      <c r="M81" s="4"/>
      <c r="N81" s="4"/>
      <c r="Z81" s="1842"/>
      <c r="AA81" s="1892"/>
      <c r="AG81" s="1056"/>
      <c r="AK81" s="1892"/>
    </row>
    <row r="82" spans="1:37" ht="24.75">
      <c r="A82" s="1967" t="s">
        <v>2039</v>
      </c>
      <c r="B82" s="1259"/>
      <c r="C82" s="1259" t="s">
        <v>2041</v>
      </c>
      <c r="D82" s="1259" t="s">
        <v>2042</v>
      </c>
      <c r="E82" s="699" t="s">
        <v>2043</v>
      </c>
      <c r="F82" s="1968" t="s">
        <v>2058</v>
      </c>
      <c r="G82" s="1259" t="s">
        <v>310</v>
      </c>
      <c r="H82" s="1969" t="s">
        <v>2045</v>
      </c>
      <c r="I82" s="1259" t="s">
        <v>2046</v>
      </c>
      <c r="J82" s="528" t="s">
        <v>1717</v>
      </c>
      <c r="K82" s="528" t="s">
        <v>1718</v>
      </c>
      <c r="L82" s="528" t="s">
        <v>1719</v>
      </c>
      <c r="M82" s="528" t="s">
        <v>1720</v>
      </c>
      <c r="N82" s="528" t="s">
        <v>1721</v>
      </c>
      <c r="Z82" s="1842"/>
      <c r="AA82" s="1892"/>
      <c r="AG82" s="1056"/>
      <c r="AK82" s="1892"/>
    </row>
    <row r="83" spans="1:37" ht="38.25">
      <c r="A83" s="1967" t="s">
        <v>2065</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2048</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6">
        <v>0.3</v>
      </c>
      <c r="J84" s="999">
        <f t="shared" si="24"/>
        <v>0</v>
      </c>
      <c r="K84" s="999">
        <f t="shared" si="25"/>
        <v>0</v>
      </c>
      <c r="L84" s="999">
        <v>0</v>
      </c>
      <c r="M84" s="999">
        <f t="shared" si="26"/>
        <v>0</v>
      </c>
      <c r="N84" s="999">
        <f t="shared" si="26"/>
        <v>0</v>
      </c>
      <c r="Z84" s="1842"/>
      <c r="AA84" s="1892"/>
      <c r="AG84" s="1056"/>
      <c r="AK84" s="1892"/>
    </row>
    <row r="85" spans="1:37" ht="36">
      <c r="A85" s="3068" t="s">
        <v>3267</v>
      </c>
      <c r="B85" s="1259">
        <f>估价对象房地状况!G17</f>
        <v>0</v>
      </c>
      <c r="C85" s="1884"/>
      <c r="D85" s="1000">
        <f t="shared" si="22"/>
        <v>0</v>
      </c>
      <c r="E85" s="703"/>
      <c r="F85" s="1672"/>
      <c r="G85" s="998"/>
      <c r="H85" s="1001" t="str">
        <f t="shared" si="23"/>
        <v>——</v>
      </c>
      <c r="I85" s="3066">
        <v>0.1</v>
      </c>
      <c r="J85" s="999">
        <f t="shared" si="24"/>
        <v>0</v>
      </c>
      <c r="K85" s="999">
        <f t="shared" si="25"/>
        <v>0</v>
      </c>
      <c r="L85" s="999">
        <v>0</v>
      </c>
      <c r="M85" s="999">
        <f t="shared" si="26"/>
        <v>0</v>
      </c>
      <c r="N85" s="999">
        <f t="shared" si="26"/>
        <v>0</v>
      </c>
      <c r="Z85" s="1842"/>
      <c r="AA85" s="1892"/>
      <c r="AG85" s="1056"/>
      <c r="AK85" s="1892"/>
    </row>
    <row r="86" spans="1:37" ht="14.25">
      <c r="A86" s="1967" t="s">
        <v>2062</v>
      </c>
      <c r="B86" s="1259">
        <f>估价对象房地状况!G22</f>
        <v>0</v>
      </c>
      <c r="C86" s="1884"/>
      <c r="D86" s="1000">
        <f t="shared" si="22"/>
        <v>0</v>
      </c>
      <c r="E86" s="703"/>
      <c r="F86" s="1672"/>
      <c r="G86" s="998"/>
      <c r="H86" s="1001" t="str">
        <f t="shared" si="23"/>
        <v>——</v>
      </c>
      <c r="I86" s="3066">
        <v>0.05</v>
      </c>
      <c r="J86" s="999">
        <f t="shared" si="24"/>
        <v>0</v>
      </c>
      <c r="K86" s="999">
        <f t="shared" si="25"/>
        <v>0</v>
      </c>
      <c r="L86" s="999">
        <v>0</v>
      </c>
      <c r="M86" s="999">
        <f t="shared" si="26"/>
        <v>0</v>
      </c>
      <c r="N86" s="999">
        <f t="shared" si="26"/>
        <v>0</v>
      </c>
      <c r="Z86" s="1842"/>
      <c r="AA86" s="1892"/>
      <c r="AG86" s="1056"/>
      <c r="AK86" s="1892"/>
    </row>
    <row r="87" spans="1:37" ht="25.5">
      <c r="A87" s="1967" t="s">
        <v>2054</v>
      </c>
      <c r="B87" s="1237" t="str">
        <f>估价对象房地状况!G19</f>
        <v>估价对象所在区域公共配套设施齐备情况</v>
      </c>
      <c r="C87" s="1884"/>
      <c r="D87" s="1000">
        <f t="shared" si="22"/>
        <v>0</v>
      </c>
      <c r="E87" s="703"/>
      <c r="F87" s="1672"/>
      <c r="G87" s="998"/>
      <c r="H87" s="1001" t="str">
        <f t="shared" si="23"/>
        <v>——</v>
      </c>
      <c r="I87" s="3066">
        <v>0.06</v>
      </c>
      <c r="J87" s="999">
        <f t="shared" si="24"/>
        <v>0</v>
      </c>
      <c r="K87" s="999">
        <f t="shared" si="25"/>
        <v>0</v>
      </c>
      <c r="L87" s="999">
        <v>0</v>
      </c>
      <c r="M87" s="999">
        <f t="shared" si="26"/>
        <v>0</v>
      </c>
      <c r="N87" s="999">
        <f t="shared" si="26"/>
        <v>0</v>
      </c>
    </row>
    <row r="88" spans="1:37" ht="25.5">
      <c r="A88" s="1967" t="s">
        <v>2055</v>
      </c>
      <c r="B88" s="1237" t="str">
        <f>估价对象房地状况!G20</f>
        <v>估价对象所在区域基础设施水平</v>
      </c>
      <c r="C88" s="1884"/>
      <c r="D88" s="1000">
        <f t="shared" si="22"/>
        <v>0</v>
      </c>
      <c r="E88" s="703"/>
      <c r="F88" s="1672"/>
      <c r="G88" s="998"/>
      <c r="H88" s="1001" t="str">
        <f t="shared" si="23"/>
        <v>——</v>
      </c>
      <c r="I88" s="3066">
        <v>0.12</v>
      </c>
      <c r="J88" s="999">
        <f t="shared" si="24"/>
        <v>0</v>
      </c>
      <c r="K88" s="999">
        <f t="shared" si="25"/>
        <v>0</v>
      </c>
      <c r="L88" s="999">
        <v>0</v>
      </c>
      <c r="M88" s="999">
        <f t="shared" si="26"/>
        <v>0</v>
      </c>
      <c r="N88" s="999">
        <f t="shared" si="26"/>
        <v>0</v>
      </c>
    </row>
    <row r="89" spans="1:37" ht="24">
      <c r="A89" s="1967" t="s">
        <v>2052</v>
      </c>
      <c r="B89" s="1972" t="s">
        <v>2066</v>
      </c>
      <c r="C89" s="1884"/>
      <c r="D89" s="1000">
        <f t="shared" si="22"/>
        <v>0</v>
      </c>
      <c r="E89" s="703"/>
      <c r="F89" s="1672"/>
      <c r="G89" s="998"/>
      <c r="H89" s="1001" t="str">
        <f t="shared" si="23"/>
        <v>——</v>
      </c>
      <c r="I89" s="3066">
        <v>0.06</v>
      </c>
      <c r="J89" s="999">
        <f t="shared" si="24"/>
        <v>0</v>
      </c>
      <c r="K89" s="999">
        <f t="shared" si="25"/>
        <v>0</v>
      </c>
      <c r="L89" s="999">
        <v>0</v>
      </c>
      <c r="M89" s="999">
        <f t="shared" si="26"/>
        <v>0</v>
      </c>
      <c r="N89" s="999">
        <f t="shared" si="26"/>
        <v>0</v>
      </c>
    </row>
    <row r="90" spans="1:37" ht="39" thickBot="1">
      <c r="A90" s="1974" t="s">
        <v>2067</v>
      </c>
      <c r="B90" s="1979" t="str">
        <f>估价对象房地状况!G18</f>
        <v>该园区内是否有污染型企业，绿化情况，卫生条件，整体环境状况判断</v>
      </c>
      <c r="C90" s="1884"/>
      <c r="D90" s="1000">
        <f t="shared" si="22"/>
        <v>0</v>
      </c>
      <c r="E90" s="704"/>
      <c r="F90" s="1672"/>
      <c r="G90" s="998"/>
      <c r="H90" s="1001" t="str">
        <f t="shared" si="23"/>
        <v>——</v>
      </c>
      <c r="I90" s="3067">
        <v>0.05</v>
      </c>
      <c r="J90" s="999">
        <f t="shared" si="24"/>
        <v>0</v>
      </c>
      <c r="K90" s="999">
        <f t="shared" si="25"/>
        <v>0</v>
      </c>
      <c r="L90" s="999">
        <v>0</v>
      </c>
      <c r="M90" s="999">
        <f t="shared" si="26"/>
        <v>0</v>
      </c>
      <c r="N90" s="999">
        <f t="shared" si="26"/>
        <v>0</v>
      </c>
    </row>
    <row r="91" spans="1:37" ht="15">
      <c r="A91" s="3076" t="s">
        <v>2609</v>
      </c>
      <c r="B91" s="3077">
        <f>1+E93</f>
        <v>1</v>
      </c>
      <c r="C91" s="3070"/>
      <c r="D91" s="3071"/>
      <c r="E91" s="1672"/>
      <c r="F91" s="1672"/>
      <c r="G91" s="3072"/>
      <c r="H91" s="3073"/>
      <c r="I91" s="3074"/>
      <c r="J91" s="3075"/>
      <c r="K91" s="3075"/>
      <c r="L91" s="3075"/>
      <c r="M91" s="3075"/>
      <c r="N91" s="3075"/>
    </row>
    <row r="92" spans="1:37" ht="24.75">
      <c r="A92" s="3078" t="s">
        <v>3268</v>
      </c>
      <c r="B92" s="2307"/>
      <c r="C92" s="2307" t="s">
        <v>3277</v>
      </c>
      <c r="D92" s="2307" t="s">
        <v>3278</v>
      </c>
      <c r="E92" s="3050" t="s">
        <v>3279</v>
      </c>
      <c r="F92" s="3080" t="s">
        <v>3280</v>
      </c>
      <c r="G92" s="2307" t="s">
        <v>3281</v>
      </c>
      <c r="H92" s="3087" t="s">
        <v>3284</v>
      </c>
      <c r="I92" s="2307" t="s">
        <v>3285</v>
      </c>
      <c r="J92" s="2147" t="s">
        <v>3286</v>
      </c>
      <c r="K92" s="2147" t="s">
        <v>3287</v>
      </c>
      <c r="L92" s="2147" t="s">
        <v>3288</v>
      </c>
      <c r="M92" s="2147" t="s">
        <v>3289</v>
      </c>
      <c r="N92" s="2147" t="s">
        <v>3290</v>
      </c>
    </row>
    <row r="93" spans="1:37" ht="24">
      <c r="A93" s="3068" t="s">
        <v>3269</v>
      </c>
      <c r="B93" s="1218"/>
      <c r="C93" s="1884"/>
      <c r="D93" s="2307">
        <f>SUMIF($J$92:$N$92,C93,J93:N93)</f>
        <v>0</v>
      </c>
      <c r="E93" s="3081">
        <f>ROUND(SUM(D93:D101),4)</f>
        <v>0</v>
      </c>
      <c r="F93" s="1672"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38.25">
      <c r="A94" s="3078" t="s">
        <v>3270</v>
      </c>
      <c r="B94" s="3069" t="str">
        <f>估价对象房地状况!C18</f>
        <v>估价对象周边道路状况、公共交通通达情况、停车便捷程度，综合评价交通便捷度较好</v>
      </c>
      <c r="C94" s="1884"/>
      <c r="D94" s="2307">
        <f t="shared" ref="D94:D101" si="30">SUMIF($J$60:$N$60,C94,J94:N94)</f>
        <v>0</v>
      </c>
      <c r="E94" s="3082"/>
      <c r="F94" s="1672"/>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3266</v>
      </c>
      <c r="B95" s="3069">
        <f>估价对象房地状况!C19</f>
        <v>0</v>
      </c>
      <c r="C95" s="1884"/>
      <c r="D95" s="2307">
        <f t="shared" si="30"/>
        <v>0</v>
      </c>
      <c r="E95" s="3082"/>
      <c r="F95" s="1672"/>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3271</v>
      </c>
      <c r="B96" s="3084" t="s">
        <v>3282</v>
      </c>
      <c r="C96" s="1884"/>
      <c r="D96" s="2307">
        <f t="shared" si="30"/>
        <v>0</v>
      </c>
      <c r="E96" s="3082"/>
      <c r="F96" s="1672"/>
      <c r="G96" s="3072"/>
      <c r="H96" s="3117" t="str">
        <f t="shared" si="31"/>
        <v>——</v>
      </c>
      <c r="I96" s="3066">
        <v>0.05</v>
      </c>
      <c r="J96" s="1909">
        <f t="shared" si="27"/>
        <v>0</v>
      </c>
      <c r="K96" s="1909">
        <f t="shared" si="28"/>
        <v>0</v>
      </c>
      <c r="L96" s="1909">
        <v>0</v>
      </c>
      <c r="M96" s="1909">
        <f t="shared" si="29"/>
        <v>0</v>
      </c>
      <c r="N96" s="1909">
        <f t="shared" si="29"/>
        <v>0</v>
      </c>
    </row>
    <row r="97" spans="1:14" ht="24">
      <c r="A97" s="3078" t="s">
        <v>3272</v>
      </c>
      <c r="B97" s="3069">
        <f>估价对象房地状况!C24</f>
        <v>0</v>
      </c>
      <c r="C97" s="1884"/>
      <c r="D97" s="2307">
        <f t="shared" si="30"/>
        <v>0</v>
      </c>
      <c r="E97" s="3082"/>
      <c r="F97" s="1672"/>
      <c r="G97" s="3072"/>
      <c r="H97" s="3117" t="str">
        <f t="shared" si="31"/>
        <v>——</v>
      </c>
      <c r="I97" s="3066">
        <v>0.05</v>
      </c>
      <c r="J97" s="1909">
        <f t="shared" si="27"/>
        <v>0</v>
      </c>
      <c r="K97" s="1909">
        <f t="shared" si="28"/>
        <v>0</v>
      </c>
      <c r="L97" s="1909">
        <v>0</v>
      </c>
      <c r="M97" s="1909">
        <f t="shared" si="29"/>
        <v>0</v>
      </c>
      <c r="N97" s="1909">
        <f t="shared" si="29"/>
        <v>0</v>
      </c>
    </row>
    <row r="98" spans="1:14" ht="24">
      <c r="A98" s="3078" t="s">
        <v>3273</v>
      </c>
      <c r="B98" s="3085" t="s">
        <v>3283</v>
      </c>
      <c r="C98" s="1884"/>
      <c r="D98" s="2307">
        <f t="shared" si="30"/>
        <v>0</v>
      </c>
      <c r="E98" s="3082"/>
      <c r="F98" s="1672"/>
      <c r="G98" s="3072"/>
      <c r="H98" s="3117" t="str">
        <f t="shared" si="31"/>
        <v>——</v>
      </c>
      <c r="I98" s="3066">
        <v>0.06</v>
      </c>
      <c r="J98" s="1909">
        <f t="shared" si="27"/>
        <v>0</v>
      </c>
      <c r="K98" s="1909">
        <f t="shared" si="28"/>
        <v>0</v>
      </c>
      <c r="L98" s="1909">
        <v>0</v>
      </c>
      <c r="M98" s="1909">
        <f t="shared" si="29"/>
        <v>0</v>
      </c>
      <c r="N98" s="1909">
        <f t="shared" si="29"/>
        <v>0</v>
      </c>
    </row>
    <row r="99" spans="1:14" ht="25.5">
      <c r="A99" s="3078" t="s">
        <v>3274</v>
      </c>
      <c r="B99" s="3069" t="str">
        <f>估价对象房地状况!C21</f>
        <v>估价对象所在区域公共配套设施齐备情况</v>
      </c>
      <c r="C99" s="1884"/>
      <c r="D99" s="2307">
        <f t="shared" si="30"/>
        <v>0</v>
      </c>
      <c r="E99" s="3082"/>
      <c r="F99" s="1672"/>
      <c r="G99" s="3072"/>
      <c r="H99" s="3117" t="str">
        <f t="shared" si="31"/>
        <v>——</v>
      </c>
      <c r="I99" s="3066">
        <v>0.06</v>
      </c>
      <c r="J99" s="1909">
        <f t="shared" si="27"/>
        <v>0</v>
      </c>
      <c r="K99" s="1909">
        <f t="shared" si="28"/>
        <v>0</v>
      </c>
      <c r="L99" s="1909">
        <v>0</v>
      </c>
      <c r="M99" s="1909">
        <f t="shared" si="29"/>
        <v>0</v>
      </c>
      <c r="N99" s="1909">
        <f t="shared" si="29"/>
        <v>0</v>
      </c>
    </row>
    <row r="100" spans="1:14" ht="25.5">
      <c r="A100" s="3078" t="s">
        <v>3275</v>
      </c>
      <c r="B100" s="3069" t="str">
        <f>估价对象房地状况!C22</f>
        <v>估价对象所在区域基础设施水平</v>
      </c>
      <c r="C100" s="1884"/>
      <c r="D100" s="2307">
        <f t="shared" si="30"/>
        <v>0</v>
      </c>
      <c r="E100" s="3082"/>
      <c r="F100" s="1672"/>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3276</v>
      </c>
      <c r="B101" s="3086" t="str">
        <f>估价对象房地状况!C20</f>
        <v>区域自然环境：；人文环境；综合评价环境状况一般</v>
      </c>
      <c r="C101" s="1884"/>
      <c r="D101" s="2307">
        <f t="shared" si="30"/>
        <v>0</v>
      </c>
      <c r="E101" s="3083"/>
      <c r="F101" s="1672"/>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86" t="s">
        <v>3291</v>
      </c>
      <c r="B103" s="3486"/>
      <c r="C103" s="3486"/>
      <c r="D103" s="3486"/>
      <c r="E103" s="3486"/>
      <c r="F103" s="3486"/>
      <c r="G103" s="3486"/>
      <c r="H103" s="3486"/>
      <c r="I103" s="3486"/>
      <c r="J103" s="3486"/>
      <c r="K103" s="1664"/>
      <c r="L103" s="1664"/>
      <c r="M103" s="1664"/>
      <c r="N103" s="1664"/>
    </row>
    <row r="104" spans="1:14">
      <c r="A104" s="3487" t="s">
        <v>3292</v>
      </c>
      <c r="B104" s="3487" t="s">
        <v>3293</v>
      </c>
      <c r="C104" s="3088" t="s">
        <v>3294</v>
      </c>
      <c r="D104" s="3089"/>
      <c r="E104" s="3089"/>
      <c r="F104" s="3089"/>
      <c r="G104" s="3089"/>
      <c r="H104" s="3089"/>
      <c r="I104" s="3089"/>
      <c r="J104" s="3090"/>
      <c r="K104" s="3091"/>
      <c r="L104" s="3091"/>
      <c r="M104" s="3091"/>
      <c r="N104" s="3091"/>
    </row>
    <row r="105" spans="1:14">
      <c r="A105" s="3487"/>
      <c r="B105" s="348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47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4"/>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6" t="s">
        <v>3308</v>
      </c>
      <c r="B113" s="3476"/>
      <c r="C113" s="3476"/>
      <c r="D113" s="3476"/>
      <c r="E113" s="3476"/>
      <c r="F113" s="3476"/>
      <c r="G113" s="3476"/>
      <c r="H113" s="3476"/>
      <c r="I113" s="3476"/>
      <c r="J113" s="3476"/>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3309</v>
      </c>
      <c r="B116" s="3112">
        <f>G3</f>
        <v>2.5</v>
      </c>
      <c r="C116" s="3097" t="s">
        <v>3310</v>
      </c>
      <c r="D116" s="3098">
        <f>SUMPRODUCT((A118:A122=F116)*(B117:M117=H116)*B118:M122)</f>
        <v>0</v>
      </c>
      <c r="E116" s="160" t="s">
        <v>3311</v>
      </c>
      <c r="F116" s="3099">
        <f>E2</f>
        <v>0</v>
      </c>
      <c r="G116" s="160" t="s">
        <v>3312</v>
      </c>
      <c r="H116" s="3099">
        <f>G2</f>
        <v>0</v>
      </c>
      <c r="I116" s="160"/>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3326</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3327</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5" thickBot="1">
      <c r="A121" s="3108" t="s">
        <v>3328</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2609</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907</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88"/>
      <c r="B4" s="3188" t="s">
        <v>916</v>
      </c>
      <c r="C4" s="3188"/>
      <c r="D4" s="3188"/>
      <c r="E4" s="1388"/>
    </row>
    <row r="5" spans="1:5" ht="16.5" thickTop="1">
      <c r="B5" s="3186" t="s">
        <v>908</v>
      </c>
      <c r="C5" s="1389" t="s">
        <v>909</v>
      </c>
      <c r="D5" s="795">
        <f ca="1">结果表!H101</f>
        <v>129666</v>
      </c>
    </row>
    <row r="6" spans="1:5" ht="15.75">
      <c r="B6" s="3186"/>
      <c r="C6" s="1389" t="s">
        <v>910</v>
      </c>
      <c r="D6" s="795" t="str">
        <f ca="1">NUMBERSTRING(INT(D5*10000),2)&amp;"元整"</f>
        <v>壹拾贰亿玖仟陆佰陆拾陆万元整</v>
      </c>
    </row>
    <row r="7" spans="1:5" ht="15.75">
      <c r="B7" s="3191"/>
      <c r="C7" s="1390" t="s">
        <v>911</v>
      </c>
      <c r="D7" s="796">
        <f ca="1">结果表!H102</f>
        <v>19055</v>
      </c>
    </row>
    <row r="8" spans="1:5" ht="15.75">
      <c r="B8" s="3192" t="str">
        <f>结果表!E103</f>
        <v>2.估价师知悉的法定优先受偿款</v>
      </c>
      <c r="C8" s="1391" t="s">
        <v>912</v>
      </c>
      <c r="D8" s="796">
        <f>结果表!H103</f>
        <v>0</v>
      </c>
    </row>
    <row r="9" spans="1:5" ht="15.75">
      <c r="B9" s="3194"/>
      <c r="C9" s="1389" t="s">
        <v>910</v>
      </c>
      <c r="D9" s="795" t="str">
        <f>NUMBERSTRING(INT(D8*10000),2)&amp;"元整"</f>
        <v>零元整</v>
      </c>
    </row>
    <row r="10" spans="1:5" ht="15">
      <c r="B10" s="1392" t="s">
        <v>915</v>
      </c>
      <c r="C10" s="1393" t="s">
        <v>913</v>
      </c>
      <c r="D10" s="797">
        <f>结果表!H104</f>
        <v>0</v>
      </c>
    </row>
    <row r="11" spans="1:5" ht="15">
      <c r="B11" s="1392" t="s">
        <v>917</v>
      </c>
      <c r="C11" s="1393" t="s">
        <v>918</v>
      </c>
      <c r="D11" s="797">
        <f>结果表!H105</f>
        <v>0</v>
      </c>
    </row>
    <row r="12" spans="1:5" ht="15">
      <c r="B12" s="1392" t="s">
        <v>919</v>
      </c>
      <c r="C12" s="1393" t="s">
        <v>918</v>
      </c>
      <c r="D12" s="797">
        <f>结果表!H106</f>
        <v>0</v>
      </c>
    </row>
    <row r="13" spans="1:5" ht="15.75">
      <c r="B13" s="3185" t="str">
        <f>结果表!E107</f>
        <v>3.房地产抵押价值</v>
      </c>
      <c r="C13" s="1394" t="s">
        <v>909</v>
      </c>
      <c r="D13" s="798">
        <f ca="1">结果表!H107</f>
        <v>129666</v>
      </c>
    </row>
    <row r="14" spans="1:5" ht="15.75">
      <c r="B14" s="3186"/>
      <c r="C14" s="1389" t="s">
        <v>910</v>
      </c>
      <c r="D14" s="795" t="str">
        <f ca="1">NUMBERSTRING(INT(D13*10000),2)&amp;"元整"</f>
        <v>壹拾贰亿玖仟陆佰陆拾陆万元整</v>
      </c>
    </row>
    <row r="15" spans="1:5" ht="15">
      <c r="B15" s="3191"/>
      <c r="C15" s="1390" t="s">
        <v>920</v>
      </c>
      <c r="D15" s="804">
        <f ca="1">结果表!H108</f>
        <v>19055</v>
      </c>
    </row>
    <row r="16" spans="1:5" ht="15">
      <c r="B16" s="3192" t="str">
        <f>结果表!E109</f>
        <v>——</v>
      </c>
      <c r="C16" s="1394" t="s">
        <v>921</v>
      </c>
      <c r="D16" s="1395" t="str">
        <f>结果表!H109</f>
        <v>——</v>
      </c>
    </row>
    <row r="17" spans="1:5" ht="15.75">
      <c r="B17" s="3193"/>
      <c r="C17" s="1389" t="s">
        <v>922</v>
      </c>
      <c r="D17" s="795" t="e">
        <f>NUMBERSTRING(INT(D16*10000),2)&amp;"元整"</f>
        <v>#VALUE!</v>
      </c>
    </row>
    <row r="18" spans="1:5" ht="15">
      <c r="B18" s="3194"/>
      <c r="C18" s="1390" t="s">
        <v>911</v>
      </c>
      <c r="D18" s="804" t="str">
        <f>结果表!H110</f>
        <v>——</v>
      </c>
    </row>
    <row r="19" spans="1:5" ht="15.75">
      <c r="B19" s="3185" t="str">
        <f>结果表!E111</f>
        <v>——</v>
      </c>
      <c r="C19" s="1394" t="s">
        <v>909</v>
      </c>
      <c r="D19" s="796" t="str">
        <f>结果表!H111</f>
        <v>——</v>
      </c>
    </row>
    <row r="20" spans="1:5" ht="15.75">
      <c r="B20" s="3186"/>
      <c r="C20" s="1389" t="s">
        <v>922</v>
      </c>
      <c r="D20" s="795" t="e">
        <f>NUMBERSTRING(INT(D19*10000),2)&amp;"元整"</f>
        <v>#VALUE!</v>
      </c>
    </row>
    <row r="21" spans="1:5" ht="15.75" thickBot="1">
      <c r="B21" s="3187"/>
      <c r="C21" s="1396" t="s">
        <v>920</v>
      </c>
      <c r="D21" s="805" t="str">
        <f>结果表!H112</f>
        <v>——</v>
      </c>
    </row>
    <row r="22" spans="1:5" ht="15" thickTop="1">
      <c r="B22" s="1397" t="s">
        <v>923</v>
      </c>
    </row>
    <row r="24" spans="1:5" ht="18.75">
      <c r="A24" s="1398"/>
      <c r="B24" s="1399" t="s">
        <v>914</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501" t="s">
        <v>2604</v>
      </c>
      <c r="B20" s="3496" t="s">
        <v>2625</v>
      </c>
      <c r="C20" s="2840" t="s">
        <v>2436</v>
      </c>
      <c r="D20" s="2841"/>
      <c r="E20" s="2842">
        <v>1</v>
      </c>
      <c r="F20" s="2843" t="s">
        <v>2437</v>
      </c>
      <c r="G20" s="2843"/>
    </row>
    <row r="21" spans="1:13" ht="19.5" customHeight="1">
      <c r="A21" s="3502"/>
      <c r="B21" s="3495"/>
      <c r="C21" s="2844" t="s">
        <v>2438</v>
      </c>
      <c r="D21" s="2845"/>
      <c r="E21" s="2846">
        <v>1</v>
      </c>
      <c r="F21" s="2843" t="s">
        <v>2439</v>
      </c>
      <c r="G21" s="2843"/>
    </row>
    <row r="22" spans="1:13" ht="19.5" customHeight="1">
      <c r="A22" s="3502"/>
      <c r="B22" s="3495"/>
      <c r="C22" s="2844" t="s">
        <v>2440</v>
      </c>
      <c r="D22" s="2845"/>
      <c r="E22" s="2846">
        <v>0.9</v>
      </c>
      <c r="F22" s="2843" t="s">
        <v>2441</v>
      </c>
      <c r="G22" s="2843"/>
    </row>
    <row r="23" spans="1:13" ht="19.5" customHeight="1">
      <c r="A23" s="3502"/>
      <c r="B23" s="3495"/>
      <c r="C23" s="2844" t="s">
        <v>2442</v>
      </c>
      <c r="D23" s="2845"/>
      <c r="E23" s="2846">
        <v>0.9</v>
      </c>
      <c r="F23" s="2843" t="s">
        <v>2443</v>
      </c>
      <c r="G23" s="2843"/>
    </row>
    <row r="24" spans="1:13" ht="19.5" customHeight="1">
      <c r="A24" s="3502"/>
      <c r="B24" s="3495"/>
      <c r="C24" s="2844" t="s">
        <v>2444</v>
      </c>
      <c r="D24" s="2845"/>
      <c r="E24" s="2846">
        <v>0.8</v>
      </c>
      <c r="F24" s="2843" t="s">
        <v>2445</v>
      </c>
      <c r="G24" s="2843"/>
    </row>
    <row r="25" spans="1:13" ht="19.5" customHeight="1" thickBot="1">
      <c r="A25" s="3503"/>
      <c r="B25" s="3497"/>
      <c r="C25" s="2847" t="s">
        <v>2446</v>
      </c>
      <c r="D25" s="2848"/>
      <c r="E25" s="2849">
        <v>0.8</v>
      </c>
      <c r="F25" s="2843" t="s">
        <v>2447</v>
      </c>
      <c r="G25" s="2843"/>
    </row>
    <row r="26" spans="1:13" ht="19.5" customHeight="1" thickBot="1">
      <c r="A26" s="2850" t="s">
        <v>2626</v>
      </c>
      <c r="B26" s="2851" t="s">
        <v>2625</v>
      </c>
      <c r="C26" s="2852" t="s">
        <v>2627</v>
      </c>
      <c r="D26" s="2853"/>
      <c r="E26" s="2854">
        <v>1</v>
      </c>
      <c r="F26" s="2843" t="s">
        <v>2448</v>
      </c>
      <c r="G26" s="2843"/>
    </row>
    <row r="27" spans="1:13" ht="19.5" customHeight="1">
      <c r="A27" s="3498" t="s">
        <v>2628</v>
      </c>
      <c r="B27" s="3496" t="s">
        <v>2609</v>
      </c>
      <c r="C27" s="2840" t="s">
        <v>2449</v>
      </c>
      <c r="D27" s="2841"/>
      <c r="E27" s="2842">
        <v>1</v>
      </c>
      <c r="F27" s="2843" t="s">
        <v>2450</v>
      </c>
      <c r="G27" s="2843"/>
    </row>
    <row r="28" spans="1:13" ht="19.5" customHeight="1">
      <c r="A28" s="3499"/>
      <c r="B28" s="3495"/>
      <c r="C28" s="2844" t="s">
        <v>2451</v>
      </c>
      <c r="D28" s="2845"/>
      <c r="E28" s="2846">
        <v>1</v>
      </c>
      <c r="F28" s="2843" t="s">
        <v>2452</v>
      </c>
      <c r="G28" s="2843"/>
    </row>
    <row r="29" spans="1:13" ht="19.5" customHeight="1">
      <c r="A29" s="3499"/>
      <c r="B29" s="3495"/>
      <c r="C29" s="2844" t="s">
        <v>2453</v>
      </c>
      <c r="D29" s="2845"/>
      <c r="E29" s="2846">
        <v>0.8</v>
      </c>
      <c r="F29" s="2843" t="s">
        <v>2454</v>
      </c>
      <c r="G29" s="2843"/>
    </row>
    <row r="30" spans="1:13" ht="19.5" customHeight="1">
      <c r="A30" s="3499"/>
      <c r="B30" s="3495"/>
      <c r="C30" s="2844" t="s">
        <v>2455</v>
      </c>
      <c r="D30" s="2845"/>
      <c r="E30" s="2846">
        <v>0.8</v>
      </c>
      <c r="F30" s="2843" t="s">
        <v>2456</v>
      </c>
      <c r="G30" s="2843"/>
    </row>
    <row r="31" spans="1:13" ht="19.5" customHeight="1">
      <c r="A31" s="3499"/>
      <c r="B31" s="3495"/>
      <c r="C31" s="2844" t="s">
        <v>2457</v>
      </c>
      <c r="D31" s="2845"/>
      <c r="E31" s="2846">
        <v>0.8</v>
      </c>
      <c r="F31" s="2843" t="s">
        <v>2458</v>
      </c>
      <c r="G31" s="2843"/>
    </row>
    <row r="32" spans="1:13" ht="19.5" customHeight="1">
      <c r="A32" s="3499"/>
      <c r="B32" s="3495"/>
      <c r="C32" s="2844" t="s">
        <v>2459</v>
      </c>
      <c r="D32" s="2845"/>
      <c r="E32" s="2846">
        <v>0.7</v>
      </c>
      <c r="F32" s="2843" t="s">
        <v>2460</v>
      </c>
      <c r="G32" s="2843"/>
    </row>
    <row r="33" spans="1:7" ht="19.5" customHeight="1">
      <c r="A33" s="3499"/>
      <c r="B33" s="3495"/>
      <c r="C33" s="2844" t="s">
        <v>2461</v>
      </c>
      <c r="D33" s="2845"/>
      <c r="E33" s="2846">
        <v>0.8</v>
      </c>
      <c r="F33" s="2843" t="s">
        <v>2462</v>
      </c>
      <c r="G33" s="2843"/>
    </row>
    <row r="34" spans="1:7" ht="19.5" customHeight="1">
      <c r="A34" s="3499"/>
      <c r="B34" s="3495"/>
      <c r="C34" s="2844" t="s">
        <v>2463</v>
      </c>
      <c r="D34" s="2845"/>
      <c r="E34" s="2846">
        <v>0.6</v>
      </c>
      <c r="F34" s="2843" t="s">
        <v>2464</v>
      </c>
      <c r="G34" s="2843"/>
    </row>
    <row r="35" spans="1:7" ht="19.5" customHeight="1">
      <c r="A35" s="3499"/>
      <c r="B35" s="3495"/>
      <c r="C35" s="2844" t="s">
        <v>2465</v>
      </c>
      <c r="D35" s="2845"/>
      <c r="E35" s="2846">
        <v>0.2</v>
      </c>
      <c r="F35" s="2843" t="s">
        <v>2466</v>
      </c>
      <c r="G35" s="2843"/>
    </row>
    <row r="36" spans="1:7" ht="19.5" customHeight="1">
      <c r="A36" s="3499"/>
      <c r="B36" s="3495"/>
      <c r="C36" s="2844" t="s">
        <v>2467</v>
      </c>
      <c r="D36" s="2845"/>
      <c r="E36" s="2846">
        <v>0.2</v>
      </c>
      <c r="F36" s="2843" t="s">
        <v>2468</v>
      </c>
      <c r="G36" s="2843"/>
    </row>
    <row r="37" spans="1:7" ht="19.5" customHeight="1">
      <c r="A37" s="3499"/>
      <c r="B37" s="3493" t="s">
        <v>2629</v>
      </c>
      <c r="C37" s="2844" t="s">
        <v>2469</v>
      </c>
      <c r="D37" s="2845"/>
      <c r="E37" s="2846">
        <v>0.6</v>
      </c>
      <c r="F37" s="2843" t="s">
        <v>2470</v>
      </c>
      <c r="G37" s="2843"/>
    </row>
    <row r="38" spans="1:7" ht="19.5" customHeight="1">
      <c r="A38" s="3499"/>
      <c r="B38" s="3495"/>
      <c r="C38" s="2844" t="s">
        <v>2471</v>
      </c>
      <c r="D38" s="2845"/>
      <c r="E38" s="2846">
        <v>0.6</v>
      </c>
      <c r="F38" s="2843" t="s">
        <v>2472</v>
      </c>
      <c r="G38" s="2843"/>
    </row>
    <row r="39" spans="1:7" ht="19.5" customHeight="1" thickBot="1">
      <c r="A39" s="3500"/>
      <c r="B39" s="3497"/>
      <c r="C39" s="2847" t="s">
        <v>2473</v>
      </c>
      <c r="D39" s="2848"/>
      <c r="E39" s="2849">
        <v>0.6</v>
      </c>
      <c r="F39" s="2843" t="s">
        <v>2474</v>
      </c>
      <c r="G39" s="2843"/>
    </row>
    <row r="40" spans="1:7" ht="19.5" customHeight="1" thickBot="1">
      <c r="A40" s="2850" t="s">
        <v>2606</v>
      </c>
      <c r="B40" s="2851" t="s">
        <v>2606</v>
      </c>
      <c r="C40" s="2852" t="s">
        <v>2630</v>
      </c>
      <c r="D40" s="2853"/>
      <c r="E40" s="2854">
        <v>1</v>
      </c>
      <c r="F40" s="2843" t="s">
        <v>2475</v>
      </c>
      <c r="G40" s="2843"/>
    </row>
    <row r="41" spans="1:7" ht="19.5" customHeight="1">
      <c r="A41" s="3501" t="s">
        <v>2607</v>
      </c>
      <c r="B41" s="3496" t="s">
        <v>2631</v>
      </c>
      <c r="C41" s="2840" t="s">
        <v>2476</v>
      </c>
      <c r="D41" s="2841"/>
      <c r="E41" s="2842">
        <v>1</v>
      </c>
      <c r="F41" s="2843" t="s">
        <v>2477</v>
      </c>
      <c r="G41" s="2843"/>
    </row>
    <row r="42" spans="1:7" ht="19.5" customHeight="1">
      <c r="A42" s="3502"/>
      <c r="B42" s="3495"/>
      <c r="C42" s="2844" t="s">
        <v>2478</v>
      </c>
      <c r="D42" s="2845"/>
      <c r="E42" s="2846">
        <v>1</v>
      </c>
      <c r="F42" s="2843" t="s">
        <v>2479</v>
      </c>
      <c r="G42" s="2843"/>
    </row>
    <row r="43" spans="1:7" ht="19.5" customHeight="1">
      <c r="A43" s="3502"/>
      <c r="B43" s="3494"/>
      <c r="C43" s="2844" t="s">
        <v>2480</v>
      </c>
      <c r="D43" s="2845"/>
      <c r="E43" s="2846">
        <v>1.5</v>
      </c>
      <c r="F43" s="2843" t="s">
        <v>2481</v>
      </c>
      <c r="G43" s="2843"/>
    </row>
    <row r="44" spans="1:7" ht="19.5" customHeight="1">
      <c r="A44" s="3502"/>
      <c r="B44" s="2855" t="s">
        <v>2632</v>
      </c>
      <c r="C44" s="2844" t="s">
        <v>2633</v>
      </c>
      <c r="D44" s="2845"/>
      <c r="E44" s="2846">
        <v>2</v>
      </c>
      <c r="F44" s="2843" t="s">
        <v>2482</v>
      </c>
      <c r="G44" s="2843"/>
    </row>
    <row r="45" spans="1:7" ht="19.5" customHeight="1">
      <c r="A45" s="3502"/>
      <c r="B45" s="3493" t="s">
        <v>2634</v>
      </c>
      <c r="C45" s="2844" t="s">
        <v>2483</v>
      </c>
      <c r="D45" s="2845"/>
      <c r="E45" s="2846">
        <v>1</v>
      </c>
      <c r="F45" s="2843" t="s">
        <v>2484</v>
      </c>
      <c r="G45" s="2843"/>
    </row>
    <row r="46" spans="1:7" ht="19.5" customHeight="1">
      <c r="A46" s="3502"/>
      <c r="B46" s="3495"/>
      <c r="C46" s="2844" t="s">
        <v>2485</v>
      </c>
      <c r="D46" s="2845"/>
      <c r="E46" s="2846">
        <v>1</v>
      </c>
      <c r="F46" s="2843" t="s">
        <v>2486</v>
      </c>
      <c r="G46" s="2843"/>
    </row>
    <row r="47" spans="1:7" ht="19.5" customHeight="1">
      <c r="A47" s="3502"/>
      <c r="B47" s="3495"/>
      <c r="C47" s="2844" t="s">
        <v>2487</v>
      </c>
      <c r="D47" s="2845"/>
      <c r="E47" s="2846">
        <v>1</v>
      </c>
      <c r="F47" s="2843" t="s">
        <v>2488</v>
      </c>
      <c r="G47" s="2843"/>
    </row>
    <row r="48" spans="1:7" ht="19.5" customHeight="1">
      <c r="A48" s="3502"/>
      <c r="B48" s="3495"/>
      <c r="C48" s="2844" t="s">
        <v>2489</v>
      </c>
      <c r="D48" s="2845"/>
      <c r="E48" s="2846">
        <v>1</v>
      </c>
      <c r="F48" s="2843" t="s">
        <v>2490</v>
      </c>
      <c r="G48" s="2843"/>
    </row>
    <row r="49" spans="1:7" ht="19.5" customHeight="1">
      <c r="A49" s="3502"/>
      <c r="B49" s="3495"/>
      <c r="C49" s="2844" t="s">
        <v>2491</v>
      </c>
      <c r="D49" s="2845"/>
      <c r="E49" s="2846">
        <v>1</v>
      </c>
      <c r="F49" s="2843" t="s">
        <v>2492</v>
      </c>
      <c r="G49" s="2843"/>
    </row>
    <row r="50" spans="1:7" ht="19.5" customHeight="1">
      <c r="A50" s="3502"/>
      <c r="B50" s="3495"/>
      <c r="C50" s="2844" t="s">
        <v>2493</v>
      </c>
      <c r="D50" s="2845"/>
      <c r="E50" s="2846">
        <v>1</v>
      </c>
      <c r="F50" s="2843" t="s">
        <v>2494</v>
      </c>
      <c r="G50" s="2843"/>
    </row>
    <row r="51" spans="1:7" ht="19.5" customHeight="1" thickBot="1">
      <c r="A51" s="3503"/>
      <c r="B51" s="3497"/>
      <c r="C51" s="2847" t="s">
        <v>2495</v>
      </c>
      <c r="D51" s="2848"/>
      <c r="E51" s="2849">
        <v>1</v>
      </c>
      <c r="F51" s="2843" t="s">
        <v>2496</v>
      </c>
      <c r="G51" s="2843"/>
    </row>
    <row r="52" spans="1:7" ht="19.5" customHeight="1">
      <c r="A52" s="2856"/>
      <c r="B52" s="2856"/>
      <c r="C52" s="2856"/>
      <c r="D52" s="2856"/>
      <c r="E52" s="2856"/>
      <c r="F52" s="2856"/>
      <c r="G52" s="2856"/>
    </row>
    <row r="54" spans="1:7" ht="19.5" customHeight="1">
      <c r="A54" s="2857"/>
      <c r="B54" s="2829" t="s">
        <v>2635</v>
      </c>
      <c r="C54" s="2829" t="s">
        <v>2635</v>
      </c>
      <c r="D54" s="2829" t="s">
        <v>2635</v>
      </c>
      <c r="E54" s="2832" t="s">
        <v>2635</v>
      </c>
      <c r="F54" s="2832" t="s">
        <v>2636</v>
      </c>
      <c r="G54" s="2832" t="s">
        <v>2637</v>
      </c>
    </row>
    <row r="55" spans="1:7" ht="19.5" customHeight="1">
      <c r="A55" s="2858"/>
      <c r="B55" s="2832" t="s">
        <v>2604</v>
      </c>
      <c r="C55" s="2832" t="s">
        <v>2604</v>
      </c>
      <c r="D55" s="2832" t="s">
        <v>2604</v>
      </c>
      <c r="E55" s="2829" t="s">
        <v>2605</v>
      </c>
      <c r="F55" s="2829" t="s">
        <v>2607</v>
      </c>
      <c r="G55" s="2829" t="s">
        <v>2638</v>
      </c>
    </row>
    <row r="56" spans="1:7" ht="19.5" customHeight="1">
      <c r="A56" s="2859"/>
      <c r="B56" s="2829">
        <v>1</v>
      </c>
      <c r="C56" s="2829">
        <v>2</v>
      </c>
      <c r="D56" s="2829">
        <v>3</v>
      </c>
      <c r="E56" s="2860" t="s">
        <v>2639</v>
      </c>
      <c r="F56" s="2860" t="s">
        <v>2639</v>
      </c>
      <c r="G56" s="2860" t="s">
        <v>2639</v>
      </c>
    </row>
    <row r="57" spans="1:7" ht="19.5" customHeight="1">
      <c r="A57" s="2861" t="s">
        <v>2592</v>
      </c>
      <c r="B57" s="2829">
        <v>0.7</v>
      </c>
      <c r="C57" s="2829">
        <v>0.4</v>
      </c>
      <c r="D57" s="2829">
        <v>0.3</v>
      </c>
      <c r="E57" s="2860">
        <v>0.3</v>
      </c>
      <c r="F57" s="2829">
        <v>0.3</v>
      </c>
      <c r="G57" s="2829">
        <v>0.2</v>
      </c>
    </row>
    <row r="58" spans="1:7" ht="19.5" customHeight="1">
      <c r="A58" s="2861" t="s">
        <v>2593</v>
      </c>
      <c r="B58" s="2829">
        <v>0.7</v>
      </c>
      <c r="C58" s="2829">
        <v>0.4</v>
      </c>
      <c r="D58" s="2829">
        <v>0.3</v>
      </c>
      <c r="E58" s="2829">
        <v>0.3</v>
      </c>
      <c r="F58" s="2829">
        <v>0.3</v>
      </c>
      <c r="G58" s="2829">
        <v>0.2</v>
      </c>
    </row>
    <row r="59" spans="1:7" ht="19.5" customHeight="1">
      <c r="A59" s="2861" t="s">
        <v>2594</v>
      </c>
      <c r="B59" s="2829">
        <v>0.6</v>
      </c>
      <c r="C59" s="2829">
        <v>0.3</v>
      </c>
      <c r="D59" s="2829">
        <v>0.25</v>
      </c>
      <c r="E59" s="2829">
        <v>0.25</v>
      </c>
      <c r="F59" s="2829">
        <v>0.25</v>
      </c>
      <c r="G59" s="2829">
        <v>0.15</v>
      </c>
    </row>
    <row r="60" spans="1:7" ht="19.5" customHeight="1">
      <c r="A60" s="2861" t="s">
        <v>2595</v>
      </c>
      <c r="B60" s="2829">
        <v>0.6</v>
      </c>
      <c r="C60" s="2829">
        <v>0.3</v>
      </c>
      <c r="D60" s="2829">
        <v>0.25</v>
      </c>
      <c r="E60" s="2829">
        <v>0.25</v>
      </c>
      <c r="F60" s="2829">
        <v>0.25</v>
      </c>
      <c r="G60" s="2829">
        <v>0.15</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0.5</v>
      </c>
      <c r="C64" s="2829">
        <v>0.2</v>
      </c>
      <c r="D64" s="2829">
        <v>0.2</v>
      </c>
      <c r="E64" s="2829">
        <v>0.2</v>
      </c>
      <c r="F64" s="2829">
        <v>0.2</v>
      </c>
      <c r="G64" s="2829">
        <v>0.1</v>
      </c>
    </row>
    <row r="65" spans="1:7" ht="19.5" customHeight="1">
      <c r="A65" s="2861" t="s">
        <v>2600</v>
      </c>
      <c r="B65" s="2829">
        <v>0.5</v>
      </c>
      <c r="C65" s="2829">
        <v>0.2</v>
      </c>
      <c r="D65" s="2829">
        <v>0.2</v>
      </c>
      <c r="E65" s="2829">
        <v>0.2</v>
      </c>
      <c r="F65" s="2829">
        <v>0.2</v>
      </c>
      <c r="G65" s="2829">
        <v>0.1</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70" spans="1:7" ht="19.5" customHeight="1">
      <c r="A70" s="2843"/>
      <c r="B70" s="2862"/>
      <c r="C70" s="2862"/>
      <c r="D70" s="2862" t="s">
        <v>2640</v>
      </c>
      <c r="E70" s="2862"/>
      <c r="F70" s="2862"/>
    </row>
    <row r="71" spans="1:7" ht="19.5" customHeight="1">
      <c r="A71" s="2855" t="s">
        <v>2641</v>
      </c>
      <c r="B71" s="2855" t="s">
        <v>2642</v>
      </c>
      <c r="C71" s="2855" t="s">
        <v>2643</v>
      </c>
      <c r="D71" s="2855" t="s">
        <v>2644</v>
      </c>
      <c r="E71" s="2855" t="s">
        <v>2645</v>
      </c>
      <c r="F71" s="2855" t="s">
        <v>2646</v>
      </c>
    </row>
    <row r="72" spans="1:7" ht="13.5">
      <c r="A72" s="2855"/>
      <c r="B72" s="2855"/>
      <c r="C72" s="2855" t="s">
        <v>2647</v>
      </c>
      <c r="D72" s="2855"/>
      <c r="E72" s="2855" t="s">
        <v>2618</v>
      </c>
      <c r="F72" s="2855" t="s">
        <v>2618</v>
      </c>
    </row>
    <row r="73" spans="1:7" ht="13.5">
      <c r="A73" s="2855">
        <v>1</v>
      </c>
      <c r="B73" s="3493" t="s">
        <v>2648</v>
      </c>
      <c r="C73" s="2829" t="s">
        <v>2649</v>
      </c>
      <c r="D73" s="2829" t="s">
        <v>2650</v>
      </c>
      <c r="E73" s="2855">
        <v>0.2</v>
      </c>
      <c r="F73" s="2855">
        <v>25</v>
      </c>
    </row>
    <row r="74" spans="1:7" ht="24">
      <c r="A74" s="2855">
        <v>2</v>
      </c>
      <c r="B74" s="3495"/>
      <c r="C74" s="2829" t="s">
        <v>2651</v>
      </c>
      <c r="D74" s="2829" t="s">
        <v>2652</v>
      </c>
      <c r="E74" s="2855">
        <v>0.2</v>
      </c>
      <c r="F74" s="2855">
        <v>25</v>
      </c>
    </row>
    <row r="75" spans="1:7" ht="24">
      <c r="A75" s="2855">
        <v>3</v>
      </c>
      <c r="B75" s="3495"/>
      <c r="C75" s="2829" t="s">
        <v>2653</v>
      </c>
      <c r="D75" s="2829" t="s">
        <v>2654</v>
      </c>
      <c r="E75" s="2855">
        <v>0.2</v>
      </c>
      <c r="F75" s="2855">
        <v>25</v>
      </c>
    </row>
    <row r="76" spans="1:7" ht="13.5">
      <c r="A76" s="2855">
        <v>4</v>
      </c>
      <c r="B76" s="3495"/>
      <c r="C76" s="2829" t="s">
        <v>2655</v>
      </c>
      <c r="D76" s="2829" t="s">
        <v>2656</v>
      </c>
      <c r="E76" s="2855">
        <v>0.15</v>
      </c>
      <c r="F76" s="2855">
        <v>20</v>
      </c>
    </row>
    <row r="77" spans="1:7" ht="24">
      <c r="A77" s="2855">
        <v>5</v>
      </c>
      <c r="B77" s="3495"/>
      <c r="C77" s="2829" t="s">
        <v>2657</v>
      </c>
      <c r="D77" s="2829" t="s">
        <v>2658</v>
      </c>
      <c r="E77" s="2855">
        <v>0.15</v>
      </c>
      <c r="F77" s="2855">
        <v>20</v>
      </c>
    </row>
    <row r="78" spans="1:7" ht="24">
      <c r="A78" s="2855">
        <v>6</v>
      </c>
      <c r="B78" s="3495"/>
      <c r="C78" s="2829" t="s">
        <v>2659</v>
      </c>
      <c r="D78" s="2829" t="s">
        <v>2660</v>
      </c>
      <c r="E78" s="2855">
        <v>0.15</v>
      </c>
      <c r="F78" s="2855">
        <v>20</v>
      </c>
    </row>
    <row r="79" spans="1:7" ht="24">
      <c r="A79" s="2855">
        <v>7</v>
      </c>
      <c r="B79" s="3495"/>
      <c r="C79" s="2829" t="s">
        <v>2661</v>
      </c>
      <c r="D79" s="2829" t="s">
        <v>2662</v>
      </c>
      <c r="E79" s="2855">
        <v>0.15</v>
      </c>
      <c r="F79" s="2855">
        <v>20</v>
      </c>
    </row>
    <row r="80" spans="1:7" ht="24">
      <c r="A80" s="2855">
        <v>8</v>
      </c>
      <c r="B80" s="3495"/>
      <c r="C80" s="2829" t="s">
        <v>2663</v>
      </c>
      <c r="D80" s="2829" t="s">
        <v>2664</v>
      </c>
      <c r="E80" s="2855">
        <v>0.1</v>
      </c>
      <c r="F80" s="2855">
        <v>15</v>
      </c>
    </row>
    <row r="81" spans="1:6" ht="24">
      <c r="A81" s="2855">
        <v>9</v>
      </c>
      <c r="B81" s="3495"/>
      <c r="C81" s="2829" t="s">
        <v>2665</v>
      </c>
      <c r="D81" s="2829" t="s">
        <v>2666</v>
      </c>
      <c r="E81" s="2855">
        <v>0.1</v>
      </c>
      <c r="F81" s="2855">
        <v>15</v>
      </c>
    </row>
    <row r="82" spans="1:6" ht="24">
      <c r="A82" s="2855">
        <v>10</v>
      </c>
      <c r="B82" s="3495"/>
      <c r="C82" s="2829" t="s">
        <v>2667</v>
      </c>
      <c r="D82" s="2829" t="s">
        <v>2668</v>
      </c>
      <c r="E82" s="2855">
        <v>0.1</v>
      </c>
      <c r="F82" s="2855">
        <v>15</v>
      </c>
    </row>
    <row r="83" spans="1:6" ht="24">
      <c r="A83" s="2855">
        <v>11</v>
      </c>
      <c r="B83" s="3495"/>
      <c r="C83" s="2829" t="s">
        <v>2669</v>
      </c>
      <c r="D83" s="2829" t="s">
        <v>2670</v>
      </c>
      <c r="E83" s="2855">
        <v>0.1</v>
      </c>
      <c r="F83" s="2855">
        <v>15</v>
      </c>
    </row>
    <row r="84" spans="1:6" ht="24">
      <c r="A84" s="2855">
        <v>12</v>
      </c>
      <c r="B84" s="3495"/>
      <c r="C84" s="2829" t="s">
        <v>2671</v>
      </c>
      <c r="D84" s="2829" t="s">
        <v>2672</v>
      </c>
      <c r="E84" s="2855">
        <v>0.1</v>
      </c>
      <c r="F84" s="2855">
        <v>15</v>
      </c>
    </row>
    <row r="85" spans="1:6" ht="13.5">
      <c r="A85" s="2855">
        <v>13</v>
      </c>
      <c r="B85" s="3495"/>
      <c r="C85" s="2829" t="s">
        <v>2673</v>
      </c>
      <c r="D85" s="2829" t="s">
        <v>2674</v>
      </c>
      <c r="E85" s="2855">
        <v>0.1</v>
      </c>
      <c r="F85" s="2855">
        <v>15</v>
      </c>
    </row>
    <row r="86" spans="1:6" ht="13.5">
      <c r="A86" s="2855">
        <v>14</v>
      </c>
      <c r="B86" s="3495"/>
      <c r="C86" s="2829" t="s">
        <v>2675</v>
      </c>
      <c r="D86" s="2829" t="s">
        <v>2676</v>
      </c>
      <c r="E86" s="2855">
        <v>0.1</v>
      </c>
      <c r="F86" s="2855">
        <v>15</v>
      </c>
    </row>
    <row r="87" spans="1:6" ht="13.5">
      <c r="A87" s="2855">
        <v>15</v>
      </c>
      <c r="B87" s="3495"/>
      <c r="C87" s="2829" t="s">
        <v>2677</v>
      </c>
      <c r="D87" s="2829" t="s">
        <v>2678</v>
      </c>
      <c r="E87" s="2855">
        <v>0.1</v>
      </c>
      <c r="F87" s="2855">
        <v>15</v>
      </c>
    </row>
    <row r="88" spans="1:6" ht="24">
      <c r="A88" s="2855">
        <v>16</v>
      </c>
      <c r="B88" s="3495"/>
      <c r="C88" s="2829" t="s">
        <v>2679</v>
      </c>
      <c r="D88" s="2829" t="s">
        <v>2680</v>
      </c>
      <c r="E88" s="2855">
        <v>0.1</v>
      </c>
      <c r="F88" s="2855">
        <v>15</v>
      </c>
    </row>
    <row r="89" spans="1:6" ht="24">
      <c r="A89" s="2855">
        <v>17</v>
      </c>
      <c r="B89" s="3494"/>
      <c r="C89" s="2829" t="s">
        <v>2681</v>
      </c>
      <c r="D89" s="2829" t="s">
        <v>2682</v>
      </c>
      <c r="E89" s="2855">
        <v>0.1</v>
      </c>
      <c r="F89" s="2855">
        <v>15</v>
      </c>
    </row>
    <row r="90" spans="1:6" ht="13.5">
      <c r="A90" s="2855">
        <v>18</v>
      </c>
      <c r="B90" s="3493" t="s">
        <v>2683</v>
      </c>
      <c r="C90" s="2829" t="s">
        <v>2684</v>
      </c>
      <c r="D90" s="2829" t="s">
        <v>2685</v>
      </c>
      <c r="E90" s="2855">
        <v>0.2</v>
      </c>
      <c r="F90" s="2855">
        <v>25</v>
      </c>
    </row>
    <row r="91" spans="1:6" ht="24">
      <c r="A91" s="2855">
        <v>19</v>
      </c>
      <c r="B91" s="3495"/>
      <c r="C91" s="2829" t="s">
        <v>2686</v>
      </c>
      <c r="D91" s="2829" t="s">
        <v>2687</v>
      </c>
      <c r="E91" s="2855">
        <v>0.2</v>
      </c>
      <c r="F91" s="2855">
        <v>25</v>
      </c>
    </row>
    <row r="92" spans="1:6" ht="13.5">
      <c r="A92" s="2855">
        <v>20</v>
      </c>
      <c r="B92" s="3495"/>
      <c r="C92" s="2829" t="s">
        <v>2688</v>
      </c>
      <c r="D92" s="2829" t="s">
        <v>2689</v>
      </c>
      <c r="E92" s="2855">
        <v>0.15</v>
      </c>
      <c r="F92" s="2855">
        <v>20</v>
      </c>
    </row>
    <row r="93" spans="1:6" ht="13.5">
      <c r="A93" s="2855">
        <v>21</v>
      </c>
      <c r="B93" s="3495"/>
      <c r="C93" s="2829" t="s">
        <v>2690</v>
      </c>
      <c r="D93" s="2829" t="s">
        <v>2691</v>
      </c>
      <c r="E93" s="2855">
        <v>0.15</v>
      </c>
      <c r="F93" s="2855">
        <v>20</v>
      </c>
    </row>
    <row r="94" spans="1:6" ht="13.5">
      <c r="A94" s="2855">
        <v>22</v>
      </c>
      <c r="B94" s="3495"/>
      <c r="C94" s="2829" t="s">
        <v>2692</v>
      </c>
      <c r="D94" s="2829" t="s">
        <v>2693</v>
      </c>
      <c r="E94" s="2855">
        <v>0.15</v>
      </c>
      <c r="F94" s="2855">
        <v>20</v>
      </c>
    </row>
    <row r="95" spans="1:6" ht="36">
      <c r="A95" s="2855">
        <v>23</v>
      </c>
      <c r="B95" s="3495"/>
      <c r="C95" s="2829" t="s">
        <v>2694</v>
      </c>
      <c r="D95" s="2829" t="s">
        <v>2695</v>
      </c>
      <c r="E95" s="2855">
        <v>0.15</v>
      </c>
      <c r="F95" s="2855">
        <v>20</v>
      </c>
    </row>
    <row r="96" spans="1:6" ht="13.5">
      <c r="A96" s="2855">
        <v>24</v>
      </c>
      <c r="B96" s="3495"/>
      <c r="C96" s="2829" t="s">
        <v>2696</v>
      </c>
      <c r="D96" s="2829" t="s">
        <v>2697</v>
      </c>
      <c r="E96" s="2855">
        <v>0.1</v>
      </c>
      <c r="F96" s="2855">
        <v>15</v>
      </c>
    </row>
    <row r="97" spans="1:6" ht="13.5">
      <c r="A97" s="2855">
        <v>25</v>
      </c>
      <c r="B97" s="3495"/>
      <c r="C97" s="2829" t="s">
        <v>2698</v>
      </c>
      <c r="D97" s="2829" t="s">
        <v>2699</v>
      </c>
      <c r="E97" s="2855">
        <v>0.1</v>
      </c>
      <c r="F97" s="2855">
        <v>15</v>
      </c>
    </row>
    <row r="98" spans="1:6" ht="24">
      <c r="A98" s="2855">
        <v>26</v>
      </c>
      <c r="B98" s="3495"/>
      <c r="C98" s="2829" t="s">
        <v>2700</v>
      </c>
      <c r="D98" s="2829" t="s">
        <v>2701</v>
      </c>
      <c r="E98" s="2855">
        <v>0.1</v>
      </c>
      <c r="F98" s="2855">
        <v>15</v>
      </c>
    </row>
    <row r="99" spans="1:6" ht="24">
      <c r="A99" s="2855">
        <v>27</v>
      </c>
      <c r="B99" s="3495"/>
      <c r="C99" s="2829" t="s">
        <v>2702</v>
      </c>
      <c r="D99" s="2829" t="s">
        <v>2703</v>
      </c>
      <c r="E99" s="2855">
        <v>0.1</v>
      </c>
      <c r="F99" s="2855">
        <v>15</v>
      </c>
    </row>
    <row r="100" spans="1:6" ht="13.5">
      <c r="A100" s="2855">
        <v>28</v>
      </c>
      <c r="B100" s="3495"/>
      <c r="C100" s="2829" t="s">
        <v>2704</v>
      </c>
      <c r="D100" s="2829" t="s">
        <v>2705</v>
      </c>
      <c r="E100" s="2855">
        <v>0.1</v>
      </c>
      <c r="F100" s="2855">
        <v>15</v>
      </c>
    </row>
    <row r="101" spans="1:6" ht="13.5">
      <c r="A101" s="2855">
        <v>29</v>
      </c>
      <c r="B101" s="3495"/>
      <c r="C101" s="2829" t="s">
        <v>2706</v>
      </c>
      <c r="D101" s="2829" t="s">
        <v>2707</v>
      </c>
      <c r="E101" s="2855">
        <v>0.1</v>
      </c>
      <c r="F101" s="2855">
        <v>15</v>
      </c>
    </row>
    <row r="102" spans="1:6" ht="13.5">
      <c r="A102" s="2855">
        <v>30</v>
      </c>
      <c r="B102" s="3495"/>
      <c r="C102" s="2829" t="s">
        <v>2708</v>
      </c>
      <c r="D102" s="2829" t="s">
        <v>2709</v>
      </c>
      <c r="E102" s="2855">
        <v>0.1</v>
      </c>
      <c r="F102" s="2855">
        <v>15</v>
      </c>
    </row>
    <row r="103" spans="1:6" ht="24">
      <c r="A103" s="2855">
        <v>31</v>
      </c>
      <c r="B103" s="3495"/>
      <c r="C103" s="2829" t="s">
        <v>2710</v>
      </c>
      <c r="D103" s="2829" t="s">
        <v>2711</v>
      </c>
      <c r="E103" s="2855">
        <v>0.1</v>
      </c>
      <c r="F103" s="2855">
        <v>15</v>
      </c>
    </row>
    <row r="104" spans="1:6" ht="24">
      <c r="A104" s="2855">
        <v>32</v>
      </c>
      <c r="B104" s="3495"/>
      <c r="C104" s="2829" t="s">
        <v>2712</v>
      </c>
      <c r="D104" s="2829" t="s">
        <v>2713</v>
      </c>
      <c r="E104" s="2855">
        <v>0.1</v>
      </c>
      <c r="F104" s="2855">
        <v>15</v>
      </c>
    </row>
    <row r="105" spans="1:6" ht="24">
      <c r="A105" s="2855">
        <v>33</v>
      </c>
      <c r="B105" s="3495"/>
      <c r="C105" s="2829" t="s">
        <v>2714</v>
      </c>
      <c r="D105" s="2829" t="s">
        <v>2715</v>
      </c>
      <c r="E105" s="2855">
        <v>0.1</v>
      </c>
      <c r="F105" s="2855">
        <v>15</v>
      </c>
    </row>
    <row r="106" spans="1:6" ht="24">
      <c r="A106" s="2855">
        <v>34</v>
      </c>
      <c r="B106" s="3494"/>
      <c r="C106" s="2829" t="s">
        <v>2716</v>
      </c>
      <c r="D106" s="2829" t="s">
        <v>2717</v>
      </c>
      <c r="E106" s="2855">
        <v>0.1</v>
      </c>
      <c r="F106" s="2855">
        <v>15</v>
      </c>
    </row>
    <row r="107" spans="1:6" ht="24">
      <c r="A107" s="2855">
        <v>35</v>
      </c>
      <c r="B107" s="3493" t="s">
        <v>2718</v>
      </c>
      <c r="C107" s="2855" t="s">
        <v>2719</v>
      </c>
      <c r="D107" s="2829" t="s">
        <v>2720</v>
      </c>
      <c r="E107" s="2855">
        <v>0.15</v>
      </c>
      <c r="F107" s="2855">
        <v>20</v>
      </c>
    </row>
    <row r="108" spans="1:6" ht="13.5">
      <c r="A108" s="2855">
        <v>36</v>
      </c>
      <c r="B108" s="3495"/>
      <c r="C108" s="2855" t="s">
        <v>2721</v>
      </c>
      <c r="D108" s="2829" t="s">
        <v>2722</v>
      </c>
      <c r="E108" s="2855">
        <v>0.15</v>
      </c>
      <c r="F108" s="2855">
        <v>20</v>
      </c>
    </row>
    <row r="109" spans="1:6" ht="13.5">
      <c r="A109" s="2855">
        <v>37</v>
      </c>
      <c r="B109" s="3495"/>
      <c r="C109" s="2855" t="s">
        <v>2723</v>
      </c>
      <c r="D109" s="2829" t="s">
        <v>2724</v>
      </c>
      <c r="E109" s="2855">
        <v>0.15</v>
      </c>
      <c r="F109" s="2855">
        <v>20</v>
      </c>
    </row>
    <row r="110" spans="1:6" ht="13.5">
      <c r="A110" s="2855">
        <v>38</v>
      </c>
      <c r="B110" s="3495"/>
      <c r="C110" s="2855" t="s">
        <v>2725</v>
      </c>
      <c r="D110" s="2829" t="s">
        <v>2726</v>
      </c>
      <c r="E110" s="2855">
        <v>0.1</v>
      </c>
      <c r="F110" s="2855">
        <v>15</v>
      </c>
    </row>
    <row r="111" spans="1:6" ht="24">
      <c r="A111" s="2855">
        <v>39</v>
      </c>
      <c r="B111" s="3495"/>
      <c r="C111" s="2855" t="s">
        <v>2727</v>
      </c>
      <c r="D111" s="2829" t="s">
        <v>2728</v>
      </c>
      <c r="E111" s="2855">
        <v>0.1</v>
      </c>
      <c r="F111" s="2855">
        <v>15</v>
      </c>
    </row>
    <row r="112" spans="1:6" ht="24">
      <c r="A112" s="2855">
        <v>40</v>
      </c>
      <c r="B112" s="3494"/>
      <c r="C112" s="2855" t="s">
        <v>2729</v>
      </c>
      <c r="D112" s="2829" t="s">
        <v>2730</v>
      </c>
      <c r="E112" s="2855">
        <v>0.1</v>
      </c>
      <c r="F112" s="2855">
        <v>15</v>
      </c>
    </row>
    <row r="113" spans="1:6" ht="13.5">
      <c r="A113" s="2855">
        <v>41</v>
      </c>
      <c r="B113" s="3492" t="s">
        <v>2731</v>
      </c>
      <c r="C113" s="2855" t="s">
        <v>2732</v>
      </c>
      <c r="D113" s="2829" t="s">
        <v>2733</v>
      </c>
      <c r="E113" s="2855">
        <v>0.1</v>
      </c>
      <c r="F113" s="2855">
        <v>15</v>
      </c>
    </row>
    <row r="114" spans="1:6" ht="13.5">
      <c r="A114" s="2855">
        <v>42</v>
      </c>
      <c r="B114" s="3492"/>
      <c r="C114" s="2855" t="s">
        <v>2734</v>
      </c>
      <c r="D114" s="2829" t="s">
        <v>2735</v>
      </c>
      <c r="E114" s="2855">
        <v>0.1</v>
      </c>
      <c r="F114" s="2855">
        <v>15</v>
      </c>
    </row>
    <row r="115" spans="1:6" ht="24">
      <c r="A115" s="2855">
        <v>43</v>
      </c>
      <c r="B115" s="3492"/>
      <c r="C115" s="2855" t="s">
        <v>2736</v>
      </c>
      <c r="D115" s="2829" t="s">
        <v>2737</v>
      </c>
      <c r="E115" s="2855">
        <v>0.1</v>
      </c>
      <c r="F115" s="2855">
        <v>15</v>
      </c>
    </row>
    <row r="116" spans="1:6" ht="13.5">
      <c r="A116" s="2855">
        <v>44</v>
      </c>
      <c r="B116" s="3493" t="s">
        <v>2738</v>
      </c>
      <c r="C116" s="2855" t="s">
        <v>2739</v>
      </c>
      <c r="D116" s="2829" t="s">
        <v>2740</v>
      </c>
      <c r="E116" s="2855">
        <v>0.1</v>
      </c>
      <c r="F116" s="2855">
        <v>15</v>
      </c>
    </row>
    <row r="117" spans="1:6" ht="24">
      <c r="A117" s="2855">
        <v>45</v>
      </c>
      <c r="B117" s="3494"/>
      <c r="C117" s="2829" t="s">
        <v>2741</v>
      </c>
      <c r="D117" s="2829" t="s">
        <v>2742</v>
      </c>
      <c r="E117" s="2855">
        <v>0.1</v>
      </c>
      <c r="F117" s="2855">
        <v>15</v>
      </c>
    </row>
    <row r="118" spans="1:6" ht="24">
      <c r="A118" s="2855">
        <v>46</v>
      </c>
      <c r="B118" s="3493" t="s">
        <v>2743</v>
      </c>
      <c r="C118" s="2855" t="s">
        <v>2744</v>
      </c>
      <c r="D118" s="2829" t="s">
        <v>2745</v>
      </c>
      <c r="E118" s="2855">
        <v>0.1</v>
      </c>
      <c r="F118" s="2855">
        <v>15</v>
      </c>
    </row>
    <row r="119" spans="1:6" ht="24">
      <c r="A119" s="2855">
        <v>47</v>
      </c>
      <c r="B119" s="3494"/>
      <c r="C119" s="2855" t="s">
        <v>2746</v>
      </c>
      <c r="D119" s="2829" t="s">
        <v>2747</v>
      </c>
      <c r="E119" s="2855">
        <v>0.1</v>
      </c>
      <c r="F119" s="2855">
        <v>15</v>
      </c>
    </row>
    <row r="120" spans="1:6" ht="13.5">
      <c r="A120" s="2855">
        <v>48</v>
      </c>
      <c r="B120" s="3493" t="s">
        <v>2748</v>
      </c>
      <c r="C120" s="2855" t="s">
        <v>2749</v>
      </c>
      <c r="D120" s="2829" t="s">
        <v>2750</v>
      </c>
      <c r="E120" s="2855">
        <v>0.1</v>
      </c>
      <c r="F120" s="2855">
        <v>15</v>
      </c>
    </row>
    <row r="121" spans="1:6" ht="13.5">
      <c r="A121" s="2855">
        <v>49</v>
      </c>
      <c r="B121" s="3494"/>
      <c r="C121" s="2855" t="s">
        <v>2751</v>
      </c>
      <c r="D121" s="2829" t="s">
        <v>2752</v>
      </c>
      <c r="E121" s="2855">
        <v>0.1</v>
      </c>
      <c r="F121" s="2855">
        <v>15</v>
      </c>
    </row>
    <row r="122" spans="1:6" ht="24">
      <c r="A122" s="2855">
        <v>50</v>
      </c>
      <c r="B122" s="3492" t="s">
        <v>2753</v>
      </c>
      <c r="C122" s="2855" t="s">
        <v>2754</v>
      </c>
      <c r="D122" s="2829" t="s">
        <v>2755</v>
      </c>
      <c r="E122" s="2855">
        <v>0.1</v>
      </c>
      <c r="F122" s="2855">
        <v>15</v>
      </c>
    </row>
    <row r="123" spans="1:6" ht="24">
      <c r="A123" s="2855">
        <v>51</v>
      </c>
      <c r="B123" s="3492"/>
      <c r="C123" s="2855" t="s">
        <v>2756</v>
      </c>
      <c r="D123" s="2829" t="s">
        <v>2757</v>
      </c>
      <c r="E123" s="2855">
        <v>0.1</v>
      </c>
      <c r="F123" s="2855">
        <v>15</v>
      </c>
    </row>
    <row r="124" spans="1:6" ht="24">
      <c r="A124" s="2855">
        <v>52</v>
      </c>
      <c r="B124" s="3492" t="s">
        <v>2758</v>
      </c>
      <c r="C124" s="2855" t="s">
        <v>2759</v>
      </c>
      <c r="D124" s="2829" t="s">
        <v>2760</v>
      </c>
      <c r="E124" s="2855">
        <v>0.1</v>
      </c>
      <c r="F124" s="2855">
        <v>15</v>
      </c>
    </row>
    <row r="125" spans="1:6" ht="24">
      <c r="A125" s="2855">
        <v>53</v>
      </c>
      <c r="B125" s="3492"/>
      <c r="C125" s="2855" t="s">
        <v>2761</v>
      </c>
      <c r="D125" s="2829" t="s">
        <v>2762</v>
      </c>
      <c r="E125" s="2855">
        <v>0.1</v>
      </c>
      <c r="F125" s="2855">
        <v>15</v>
      </c>
    </row>
    <row r="126" spans="1:6" ht="13.5">
      <c r="A126" s="2855">
        <v>54</v>
      </c>
      <c r="B126" s="2855" t="s">
        <v>2763</v>
      </c>
      <c r="C126" s="2855" t="s">
        <v>2764</v>
      </c>
      <c r="D126" s="2829" t="s">
        <v>2765</v>
      </c>
      <c r="E126" s="2855">
        <v>0.1</v>
      </c>
      <c r="F126" s="2855">
        <v>15</v>
      </c>
    </row>
    <row r="127" spans="1:6" ht="13.5">
      <c r="A127" s="2855">
        <v>55</v>
      </c>
      <c r="B127" s="3492" t="s">
        <v>2766</v>
      </c>
      <c r="C127" s="2855" t="s">
        <v>2767</v>
      </c>
      <c r="D127" s="2829" t="s">
        <v>2768</v>
      </c>
      <c r="E127" s="2855">
        <v>0.1</v>
      </c>
      <c r="F127" s="2855">
        <v>15</v>
      </c>
    </row>
    <row r="128" spans="1:6" ht="13.5">
      <c r="A128" s="2855">
        <v>56</v>
      </c>
      <c r="B128" s="3492"/>
      <c r="C128" s="2855" t="s">
        <v>2769</v>
      </c>
      <c r="D128" s="2829" t="s">
        <v>2770</v>
      </c>
      <c r="E128" s="2855">
        <v>0.1</v>
      </c>
      <c r="F128" s="2855">
        <v>15</v>
      </c>
    </row>
    <row r="129" spans="1:6" ht="24">
      <c r="A129" s="2855">
        <v>57</v>
      </c>
      <c r="B129" s="3492"/>
      <c r="C129" s="2855" t="s">
        <v>2771</v>
      </c>
      <c r="D129" s="2829" t="s">
        <v>2772</v>
      </c>
      <c r="E129" s="2855">
        <v>0.1</v>
      </c>
      <c r="F129" s="2855">
        <v>15</v>
      </c>
    </row>
    <row r="130" spans="1:6" ht="24">
      <c r="A130" s="2855">
        <v>58</v>
      </c>
      <c r="B130" s="3492" t="s">
        <v>2773</v>
      </c>
      <c r="C130" s="2855" t="s">
        <v>2774</v>
      </c>
      <c r="D130" s="2829" t="s">
        <v>2775</v>
      </c>
      <c r="E130" s="2855">
        <v>0.1</v>
      </c>
      <c r="F130" s="2855">
        <v>15</v>
      </c>
    </row>
    <row r="131" spans="1:6" ht="13.5">
      <c r="A131" s="2855">
        <v>59</v>
      </c>
      <c r="B131" s="3492"/>
      <c r="C131" s="2855" t="s">
        <v>2776</v>
      </c>
      <c r="D131" s="2829" t="s">
        <v>2777</v>
      </c>
      <c r="E131" s="2855">
        <v>0.1</v>
      </c>
      <c r="F131" s="2855">
        <v>15</v>
      </c>
    </row>
    <row r="132" spans="1:6" ht="13.5">
      <c r="A132" s="2855">
        <v>60</v>
      </c>
      <c r="B132" s="3493" t="s">
        <v>2778</v>
      </c>
      <c r="C132" s="2855" t="s">
        <v>2779</v>
      </c>
      <c r="D132" s="2829" t="s">
        <v>2780</v>
      </c>
      <c r="E132" s="2855">
        <v>0.1</v>
      </c>
      <c r="F132" s="2855">
        <v>15</v>
      </c>
    </row>
    <row r="133" spans="1:6" ht="13.5">
      <c r="A133" s="2855">
        <v>61</v>
      </c>
      <c r="B133" s="3494"/>
      <c r="C133" s="2855" t="s">
        <v>2781</v>
      </c>
      <c r="D133" s="2829" t="s">
        <v>2782</v>
      </c>
      <c r="E133" s="2855">
        <v>0.1</v>
      </c>
      <c r="F133" s="2855">
        <v>15</v>
      </c>
    </row>
    <row r="134" spans="1:6" ht="24">
      <c r="A134" s="2855">
        <v>62</v>
      </c>
      <c r="B134" s="2855" t="s">
        <v>2783</v>
      </c>
      <c r="C134" s="2855" t="s">
        <v>2784</v>
      </c>
      <c r="D134" s="2829" t="s">
        <v>2785</v>
      </c>
      <c r="E134" s="2855">
        <v>0.1</v>
      </c>
      <c r="F134" s="2855">
        <v>15</v>
      </c>
    </row>
    <row r="135" spans="1:6" ht="13.5">
      <c r="A135" s="2855">
        <v>63</v>
      </c>
      <c r="B135" s="3492" t="s">
        <v>2786</v>
      </c>
      <c r="C135" s="2855" t="s">
        <v>2787</v>
      </c>
      <c r="D135" s="2829" t="s">
        <v>2788</v>
      </c>
      <c r="E135" s="2855">
        <v>0.1</v>
      </c>
      <c r="F135" s="2855">
        <v>15</v>
      </c>
    </row>
    <row r="136" spans="1:6" ht="13.5">
      <c r="A136" s="2855">
        <v>64</v>
      </c>
      <c r="B136" s="3492"/>
      <c r="C136" s="2855" t="s">
        <v>2789</v>
      </c>
      <c r="D136" s="2829" t="s">
        <v>2790</v>
      </c>
      <c r="E136" s="2855">
        <v>0.1</v>
      </c>
      <c r="F136" s="2855">
        <v>15</v>
      </c>
    </row>
    <row r="137" spans="1:6" ht="13.5">
      <c r="A137" s="2855">
        <v>65</v>
      </c>
      <c r="B137" s="2855" t="s">
        <v>2791</v>
      </c>
      <c r="C137" s="2855" t="s">
        <v>2792</v>
      </c>
      <c r="D137" s="2829" t="s">
        <v>2793</v>
      </c>
      <c r="E137" s="2855">
        <v>0.1</v>
      </c>
      <c r="F137" s="2855">
        <v>15</v>
      </c>
    </row>
    <row r="138" spans="1:6" ht="13.5">
      <c r="A138" s="2855"/>
      <c r="B138" s="2855"/>
      <c r="C138" s="2855"/>
      <c r="D138" s="2855"/>
      <c r="E138" s="2855" t="s">
        <v>2794</v>
      </c>
      <c r="F138" s="285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5"/>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SUMPRODUCT((A95:A184=ROUNDDOWN(基准地价修正!G3,1))*(B94:M94=基准地价修正!G2)*(B95:M184))</f>
        <v>0</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SUMPRODUCT((A371:A460=ROUNDDOWN(基准地价修正!G3,1))*(B370:M370=基准地价修正!G2)*(B371:M460))</f>
        <v>0</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92421</v>
      </c>
      <c r="C2" s="2" t="s">
        <v>106</v>
      </c>
      <c r="D2" s="189"/>
      <c r="E2" s="189"/>
      <c r="F2" s="189"/>
      <c r="G2" s="189"/>
    </row>
    <row r="3" spans="1:7" s="190" customFormat="1" ht="18" customHeight="1" thickBot="1">
      <c r="A3" s="193" t="s">
        <v>58</v>
      </c>
      <c r="B3" s="194">
        <f ca="1">ROUND(B2*10000/'数据-汇总表'!E3,0)</f>
        <v>13581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150</v>
      </c>
      <c r="F9" s="211"/>
      <c r="G9" s="216"/>
    </row>
    <row r="10" spans="1:7" s="204" customFormat="1" ht="13.5" customHeight="1">
      <c r="A10" s="731" t="s">
        <v>356</v>
      </c>
      <c r="B10" s="214" t="s">
        <v>67</v>
      </c>
      <c r="C10" s="215">
        <f>ROUND(D10*E10/10000,0)</f>
        <v>1293</v>
      </c>
      <c r="D10" s="793">
        <f>'数据-汇总表'!E6</f>
        <v>68049.77999999997</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1361</v>
      </c>
      <c r="D19" s="202">
        <f>'数据-汇总表'!E3</f>
        <v>68049.77999999997</v>
      </c>
      <c r="E19" s="201">
        <f>'数据-取费表'!B31</f>
        <v>200</v>
      </c>
      <c r="F19" s="221"/>
      <c r="G19" s="1" t="s">
        <v>436</v>
      </c>
    </row>
    <row r="20" spans="1:7" s="204" customFormat="1" ht="13.5" customHeight="1">
      <c r="A20" s="729" t="s">
        <v>419</v>
      </c>
      <c r="B20" s="200" t="s">
        <v>77</v>
      </c>
      <c r="C20" s="222">
        <f>ROUND((C5+C19)*F20,0)</f>
        <v>659</v>
      </c>
      <c r="D20" s="222"/>
      <c r="E20" s="222"/>
      <c r="F20" s="223">
        <f>'数据-取费表'!B37</f>
        <v>0.03</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2139</v>
      </c>
      <c r="D22" s="225">
        <f ca="1">C26</f>
        <v>1.4E-3</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1977</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131</v>
      </c>
      <c r="D24" s="228"/>
      <c r="E24" s="228"/>
      <c r="F24" s="229"/>
      <c r="G24" s="230" t="s">
        <v>82</v>
      </c>
    </row>
    <row r="25" spans="1:7" s="204" customFormat="1" ht="24">
      <c r="A25" s="732" t="s">
        <v>348</v>
      </c>
      <c r="B25" s="205" t="s">
        <v>420</v>
      </c>
      <c r="C25" s="1040">
        <f ca="1">ROUND(IF('数据-取费表'!B22&lt;=1,C20*F22*'数据-取费表'!B23/2,C20*(POWER((1+F22),'数据-取费表'!B23/2)-1)),0)</f>
        <v>31</v>
      </c>
      <c r="D25" s="228"/>
      <c r="E25" s="231"/>
      <c r="F25" s="229"/>
      <c r="G25" s="232" t="s">
        <v>83</v>
      </c>
    </row>
    <row r="26" spans="1:7" s="204" customFormat="1">
      <c r="A26" s="732" t="s">
        <v>350</v>
      </c>
      <c r="B26" s="205" t="s">
        <v>422</v>
      </c>
      <c r="C26" s="228">
        <f ca="1">ROUND(IF('数据-取费表'!B22&lt;=1,F21*F22*'数据-取费表'!B23/2,F21*(POWER((1+F22),'数据-取费表'!B23/2)-1)),4)</f>
        <v>1.4E-3</v>
      </c>
      <c r="D26" s="228"/>
      <c r="E26" s="231"/>
      <c r="F26" s="229"/>
      <c r="G26" s="233"/>
    </row>
    <row r="27" spans="1:7" s="204" customFormat="1" ht="24.75">
      <c r="A27" s="729" t="s">
        <v>342</v>
      </c>
      <c r="B27" s="234" t="s">
        <v>85</v>
      </c>
      <c r="C27" s="235">
        <f>C28</f>
        <v>5658</v>
      </c>
      <c r="D27" s="225">
        <f>C29</f>
        <v>7.4999999999999997E-3</v>
      </c>
      <c r="E27" s="226" t="s">
        <v>99</v>
      </c>
      <c r="F27" s="236">
        <f>'数据-取费表'!Q16</f>
        <v>0.25</v>
      </c>
      <c r="G27" s="237" t="s">
        <v>431</v>
      </c>
    </row>
    <row r="28" spans="1:7" s="204" customFormat="1" ht="13.5" customHeight="1">
      <c r="A28" s="732" t="s">
        <v>349</v>
      </c>
      <c r="B28" s="238" t="s">
        <v>424</v>
      </c>
      <c r="C28" s="239">
        <f>ROUND((C5+C19+C20)*F27*'数据-取费表'!B21/'数据-取费表'!B20,0)</f>
        <v>5658</v>
      </c>
      <c r="D28" s="225"/>
      <c r="E28" s="226"/>
      <c r="F28" s="236"/>
      <c r="G28" s="237"/>
    </row>
    <row r="29" spans="1:7" s="204" customFormat="1" ht="13.5" customHeight="1">
      <c r="A29" s="732" t="s">
        <v>347</v>
      </c>
      <c r="B29" s="238" t="s">
        <v>425</v>
      </c>
      <c r="C29" s="228">
        <f>ROUND(C21*F27*'数据-取费表'!B21/'数据-取费表'!B20,4)</f>
        <v>7.4999999999999997E-3</v>
      </c>
      <c r="D29" s="225"/>
      <c r="E29" s="226"/>
      <c r="F29" s="236"/>
      <c r="G29" s="237"/>
    </row>
    <row r="30" spans="1:7" s="204" customFormat="1" ht="13.5" customHeight="1">
      <c r="A30" s="729"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33519</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42136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38108</v>
      </c>
      <c r="D34" s="207"/>
      <c r="E34" s="210"/>
      <c r="F34" s="247">
        <f>IF('数据-取费表'!B24=0,1,'数据-取费表'!N16)</f>
        <v>1</v>
      </c>
      <c r="G34" s="209" t="s">
        <v>89</v>
      </c>
    </row>
    <row r="35" spans="1:7" ht="13.5" customHeight="1">
      <c r="A35" s="732" t="s">
        <v>351</v>
      </c>
      <c r="B35" s="205" t="s">
        <v>33</v>
      </c>
      <c r="C35" s="210">
        <f>ROUND(C34*F35,0)</f>
        <v>1905</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1361</v>
      </c>
      <c r="D37" s="207">
        <f>'数据-汇总表'!E3</f>
        <v>68049.77999999997</v>
      </c>
      <c r="E37" s="239">
        <f>'数据-取费表'!B35</f>
        <v>200</v>
      </c>
      <c r="F37" s="249"/>
      <c r="G37" s="251" t="s">
        <v>92</v>
      </c>
    </row>
    <row r="38" spans="1:7" ht="13.5" customHeight="1">
      <c r="A38" s="732" t="s">
        <v>354</v>
      </c>
      <c r="B38" s="205" t="s">
        <v>36</v>
      </c>
      <c r="C38" s="210">
        <f>ROUND(C34*F38,0)</f>
        <v>762</v>
      </c>
      <c r="D38" s="210"/>
      <c r="E38" s="210"/>
      <c r="F38" s="249">
        <f>'数据-取费表'!B36</f>
        <v>0.02</v>
      </c>
      <c r="G38" s="209" t="s">
        <v>90</v>
      </c>
    </row>
    <row r="39" spans="1:7" s="204" customFormat="1" ht="13.5" customHeight="1">
      <c r="A39" s="729" t="s">
        <v>338</v>
      </c>
      <c r="B39" s="200" t="s">
        <v>77</v>
      </c>
      <c r="C39" s="222">
        <f>ROUND(C33*F20,0)</f>
        <v>1264</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2033</v>
      </c>
      <c r="D41" s="225">
        <f ca="1">C44</f>
        <v>1.4E-3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1974</v>
      </c>
      <c r="D42" s="228"/>
      <c r="E42" s="228"/>
      <c r="F42" s="229"/>
      <c r="G42" s="3369" t="s">
        <v>94</v>
      </c>
    </row>
    <row r="43" spans="1:7" ht="13.5" customHeight="1">
      <c r="A43" s="732" t="s">
        <v>347</v>
      </c>
      <c r="B43" s="205" t="s">
        <v>426</v>
      </c>
      <c r="C43" s="228">
        <f ca="1">ROUND(IF('数据-取费表'!B22&lt;=1,C39*F22*'数据-取费表'!B21/2,C39*(POWER((1+F22),'数据-取费表'!B21/2)-1)),0)</f>
        <v>59</v>
      </c>
      <c r="D43" s="228"/>
      <c r="E43" s="228"/>
      <c r="F43" s="229"/>
      <c r="G43" s="3370"/>
    </row>
    <row r="44" spans="1:7" ht="13.5" customHeight="1">
      <c r="A44" s="732" t="s">
        <v>348</v>
      </c>
      <c r="B44" s="205" t="s">
        <v>428</v>
      </c>
      <c r="C44" s="228">
        <f ca="1">ROUND(IF('数据-取费表'!B22&lt;=1,C40*F22*'数据-取费表'!B21/2,C40*(POWER((1+F22),'数据-取费表'!B21/2)-1)),4)</f>
        <v>1.4E-3</v>
      </c>
      <c r="D44" s="228"/>
      <c r="E44" s="228"/>
      <c r="F44" s="229"/>
      <c r="G44" s="3371"/>
    </row>
    <row r="45" spans="1:7" s="204" customFormat="1" ht="13.5" customHeight="1">
      <c r="A45" s="729" t="s">
        <v>341</v>
      </c>
      <c r="B45" s="234" t="s">
        <v>85</v>
      </c>
      <c r="C45" s="235">
        <f>C46</f>
        <v>10850</v>
      </c>
      <c r="D45" s="225">
        <f>C47</f>
        <v>7.4999999999999997E-3</v>
      </c>
      <c r="E45" s="226" t="s">
        <v>102</v>
      </c>
      <c r="F45" s="236"/>
      <c r="G45" s="237" t="s">
        <v>434</v>
      </c>
    </row>
    <row r="46" spans="1:7" s="204" customFormat="1" ht="13.5" customHeight="1">
      <c r="A46" s="732" t="s">
        <v>349</v>
      </c>
      <c r="B46" s="238" t="s">
        <v>427</v>
      </c>
      <c r="C46" s="239">
        <f>ROUND((C33+C39)*F27,0)</f>
        <v>10850</v>
      </c>
      <c r="D46" s="253"/>
      <c r="E46" s="226"/>
      <c r="F46" s="236"/>
      <c r="G46" s="237"/>
    </row>
    <row r="47" spans="1:7" s="204" customFormat="1" ht="13.5" customHeight="1">
      <c r="A47" s="732" t="s">
        <v>347</v>
      </c>
      <c r="B47" s="238" t="s">
        <v>429</v>
      </c>
      <c r="C47" s="228">
        <f>ROUND(C40*F27,4)</f>
        <v>7.4999999999999997E-3</v>
      </c>
      <c r="D47" s="253"/>
      <c r="E47" s="226"/>
      <c r="F47" s="236"/>
      <c r="G47" s="237"/>
    </row>
    <row r="48" spans="1:7" s="204" customFormat="1" ht="13.5" customHeight="1">
      <c r="A48" s="729" t="s">
        <v>342</v>
      </c>
      <c r="B48" s="200" t="s">
        <v>95</v>
      </c>
      <c r="C48" s="252">
        <f>F30</f>
        <v>5.6000000000000001E-2</v>
      </c>
      <c r="D48" s="226" t="s">
        <v>103</v>
      </c>
      <c r="E48" s="222"/>
      <c r="F48" s="227"/>
      <c r="G48" s="224" t="s">
        <v>96</v>
      </c>
    </row>
    <row r="49" spans="1:7" ht="16.5" customHeight="1">
      <c r="A49" s="729" t="s">
        <v>343</v>
      </c>
      <c r="B49" s="200" t="s">
        <v>104</v>
      </c>
      <c r="C49" s="222">
        <f ca="1">ROUND((C33+C39+C41+C45)/(1-C40-D41-D45-C48/(1+'数据-取费表'!B42)),0)</f>
        <v>62002</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58902</v>
      </c>
      <c r="D51" s="222"/>
      <c r="E51" s="222"/>
      <c r="F51" s="254"/>
      <c r="G51" s="224" t="s">
        <v>37</v>
      </c>
    </row>
    <row r="52" spans="1:7" s="198" customFormat="1" ht="16.5" thickBot="1">
      <c r="A52" s="255" t="s">
        <v>38</v>
      </c>
      <c r="B52" s="256"/>
      <c r="C52" s="257">
        <f ca="1">C31+C51</f>
        <v>92421</v>
      </c>
      <c r="D52" s="256"/>
      <c r="E52" s="256"/>
      <c r="F52" s="256"/>
      <c r="G52" s="258"/>
    </row>
    <row r="55" spans="1:7" ht="15">
      <c r="B55" s="260" t="s">
        <v>39</v>
      </c>
      <c r="C55" s="261"/>
    </row>
    <row r="56" spans="1:7">
      <c r="B56" s="263" t="s">
        <v>40</v>
      </c>
      <c r="C56" s="264">
        <f ca="1">ROUND(C51/C52,3)</f>
        <v>0.63700000000000001</v>
      </c>
    </row>
    <row r="57" spans="1:7">
      <c r="B57" s="263" t="s">
        <v>41</v>
      </c>
      <c r="C57" s="265">
        <f ca="1">1-C56</f>
        <v>0.36299999999999999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6" t="s">
        <v>2836</v>
      </c>
      <c r="B1" s="3506"/>
      <c r="C1" s="3506"/>
      <c r="D1" s="3506"/>
      <c r="E1" s="3506"/>
      <c r="F1" s="3506"/>
      <c r="G1" s="3507"/>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504"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 thickBot="1">
      <c r="A4" s="3505"/>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8" t="s">
        <v>3178</v>
      </c>
      <c r="B1" s="3508"/>
    </row>
    <row r="2" spans="1:7" ht="14.25" thickBot="1">
      <c r="A2" s="2966"/>
      <c r="B2" s="2966"/>
    </row>
    <row r="3" spans="1:7" ht="14.25" thickBot="1">
      <c r="A3" s="2966"/>
      <c r="B3" s="2966"/>
      <c r="C3" s="2967" t="s">
        <v>2808</v>
      </c>
      <c r="D3" s="2967" t="s">
        <v>2864</v>
      </c>
      <c r="E3" s="2967" t="s">
        <v>2810</v>
      </c>
      <c r="F3" s="2967" t="s">
        <v>2865</v>
      </c>
      <c r="G3" s="2967" t="s">
        <v>2628</v>
      </c>
    </row>
    <row r="4" spans="1:7" ht="14.2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2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2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2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2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2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2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2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2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2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2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9" t="s">
        <v>3229</v>
      </c>
      <c r="B1" s="3509"/>
      <c r="C1" s="3509"/>
      <c r="D1" s="3509"/>
      <c r="E1" s="3509"/>
      <c r="F1" s="3510"/>
    </row>
    <row r="2" spans="1:6">
      <c r="A2" s="3000" t="s">
        <v>3230</v>
      </c>
    </row>
    <row r="3" spans="1:6">
      <c r="A3" s="3000" t="s">
        <v>3231</v>
      </c>
      <c r="F3" s="3001" t="s">
        <v>3232</v>
      </c>
    </row>
    <row r="4" spans="1:6">
      <c r="A4" s="3002" t="s">
        <v>671</v>
      </c>
      <c r="B4" s="3002" t="s">
        <v>672</v>
      </c>
      <c r="C4" s="3002" t="s">
        <v>21</v>
      </c>
      <c r="D4" s="3002" t="s">
        <v>673</v>
      </c>
      <c r="E4" s="3002" t="s">
        <v>3</v>
      </c>
      <c r="F4" s="3002" t="s">
        <v>3233</v>
      </c>
    </row>
    <row r="5" spans="1:6">
      <c r="A5" s="3003" t="s">
        <v>674</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E40" sqref="E31:F40"/>
    </sheetView>
  </sheetViews>
  <sheetFormatPr defaultRowHeight="13.5"/>
  <cols>
    <col min="1" max="1" width="13.875" customWidth="1"/>
    <col min="11" max="17" width="0" hidden="1" customWidth="1"/>
    <col min="25" max="30" width="0" hidden="1" customWidth="1"/>
  </cols>
  <sheetData>
    <row r="1" spans="1:30">
      <c r="A1" s="2935">
        <f>基准地价修正!G23</f>
        <v>45604</v>
      </c>
      <c r="B1" s="2927" t="s">
        <v>3379</v>
      </c>
      <c r="C1" s="2928"/>
      <c r="D1" s="2928"/>
      <c r="E1" s="2928"/>
      <c r="F1" s="2928"/>
      <c r="G1" s="2928"/>
      <c r="H1" s="2928"/>
      <c r="I1" s="2928"/>
      <c r="J1" s="2894"/>
      <c r="K1" s="2928" t="s">
        <v>454</v>
      </c>
      <c r="L1" s="2928"/>
      <c r="M1" s="2928"/>
      <c r="N1" s="2928"/>
      <c r="O1" s="2928"/>
      <c r="P1" s="2928"/>
      <c r="Q1" s="2894"/>
      <c r="R1" s="3511" t="s">
        <v>456</v>
      </c>
      <c r="S1" s="3512"/>
      <c r="T1" s="3512"/>
      <c r="U1" s="3512"/>
      <c r="V1" s="3512"/>
      <c r="W1" s="3512"/>
      <c r="X1" s="2894"/>
      <c r="Y1" s="3511" t="s">
        <v>457</v>
      </c>
      <c r="Z1" s="3512"/>
      <c r="AA1" s="3512"/>
      <c r="AB1" s="3512"/>
      <c r="AC1" s="3512"/>
      <c r="AD1" s="3512"/>
    </row>
    <row r="2" spans="1:30" s="2007" customFormat="1" ht="14.25" thickBot="1">
      <c r="B2" s="2879"/>
      <c r="C2" s="2880"/>
      <c r="D2" s="2008" t="s">
        <v>2807</v>
      </c>
      <c r="E2" s="2009" t="s">
        <v>2808</v>
      </c>
      <c r="F2" s="2009" t="s">
        <v>2809</v>
      </c>
      <c r="G2" s="2009" t="s">
        <v>2810</v>
      </c>
      <c r="H2" s="2009" t="s">
        <v>2811</v>
      </c>
      <c r="I2" s="2009" t="s">
        <v>2628</v>
      </c>
      <c r="J2" s="2881"/>
      <c r="K2" s="2008" t="s">
        <v>2807</v>
      </c>
      <c r="L2" s="2009" t="s">
        <v>2808</v>
      </c>
      <c r="M2" s="2009" t="s">
        <v>2809</v>
      </c>
      <c r="N2" s="2009" t="s">
        <v>2810</v>
      </c>
      <c r="O2" s="2009" t="s">
        <v>2812</v>
      </c>
      <c r="P2" s="2009" t="s">
        <v>2628</v>
      </c>
      <c r="Q2" s="2881"/>
      <c r="R2" s="2008" t="s">
        <v>2807</v>
      </c>
      <c r="S2" s="2009" t="s">
        <v>2808</v>
      </c>
      <c r="T2" s="2009" t="s">
        <v>2809</v>
      </c>
      <c r="U2" s="2009" t="s">
        <v>2813</v>
      </c>
      <c r="V2" s="2009" t="s">
        <v>2814</v>
      </c>
      <c r="W2" s="2009" t="s">
        <v>2628</v>
      </c>
      <c r="X2" s="2881"/>
      <c r="Y2" s="2008" t="s">
        <v>2807</v>
      </c>
      <c r="Z2" s="2009" t="s">
        <v>2808</v>
      </c>
      <c r="AA2" s="2009" t="s">
        <v>2809</v>
      </c>
      <c r="AB2" s="2009" t="s">
        <v>2815</v>
      </c>
      <c r="AC2" s="2009" t="s">
        <v>2814</v>
      </c>
      <c r="AD2" s="2009" t="s">
        <v>2628</v>
      </c>
    </row>
    <row r="3" spans="1:30" s="2884" customFormat="1" ht="12.75">
      <c r="A3" s="2882" t="s">
        <v>2816</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3375</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3384</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3383</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3376</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3372</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3368</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3367</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3365</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3364</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3363</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3361</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3352</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2817</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2818</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2819</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2820</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2821</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3382</v>
      </c>
    </row>
    <row r="24" spans="1:30">
      <c r="I24" s="1402" t="s">
        <v>2822</v>
      </c>
    </row>
    <row r="26" spans="1:30" s="2006" customFormat="1" ht="12.75">
      <c r="B26" s="2927" t="s">
        <v>3380</v>
      </c>
      <c r="C26" s="2928"/>
      <c r="D26" s="2928"/>
      <c r="E26" s="2928"/>
      <c r="F26" s="2928"/>
      <c r="G26" s="2928"/>
      <c r="H26" s="2928"/>
      <c r="I26" s="2928"/>
      <c r="J26" s="2894"/>
      <c r="K26" s="2928" t="s">
        <v>2823</v>
      </c>
      <c r="L26" s="2928"/>
      <c r="M26" s="2928"/>
      <c r="N26" s="2928"/>
      <c r="O26" s="2928"/>
      <c r="P26" s="2928"/>
      <c r="Q26" s="2894"/>
      <c r="R26" s="3511" t="s">
        <v>2824</v>
      </c>
      <c r="S26" s="3512"/>
      <c r="T26" s="3512"/>
      <c r="U26" s="3512"/>
      <c r="V26" s="3512"/>
      <c r="W26" s="3512"/>
      <c r="X26" s="2894"/>
      <c r="Y26" s="3511" t="s">
        <v>2825</v>
      </c>
      <c r="Z26" s="3512"/>
      <c r="AA26" s="3512"/>
      <c r="AB26" s="3512"/>
      <c r="AC26" s="3512"/>
      <c r="AD26" s="3512"/>
    </row>
    <row r="27" spans="1:30" s="2007" customFormat="1" ht="14.25" thickBot="1">
      <c r="B27" s="2879"/>
      <c r="C27" s="2880"/>
      <c r="D27" s="2008" t="s">
        <v>2826</v>
      </c>
      <c r="E27" s="2009" t="s">
        <v>2827</v>
      </c>
      <c r="F27" s="2009" t="s">
        <v>2828</v>
      </c>
      <c r="G27" s="2009" t="s">
        <v>2829</v>
      </c>
      <c r="H27" s="2009"/>
      <c r="I27" s="2009" t="s">
        <v>2830</v>
      </c>
      <c r="J27" s="2881"/>
      <c r="K27" s="2008" t="s">
        <v>2826</v>
      </c>
      <c r="L27" s="2009" t="s">
        <v>2827</v>
      </c>
      <c r="M27" s="2009" t="s">
        <v>2828</v>
      </c>
      <c r="N27" s="2009" t="s">
        <v>2829</v>
      </c>
      <c r="O27" s="2009"/>
      <c r="P27" s="2009" t="s">
        <v>2830</v>
      </c>
      <c r="Q27" s="2881"/>
      <c r="R27" s="2008" t="s">
        <v>2826</v>
      </c>
      <c r="S27" s="2009" t="s">
        <v>2827</v>
      </c>
      <c r="T27" s="2009" t="s">
        <v>2828</v>
      </c>
      <c r="U27" s="2009" t="s">
        <v>2829</v>
      </c>
      <c r="V27" s="2009"/>
      <c r="W27" s="2009" t="s">
        <v>2830</v>
      </c>
      <c r="X27" s="2881"/>
      <c r="Y27" s="2008" t="s">
        <v>2826</v>
      </c>
      <c r="Z27" s="2009" t="s">
        <v>2827</v>
      </c>
      <c r="AA27" s="2009" t="s">
        <v>2828</v>
      </c>
      <c r="AB27" s="2009" t="s">
        <v>2829</v>
      </c>
      <c r="AC27" s="2009"/>
      <c r="AD27" s="2009" t="s">
        <v>2830</v>
      </c>
    </row>
    <row r="28" spans="1:30" s="2884" customFormat="1" ht="12.75">
      <c r="A28" s="2882" t="s">
        <v>2831</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3375</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3377</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3370</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3378</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3371</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3369</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3367</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3366</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3364</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3363</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3362</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3352</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2832</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2833</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2834</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2835</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2821</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7" customFormat="1" ht="14.25" thickBot="1">
      <c r="B2" s="2008" t="s">
        <v>458</v>
      </c>
      <c r="C2" s="2008" t="s">
        <v>459</v>
      </c>
      <c r="D2" s="2009" t="s">
        <v>460</v>
      </c>
      <c r="E2" s="2009" t="s">
        <v>461</v>
      </c>
      <c r="F2" s="2008" t="s">
        <v>462</v>
      </c>
      <c r="G2" s="2010"/>
      <c r="I2" s="2008" t="s">
        <v>458</v>
      </c>
      <c r="J2" s="2009" t="s">
        <v>675</v>
      </c>
      <c r="K2" s="2009" t="s">
        <v>308</v>
      </c>
      <c r="L2" s="2008" t="s">
        <v>462</v>
      </c>
      <c r="N2" s="2008" t="s">
        <v>458</v>
      </c>
      <c r="O2" s="2009" t="s">
        <v>675</v>
      </c>
      <c r="P2" s="2009" t="s">
        <v>308</v>
      </c>
      <c r="Q2" s="2008" t="s">
        <v>462</v>
      </c>
      <c r="S2" s="2008" t="s">
        <v>458</v>
      </c>
      <c r="T2" s="2009" t="s">
        <v>675</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2433</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2310</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2309</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2308</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2305</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2304</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1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676</v>
      </c>
      <c r="B27" s="2038">
        <f t="shared" si="232"/>
        <v>419.31181600000002</v>
      </c>
      <c r="C27" s="2038">
        <f t="shared" si="233"/>
        <v>313.95436800000004</v>
      </c>
      <c r="D27" s="2038">
        <f t="shared" si="234"/>
        <v>313.95436800000004</v>
      </c>
      <c r="E27" s="2038">
        <f t="shared" si="235"/>
        <v>596.63028431999999</v>
      </c>
      <c r="F27" s="2038">
        <f t="shared" si="236"/>
        <v>274.74220703999998</v>
      </c>
      <c r="G27" s="351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1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1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1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1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1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1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1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1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1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1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1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1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4">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5">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1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4">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5">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45604</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2306</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2" t="str">
        <f>IF(项目基本情况!B9="房地产市场价值","估价结果一览表","结果表-2")</f>
        <v>结果表-2</v>
      </c>
      <c r="B1" s="3202"/>
      <c r="C1" s="3202"/>
      <c r="D1" s="3202"/>
      <c r="E1" s="3202"/>
      <c r="F1" s="3202"/>
      <c r="G1" s="3202"/>
      <c r="H1" s="3202"/>
      <c r="I1" s="3202"/>
    </row>
    <row r="2" spans="1:9" ht="30" customHeight="1" thickTop="1">
      <c r="A2" s="3203" t="s">
        <v>927</v>
      </c>
      <c r="B2" s="3203" t="s">
        <v>928</v>
      </c>
      <c r="C2" s="3203" t="s">
        <v>929</v>
      </c>
      <c r="D2" s="3203" t="str">
        <f>结果表!D116</f>
        <v>出让国有建设用地使用权价值</v>
      </c>
      <c r="E2" s="3203"/>
      <c r="F2" s="3203" t="str">
        <f>结果表!F116</f>
        <v>建筑物价值</v>
      </c>
      <c r="G2" s="3203"/>
      <c r="H2" s="3203" t="str">
        <f>IF(项目基本情况!B9="房地产市场价值","房地产市场价值","房地产价值")</f>
        <v>房地产价值</v>
      </c>
      <c r="I2" s="3203"/>
    </row>
    <row r="3" spans="1:9" ht="15">
      <c r="A3" s="3198"/>
      <c r="B3" s="3198"/>
      <c r="C3" s="3198"/>
      <c r="D3" s="799" t="s">
        <v>924</v>
      </c>
      <c r="E3" s="799" t="s">
        <v>930</v>
      </c>
      <c r="F3" s="799" t="s">
        <v>924</v>
      </c>
      <c r="G3" s="799" t="s">
        <v>925</v>
      </c>
      <c r="H3" s="799" t="s">
        <v>924</v>
      </c>
      <c r="I3" s="799" t="s">
        <v>925</v>
      </c>
    </row>
    <row r="4" spans="1:9" ht="15">
      <c r="A4" s="1400" t="str">
        <f>项目基本情况!S2</f>
        <v>北京市房地产</v>
      </c>
      <c r="B4" s="799">
        <f>项目基本情况!C17</f>
        <v>68049.77999999997</v>
      </c>
      <c r="C4" s="799">
        <f>项目基本情况!C18</f>
        <v>15742.02</v>
      </c>
      <c r="D4" s="799">
        <f ca="1">结果表!D118</f>
        <v>81560</v>
      </c>
      <c r="E4" s="799">
        <f ca="1">结果表!E118</f>
        <v>11986</v>
      </c>
      <c r="F4" s="799">
        <f ca="1">结果表!F118</f>
        <v>48106</v>
      </c>
      <c r="G4" s="799">
        <f ca="1">结果表!G118</f>
        <v>7069</v>
      </c>
      <c r="H4" s="799">
        <f ca="1">结果表!H118</f>
        <v>129666</v>
      </c>
      <c r="I4" s="799">
        <f ca="1">结果表!I118</f>
        <v>19055</v>
      </c>
    </row>
    <row r="5" spans="1:9" ht="30" customHeight="1">
      <c r="A5" s="3198" t="s">
        <v>926</v>
      </c>
      <c r="B5" s="3198"/>
      <c r="C5" s="3198"/>
      <c r="D5" s="3198" t="str">
        <f ca="1">结果表!D119</f>
        <v>捌亿壹仟伍佰陆拾万元整</v>
      </c>
      <c r="E5" s="3198"/>
      <c r="F5" s="3198" t="str">
        <f ca="1">结果表!F119</f>
        <v>肆亿捌仟壹佰零陆万元整</v>
      </c>
      <c r="G5" s="3198"/>
      <c r="H5" s="3198" t="str">
        <f ca="1">结果表!H119</f>
        <v>壹拾贰亿玖仟陆佰陆拾陆万元整</v>
      </c>
      <c r="I5" s="3198"/>
    </row>
    <row r="6" spans="1:9" ht="15.75">
      <c r="A6" s="3197" t="str">
        <f>结果表!A120</f>
        <v>估价师知悉的法定优先受偿款</v>
      </c>
      <c r="B6" s="3197"/>
      <c r="C6" s="3197"/>
      <c r="D6" s="3197">
        <f>结果表!D120</f>
        <v>0</v>
      </c>
      <c r="E6" s="3197"/>
      <c r="F6" s="3197"/>
      <c r="G6" s="3197"/>
      <c r="H6" s="3197"/>
      <c r="I6" s="3197"/>
    </row>
    <row r="7" spans="1:9" ht="15">
      <c r="A7" s="3198" t="s">
        <v>926</v>
      </c>
      <c r="B7" s="3198"/>
      <c r="C7" s="3198"/>
      <c r="D7" s="3199" t="str">
        <f>结果表!D121</f>
        <v>零元整</v>
      </c>
      <c r="E7" s="3200"/>
      <c r="F7" s="3200"/>
      <c r="G7" s="3200"/>
      <c r="H7" s="3200"/>
      <c r="I7" s="3201"/>
    </row>
    <row r="8" spans="1:9" ht="15.75">
      <c r="A8" s="3197" t="str">
        <f>结果表!A122</f>
        <v>房地产抵押价值</v>
      </c>
      <c r="B8" s="3197"/>
      <c r="C8" s="3197"/>
      <c r="D8" s="3197">
        <f ca="1">结果表!D122</f>
        <v>129666</v>
      </c>
      <c r="E8" s="3197"/>
      <c r="F8" s="3197"/>
      <c r="G8" s="3197"/>
      <c r="H8" s="3197"/>
      <c r="I8" s="3197"/>
    </row>
    <row r="9" spans="1:9" ht="15">
      <c r="A9" s="3198" t="s">
        <v>926</v>
      </c>
      <c r="B9" s="3198"/>
      <c r="C9" s="3198"/>
      <c r="D9" s="3198" t="str">
        <f ca="1">结果表!D123</f>
        <v>壹拾贰亿玖仟陆佰陆拾陆万元整</v>
      </c>
      <c r="E9" s="3198"/>
      <c r="F9" s="3198"/>
      <c r="G9" s="3198"/>
      <c r="H9" s="3198"/>
      <c r="I9" s="3198"/>
    </row>
    <row r="10" spans="1:9" ht="15.75">
      <c r="A10" s="3197" t="str">
        <f>结果表!A124</f>
        <v/>
      </c>
      <c r="B10" s="3197"/>
      <c r="C10" s="3197"/>
      <c r="D10" s="3197" t="str">
        <f>结果表!D124</f>
        <v>——</v>
      </c>
      <c r="E10" s="3197"/>
      <c r="F10" s="3197"/>
      <c r="G10" s="3197"/>
      <c r="H10" s="3197"/>
      <c r="I10" s="3197"/>
    </row>
    <row r="11" spans="1:9" ht="15">
      <c r="A11" s="3198" t="s">
        <v>926</v>
      </c>
      <c r="B11" s="3198"/>
      <c r="C11" s="3198"/>
      <c r="D11" s="3198" t="e">
        <f>结果表!D125</f>
        <v>#VALUE!</v>
      </c>
      <c r="E11" s="3198"/>
      <c r="F11" s="3198"/>
      <c r="G11" s="3198"/>
      <c r="H11" s="3198"/>
      <c r="I11" s="3198"/>
    </row>
    <row r="12" spans="1:9" ht="15.75">
      <c r="A12" s="3197" t="str">
        <f>结果表!A126</f>
        <v/>
      </c>
      <c r="B12" s="3197"/>
      <c r="C12" s="3197"/>
      <c r="D12" s="3197" t="str">
        <f>结果表!D126</f>
        <v>——</v>
      </c>
      <c r="E12" s="3197"/>
      <c r="F12" s="3197"/>
      <c r="G12" s="3197"/>
      <c r="H12" s="3197"/>
      <c r="I12" s="3197"/>
    </row>
    <row r="13" spans="1:9" ht="15.75" thickBot="1">
      <c r="A13" s="3195" t="s">
        <v>926</v>
      </c>
      <c r="B13" s="3195"/>
      <c r="C13" s="3195"/>
      <c r="D13" s="3195" t="e">
        <f>结果表!D127</f>
        <v>#VALUE!</v>
      </c>
      <c r="E13" s="3195"/>
      <c r="F13" s="3195"/>
      <c r="G13" s="3195"/>
      <c r="H13" s="3195"/>
      <c r="I13" s="3195"/>
    </row>
    <row r="14" spans="1:9" ht="15" thickTop="1">
      <c r="A14" s="3196" t="s">
        <v>931</v>
      </c>
      <c r="B14" s="3196"/>
      <c r="C14" s="3196"/>
      <c r="D14" s="3196"/>
      <c r="E14" s="3196"/>
      <c r="F14" s="3196"/>
      <c r="G14" s="3196"/>
      <c r="H14" s="3196"/>
      <c r="I14" s="3196"/>
    </row>
    <row r="16" spans="1:9" ht="18.75">
      <c r="A16" s="1401" t="s">
        <v>914</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0" t="s">
        <v>948</v>
      </c>
      <c r="B1" s="3210"/>
      <c r="C1" s="3210"/>
      <c r="D1" s="3210"/>
    </row>
    <row r="2" spans="1:4" ht="18">
      <c r="A2" s="3211" t="s">
        <v>932</v>
      </c>
      <c r="B2" s="3211"/>
      <c r="C2" s="3211"/>
      <c r="D2" s="3211"/>
    </row>
    <row r="3" spans="1:4" ht="18.75">
      <c r="A3" s="1404" t="s">
        <v>933</v>
      </c>
      <c r="B3" s="1404" t="s">
        <v>934</v>
      </c>
      <c r="C3" s="1404" t="s">
        <v>935</v>
      </c>
      <c r="D3" s="1404" t="s">
        <v>936</v>
      </c>
    </row>
    <row r="4" spans="1:4" ht="56.25" customHeight="1">
      <c r="A4" s="1405" t="str">
        <f>项目基本情况!B4</f>
        <v>吴薇</v>
      </c>
      <c r="B4" s="1406">
        <f ca="1">项目基本情况!C4</f>
        <v>1419970001</v>
      </c>
      <c r="C4" s="1407"/>
      <c r="D4" s="1408" t="s">
        <v>937</v>
      </c>
    </row>
    <row r="5" spans="1:4" ht="56.25" customHeight="1">
      <c r="A5" s="1405" t="str">
        <f>项目基本情况!D4</f>
        <v>郑燚</v>
      </c>
      <c r="B5" s="1406">
        <f ca="1">项目基本情况!E4</f>
        <v>1120070131</v>
      </c>
      <c r="C5" s="1409"/>
      <c r="D5" s="1408" t="s">
        <v>937</v>
      </c>
    </row>
    <row r="6" spans="1:4" ht="18">
      <c r="A6" s="3211" t="s">
        <v>938</v>
      </c>
      <c r="B6" s="3211"/>
      <c r="C6" s="3211"/>
      <c r="D6" s="3211"/>
    </row>
    <row r="7" spans="1:4" ht="18.75">
      <c r="A7" s="1404" t="s">
        <v>933</v>
      </c>
      <c r="B7" s="1406" t="s">
        <v>939</v>
      </c>
      <c r="C7" s="1404" t="s">
        <v>935</v>
      </c>
      <c r="D7" s="1404" t="s">
        <v>936</v>
      </c>
    </row>
    <row r="8" spans="1:4" ht="56.25" customHeight="1">
      <c r="A8" s="1410" t="s">
        <v>390</v>
      </c>
      <c r="B8" s="1410" t="s">
        <v>0</v>
      </c>
      <c r="C8" s="1407"/>
      <c r="D8" s="1408" t="s">
        <v>937</v>
      </c>
    </row>
    <row r="10" spans="1:4" ht="18.75">
      <c r="A10" s="1411" t="s">
        <v>940</v>
      </c>
    </row>
    <row r="11" spans="1:4" ht="30" customHeight="1">
      <c r="A11" s="3212" t="s">
        <v>941</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9"/>
      <c r="C12" s="3209"/>
      <c r="D12" s="3209"/>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9"/>
      <c r="C13" s="3209"/>
      <c r="D13" s="3209"/>
    </row>
    <row r="14" spans="1:4" ht="15.75" customHeight="1">
      <c r="A14" s="3204" t="str">
        <f>IF(项目基本情况!B8="抵押","4.本次评估估价师所知悉的法定优先受偿款情况说明如下：","——")</f>
        <v>4.本次评估估价师所知悉的法定优先受偿款情况说明如下：</v>
      </c>
      <c r="B14" s="3209"/>
      <c r="C14" s="3209"/>
      <c r="D14" s="3209"/>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942</v>
      </c>
      <c r="B16" s="3206"/>
      <c r="C16" s="3206"/>
      <c r="D16" s="3206"/>
    </row>
    <row r="17" spans="1:4" ht="144" customHeight="1">
      <c r="A17" s="3206" t="s">
        <v>943</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4"/>
      <c r="C20" s="3204"/>
      <c r="D20" s="3204"/>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7"/>
      <c r="C21" s="3207"/>
      <c r="D21" s="3207"/>
    </row>
    <row r="22" spans="1:4" ht="18.75" customHeight="1">
      <c r="A22" s="3208" t="s">
        <v>944</v>
      </c>
      <c r="B22" s="3208"/>
      <c r="C22" s="3208"/>
      <c r="D22" s="3208"/>
    </row>
    <row r="23" spans="1:4">
      <c r="A23" s="1412"/>
      <c r="B23" s="457"/>
      <c r="C23" s="457"/>
      <c r="D23" s="457"/>
    </row>
    <row r="24" spans="1:4">
      <c r="A24" s="1412"/>
      <c r="B24" s="457"/>
      <c r="C24" s="457"/>
      <c r="D24" s="457"/>
    </row>
    <row r="25" spans="1:4" ht="18.75">
      <c r="A25" s="1413" t="s">
        <v>945</v>
      </c>
    </row>
    <row r="26" spans="1:4" ht="18">
      <c r="A26" s="1384"/>
    </row>
    <row r="27" spans="1:4" ht="18.75">
      <c r="A27" s="1384" t="s">
        <v>946</v>
      </c>
    </row>
    <row r="30" spans="1:4" ht="18.75">
      <c r="D30" s="1413" t="s">
        <v>947</v>
      </c>
    </row>
    <row r="31" spans="1:4" ht="13.5" customHeight="1">
      <c r="C31" s="3205">
        <v>42551</v>
      </c>
      <c r="D31" s="32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949</v>
      </c>
    </row>
    <row r="3" spans="1:7">
      <c r="A3" s="1417" t="s">
        <v>55</v>
      </c>
      <c r="B3" s="1402" t="s">
        <v>950</v>
      </c>
      <c r="G3" s="1418"/>
    </row>
    <row r="4" spans="1:7">
      <c r="G4" s="1418"/>
    </row>
    <row r="5" spans="1:7">
      <c r="A5" s="1420" t="s">
        <v>46</v>
      </c>
      <c r="B5" s="1402" t="s">
        <v>951</v>
      </c>
      <c r="G5" s="1418"/>
    </row>
    <row r="6" spans="1:7">
      <c r="G6" s="1418"/>
    </row>
    <row r="7" spans="1:7">
      <c r="A7" s="1421" t="s">
        <v>108</v>
      </c>
      <c r="B7" s="1402" t="s">
        <v>952</v>
      </c>
      <c r="G7" s="1418"/>
    </row>
    <row r="8" spans="1:7">
      <c r="G8" s="1418"/>
    </row>
    <row r="9" spans="1:7">
      <c r="A9" s="1422" t="s">
        <v>47</v>
      </c>
      <c r="B9" s="1402" t="s">
        <v>953</v>
      </c>
    </row>
    <row r="11" spans="1:7">
      <c r="A11" s="1423" t="s">
        <v>48</v>
      </c>
      <c r="B11" s="1424" t="s">
        <v>45</v>
      </c>
    </row>
    <row r="13" spans="1:7">
      <c r="A13" s="1425" t="s">
        <v>954</v>
      </c>
    </row>
    <row r="15" spans="1:7" ht="13.5">
      <c r="A15" s="3218" t="s">
        <v>955</v>
      </c>
      <c r="B15" s="3213" t="s">
        <v>109</v>
      </c>
      <c r="C15" s="3214"/>
    </row>
    <row r="16" spans="1:7" ht="13.5">
      <c r="A16" s="3219"/>
      <c r="B16" s="3213" t="s">
        <v>42</v>
      </c>
      <c r="C16" s="3214"/>
    </row>
    <row r="17" spans="1:3" ht="13.5">
      <c r="A17" s="3219"/>
      <c r="B17" s="3216" t="s">
        <v>956</v>
      </c>
      <c r="C17" s="1426" t="s">
        <v>955</v>
      </c>
    </row>
    <row r="18" spans="1:3" ht="13.5">
      <c r="A18" s="3219"/>
      <c r="B18" s="3216"/>
      <c r="C18" s="1426" t="s">
        <v>957</v>
      </c>
    </row>
    <row r="19" spans="1:3" ht="13.5">
      <c r="A19" s="3219"/>
      <c r="B19" s="3216"/>
      <c r="C19" s="1426" t="s">
        <v>958</v>
      </c>
    </row>
    <row r="20" spans="1:3" ht="13.5">
      <c r="A20" s="3220"/>
      <c r="B20" s="3215" t="s">
        <v>959</v>
      </c>
      <c r="C20" s="3214"/>
    </row>
    <row r="21" spans="1:3" ht="13.5">
      <c r="A21" s="1427" t="s">
        <v>960</v>
      </c>
      <c r="B21" s="1428"/>
      <c r="C21" s="1429"/>
    </row>
    <row r="22" spans="1:3" ht="13.5">
      <c r="A22" s="3217" t="s">
        <v>961</v>
      </c>
      <c r="B22" s="3215" t="s">
        <v>962</v>
      </c>
      <c r="C22" s="3214"/>
    </row>
    <row r="23" spans="1:3" ht="13.5">
      <c r="A23" s="3217"/>
      <c r="B23" s="3215" t="s">
        <v>963</v>
      </c>
      <c r="C23" s="3214"/>
    </row>
    <row r="24" spans="1:3" ht="13.5">
      <c r="A24" s="3217"/>
      <c r="B24" s="3215" t="s">
        <v>964</v>
      </c>
      <c r="C24" s="3214"/>
    </row>
    <row r="25" spans="1:3" ht="13.5">
      <c r="A25" s="3217"/>
      <c r="B25" s="3216" t="s">
        <v>965</v>
      </c>
      <c r="C25" s="1426" t="s">
        <v>966</v>
      </c>
    </row>
    <row r="26" spans="1:3" ht="13.5">
      <c r="A26" s="3217"/>
      <c r="B26" s="3216"/>
      <c r="C26" s="1426" t="s">
        <v>967</v>
      </c>
    </row>
    <row r="27" spans="1:3" ht="13.5">
      <c r="A27" s="3217"/>
      <c r="B27" s="3216"/>
      <c r="C27" s="1426" t="s">
        <v>968</v>
      </c>
    </row>
    <row r="28" spans="1:3" ht="13.5">
      <c r="A28" s="3217"/>
      <c r="B28" s="3216"/>
      <c r="C28" s="1426" t="s">
        <v>969</v>
      </c>
    </row>
    <row r="29" spans="1:3" ht="13.5">
      <c r="A29" s="3217"/>
      <c r="B29" s="3216"/>
      <c r="C29" s="1426" t="s">
        <v>970</v>
      </c>
    </row>
    <row r="30" spans="1:3" ht="13.5">
      <c r="A30" s="3217"/>
      <c r="B30" s="3216"/>
      <c r="C30" s="1426" t="s">
        <v>971</v>
      </c>
    </row>
    <row r="31" spans="1:3" ht="13.5">
      <c r="A31" s="3217"/>
      <c r="B31" s="3216"/>
      <c r="C31" s="1426" t="s">
        <v>972</v>
      </c>
    </row>
    <row r="32" spans="1:3" ht="13.5">
      <c r="A32" s="3217"/>
      <c r="B32" s="3216"/>
      <c r="C32" s="1426" t="s">
        <v>973</v>
      </c>
    </row>
    <row r="33" spans="1:3" ht="13.5">
      <c r="A33" s="3217"/>
      <c r="B33" s="3216"/>
      <c r="C33" s="1426" t="s">
        <v>974</v>
      </c>
    </row>
    <row r="34" spans="1:3">
      <c r="A34" s="1430" t="s">
        <v>49</v>
      </c>
    </row>
    <row r="37" spans="1:3">
      <c r="A37" s="1430" t="s">
        <v>975</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2134</v>
      </c>
      <c r="B2" s="2154">
        <f ca="1">TODAY()</f>
        <v>45621</v>
      </c>
      <c r="C2" s="2155" t="s">
        <v>2135</v>
      </c>
      <c r="D2" s="2155"/>
      <c r="E2" s="2155"/>
      <c r="F2" s="2151"/>
      <c r="G2" s="2151"/>
      <c r="H2" s="2151"/>
    </row>
    <row r="3" spans="1:8" ht="24" customHeight="1">
      <c r="A3" s="2156" t="s">
        <v>2136</v>
      </c>
      <c r="B3" s="1216" t="s">
        <v>2137</v>
      </c>
      <c r="C3" s="1216" t="s">
        <v>2138</v>
      </c>
      <c r="D3" s="2157" t="s">
        <v>2139</v>
      </c>
      <c r="E3" s="2158" t="s">
        <v>2140</v>
      </c>
      <c r="F3" s="1216" t="s">
        <v>2141</v>
      </c>
      <c r="G3" s="1216" t="s">
        <v>2138</v>
      </c>
      <c r="H3" s="2157" t="s">
        <v>2142</v>
      </c>
    </row>
    <row r="4" spans="1:8" ht="24" customHeight="1">
      <c r="A4" s="1216" t="s">
        <v>2143</v>
      </c>
      <c r="B4" s="1216">
        <f ca="1">IF(C4&lt;B2,"已过期",1119970066)</f>
        <v>1119970066</v>
      </c>
      <c r="C4" s="2159">
        <v>45937</v>
      </c>
      <c r="D4" s="2160" t="str">
        <f ca="1">A4&amp;"（注册号："&amp;B4&amp;"）"</f>
        <v>梁津（注册号：1119970066）</v>
      </c>
      <c r="E4" s="2161" t="s">
        <v>2143</v>
      </c>
      <c r="F4" s="1216">
        <f ca="1">IF(G4&lt;B2,"已过期",96010014)</f>
        <v>96010014</v>
      </c>
      <c r="G4" s="2162">
        <v>47118</v>
      </c>
      <c r="H4" s="2163" t="str">
        <f ca="1">E4&amp;"（注册号："&amp;F4&amp;"）"</f>
        <v>梁津（注册号：96010014）</v>
      </c>
    </row>
    <row r="5" spans="1:8" ht="24" customHeight="1">
      <c r="A5" s="1216" t="s">
        <v>2144</v>
      </c>
      <c r="B5" s="1216">
        <f ca="1">IF(C5&lt;B2,"已过期",1119970111)</f>
        <v>1119970111</v>
      </c>
      <c r="C5" s="2159">
        <v>45937</v>
      </c>
      <c r="D5" s="2160" t="str">
        <f t="shared" ref="D5:D15" ca="1" si="0">A5&amp;"（注册号："&amp;B5&amp;"）"</f>
        <v>叶凌（注册号：1119970111）</v>
      </c>
      <c r="E5" s="2161" t="s">
        <v>2144</v>
      </c>
      <c r="F5" s="1216">
        <f ca="1">IF(G5&lt;B2,"已过期",94010078)</f>
        <v>94010078</v>
      </c>
      <c r="G5" s="2162">
        <v>46387</v>
      </c>
      <c r="H5" s="2163" t="str">
        <f t="shared" ref="H5:H16" ca="1" si="1">E5&amp;"（注册号："&amp;F5&amp;"）"</f>
        <v>叶凌（注册号：94010078）</v>
      </c>
    </row>
    <row r="6" spans="1:8" ht="24" customHeight="1">
      <c r="A6" s="1216" t="s">
        <v>2145</v>
      </c>
      <c r="B6" s="1216" t="str">
        <f ca="1">IF(C6&lt;B2,"已过期",1120050019)</f>
        <v>已过期</v>
      </c>
      <c r="C6" s="2159">
        <v>45410</v>
      </c>
      <c r="D6" s="2160" t="str">
        <f t="shared" ca="1" si="0"/>
        <v>王鹏（注册号：已过期）</v>
      </c>
      <c r="E6" s="2161" t="s">
        <v>2145</v>
      </c>
      <c r="F6" s="1216">
        <f ca="1">IF(G6&lt;B2,"已过期",2002110030)</f>
        <v>2002110030</v>
      </c>
      <c r="G6" s="2162">
        <v>46387</v>
      </c>
      <c r="H6" s="2163" t="str">
        <f t="shared" ca="1" si="1"/>
        <v>王鹏（注册号：2002110030）</v>
      </c>
    </row>
    <row r="7" spans="1:8" ht="24" customHeight="1">
      <c r="A7" s="1216" t="s">
        <v>2146</v>
      </c>
      <c r="B7" s="1216">
        <f ca="1">IF(C7&lt;B2,"已过期",1120000080)</f>
        <v>1120000080</v>
      </c>
      <c r="C7" s="2159">
        <v>45937</v>
      </c>
      <c r="D7" s="2160" t="str">
        <f t="shared" ca="1" si="0"/>
        <v>欧红伟（注册号：1120000080）</v>
      </c>
      <c r="E7" s="2161" t="s">
        <v>2146</v>
      </c>
      <c r="F7" s="1216">
        <f ca="1">IF(G7&lt;B2,"已过期",2000110082)</f>
        <v>2000110082</v>
      </c>
      <c r="G7" s="2162">
        <v>46387</v>
      </c>
      <c r="H7" s="2163" t="str">
        <f t="shared" ca="1" si="1"/>
        <v>欧红伟（注册号：2000110082）</v>
      </c>
    </row>
    <row r="8" spans="1:8" ht="24" customHeight="1">
      <c r="A8" s="1216" t="s">
        <v>2147</v>
      </c>
      <c r="B8" s="1216">
        <f ca="1">IF(C8&lt;B2,"已过期",1419970001)</f>
        <v>1419970001</v>
      </c>
      <c r="C8" s="2159">
        <v>45937</v>
      </c>
      <c r="D8" s="2160" t="str">
        <f t="shared" ca="1" si="0"/>
        <v>吴薇（注册号：1419970001）</v>
      </c>
      <c r="E8" s="2161" t="s">
        <v>2147</v>
      </c>
      <c r="F8" s="1216">
        <f ca="1">IF(G8&lt;B2,"已过期",2002110125)</f>
        <v>2002110125</v>
      </c>
      <c r="G8" s="2162">
        <v>47118</v>
      </c>
      <c r="H8" s="2163" t="str">
        <f t="shared" ca="1" si="1"/>
        <v>吴薇（注册号：2002110125）</v>
      </c>
    </row>
    <row r="9" spans="1:8" ht="24" customHeight="1">
      <c r="A9" s="1216" t="s">
        <v>2148</v>
      </c>
      <c r="B9" s="1216" t="str">
        <f ca="1">IF(C9&lt;B2,"已过期",1120060040)</f>
        <v>已过期</v>
      </c>
      <c r="C9" s="2164">
        <v>45592</v>
      </c>
      <c r="D9" s="2160" t="str">
        <f t="shared" ca="1" si="0"/>
        <v>陈颖（注册号：已过期）</v>
      </c>
      <c r="E9" s="2161" t="s">
        <v>2148</v>
      </c>
      <c r="F9" s="1216">
        <f ca="1">IF(G9&lt;B2,"已过期",2004110096)</f>
        <v>2004110096</v>
      </c>
      <c r="G9" s="2162">
        <v>47118</v>
      </c>
      <c r="H9" s="2163" t="str">
        <f t="shared" ca="1" si="1"/>
        <v>陈颖（注册号：2004110096）</v>
      </c>
    </row>
    <row r="10" spans="1:8" ht="24" customHeight="1">
      <c r="A10" s="1216" t="s">
        <v>2149</v>
      </c>
      <c r="B10" s="1216">
        <f ca="1">IF(C10&lt;B2,"已过期",1120100036)</f>
        <v>1120100036</v>
      </c>
      <c r="C10" s="2164">
        <v>45752</v>
      </c>
      <c r="D10" s="2160" t="str">
        <f t="shared" ca="1" si="0"/>
        <v>崔锴（注册号：1120100036）</v>
      </c>
      <c r="E10" s="2161" t="s">
        <v>2149</v>
      </c>
      <c r="F10" s="1216">
        <f ca="1">IF(G10&lt;B2,"已过期",2010110070)</f>
        <v>2010110070</v>
      </c>
      <c r="G10" s="2162">
        <v>47907</v>
      </c>
      <c r="H10" s="2163" t="str">
        <f t="shared" ca="1" si="1"/>
        <v>崔锴（注册号：2010110070）</v>
      </c>
    </row>
    <row r="11" spans="1:8" ht="24" customHeight="1">
      <c r="A11" s="1216" t="s">
        <v>2150</v>
      </c>
      <c r="B11" s="1216">
        <f ca="1">IF(C11&lt;B2,"已过期",1120070131)</f>
        <v>1120070131</v>
      </c>
      <c r="C11" s="2159">
        <v>45937</v>
      </c>
      <c r="D11" s="2160" t="str">
        <f t="shared" ca="1" si="0"/>
        <v>郑燚（注册号：1120070131）</v>
      </c>
      <c r="E11" s="2161" t="s">
        <v>2150</v>
      </c>
      <c r="F11" s="1216">
        <f ca="1">IF(G11&lt;B2,"已过期",2014110011)</f>
        <v>2014110011</v>
      </c>
      <c r="G11" s="2162">
        <v>49302</v>
      </c>
      <c r="H11" s="2163" t="str">
        <f t="shared" ca="1" si="1"/>
        <v>郑燚（注册号：2014110011）</v>
      </c>
    </row>
    <row r="12" spans="1:8" ht="24" customHeight="1">
      <c r="A12" s="1216" t="s">
        <v>2151</v>
      </c>
      <c r="B12" s="1216">
        <f ca="1">IF(C12&lt;B2,"已过期",1120040230)</f>
        <v>1120040230</v>
      </c>
      <c r="C12" s="2164">
        <v>45937</v>
      </c>
      <c r="D12" s="2160" t="str">
        <f t="shared" ca="1" si="0"/>
        <v>苏海（注册号：1120040230）</v>
      </c>
      <c r="E12" s="2161" t="s">
        <v>2151</v>
      </c>
      <c r="F12" s="1216">
        <f ca="1">IF(G12&lt;B2,"已过期",98030020)</f>
        <v>98030020</v>
      </c>
      <c r="G12" s="2162">
        <v>47118</v>
      </c>
      <c r="H12" s="2163" t="str">
        <f t="shared" ca="1" si="1"/>
        <v>苏海（注册号：98030020）</v>
      </c>
    </row>
    <row r="13" spans="1:8" ht="24" customHeight="1">
      <c r="A13" s="1216" t="s">
        <v>2152</v>
      </c>
      <c r="B13" s="1216" t="str">
        <f ca="1">IF(C13&lt;B2,"已过期",1120020033)</f>
        <v>已过期</v>
      </c>
      <c r="C13" s="2159">
        <v>45375</v>
      </c>
      <c r="D13" s="2160" t="str">
        <f t="shared" ca="1" si="0"/>
        <v>刘敬东（注册号：已过期）</v>
      </c>
      <c r="E13" s="2161" t="s">
        <v>2152</v>
      </c>
      <c r="F13" s="1216">
        <f ca="1">IF(G13&lt;B2,"已过期",2000110137)</f>
        <v>2000110137</v>
      </c>
      <c r="G13" s="2162">
        <v>46387</v>
      </c>
      <c r="H13" s="2163" t="str">
        <f t="shared" ca="1" si="1"/>
        <v>刘敬东（注册号：2000110137）</v>
      </c>
    </row>
    <row r="14" spans="1:8" ht="24" customHeight="1">
      <c r="A14" s="1216" t="s">
        <v>2153</v>
      </c>
      <c r="B14" s="1216" t="str">
        <f ca="1">IF(C14&lt;B2,"已过期",1119980106)</f>
        <v>已过期</v>
      </c>
      <c r="C14" s="2164">
        <v>44969</v>
      </c>
      <c r="D14" s="2160" t="str">
        <f t="shared" ca="1" si="0"/>
        <v>刘俊财（注册号：已过期）</v>
      </c>
      <c r="E14" s="2161" t="s">
        <v>2153</v>
      </c>
      <c r="F14" s="1216">
        <f ca="1">IF(G14&lt;B2,"已过期",96010063)</f>
        <v>96010063</v>
      </c>
      <c r="G14" s="2162">
        <v>47483</v>
      </c>
      <c r="H14" s="2163" t="str">
        <f t="shared" ca="1" si="1"/>
        <v>刘俊财（注册号：96010063）</v>
      </c>
    </row>
    <row r="15" spans="1:8" ht="24" customHeight="1">
      <c r="A15" s="1216" t="s">
        <v>2434</v>
      </c>
      <c r="B15" s="1216">
        <v>1120210056</v>
      </c>
      <c r="C15" s="2164">
        <v>45410</v>
      </c>
      <c r="D15" s="2160" t="str">
        <f t="shared" si="0"/>
        <v>宁小鳗（注册号：1120210056）</v>
      </c>
      <c r="E15" s="2161" t="s">
        <v>2154</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1" t="s">
        <v>2155</v>
      </c>
      <c r="B17" s="3221"/>
      <c r="C17" s="3221"/>
      <c r="D17" s="3221"/>
      <c r="E17" s="3221"/>
      <c r="F17" s="3221"/>
      <c r="G17" s="3221"/>
      <c r="H17" s="3221"/>
    </row>
    <row r="18" spans="1:8" ht="24" customHeight="1">
      <c r="A18" s="3222" t="s">
        <v>2156</v>
      </c>
      <c r="B18" s="3222"/>
      <c r="C18" s="3222"/>
      <c r="D18" s="2157"/>
      <c r="E18" s="3223" t="s">
        <v>2157</v>
      </c>
      <c r="F18" s="3222"/>
      <c r="G18" s="3222"/>
    </row>
    <row r="19" spans="1:8" s="2167" customFormat="1" ht="24" customHeight="1">
      <c r="A19" s="2166" t="s">
        <v>2158</v>
      </c>
      <c r="B19" s="1216" t="s">
        <v>2159</v>
      </c>
      <c r="C19" s="1216" t="s">
        <v>2138</v>
      </c>
      <c r="D19" s="2157"/>
      <c r="E19" s="2161" t="s">
        <v>2158</v>
      </c>
      <c r="F19" s="1216" t="s">
        <v>2159</v>
      </c>
      <c r="G19" s="1216" t="s">
        <v>2138</v>
      </c>
    </row>
    <row r="20" spans="1:8" s="2167" customFormat="1" ht="24" customHeight="1">
      <c r="A20" s="2168" t="s">
        <v>2160</v>
      </c>
      <c r="B20" s="2168" t="s">
        <v>2161</v>
      </c>
      <c r="C20" s="2162">
        <v>45898</v>
      </c>
      <c r="D20" s="2169"/>
      <c r="E20" s="2170" t="s">
        <v>2162</v>
      </c>
      <c r="F20" s="2173" t="s">
        <v>2435</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营业收入</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2024-11-25T07:08:49Z</dcterms:modified>
</cp:coreProperties>
</file>